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F07A424-DDE5-40ED-8F85-94A59BE9556B}" xr6:coauthVersionLast="36" xr6:coauthVersionMax="36" xr10:uidLastSave="{00000000-0000-0000-0000-000000000000}"/>
  <bookViews>
    <workbookView xWindow="-15" yWindow="13650" windowWidth="15570" windowHeight="6450" tabRatio="87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AUDITCHECK" sheetId="36" r:id="rId22"/>
    <sheet name="DeficitAFRSum Calc 36" sheetId="146" r:id="rId23"/>
    <sheet name="AFR19" sheetId="106" state="hidden" r:id="rId24"/>
    <sheet name="Single Audit Cover" sheetId="169" r:id="rId25"/>
    <sheet name="Single Audit Checklist" sheetId="170" r:id="rId26"/>
    <sheet name="SEFA Reconcile" sheetId="171" r:id="rId27"/>
    <sheet name="SEFA" sheetId="179" r:id="rId28"/>
    <sheet name=" SEFA (2)" sheetId="187" r:id="rId29"/>
    <sheet name="SEFA NOTES" sheetId="173" r:id="rId30"/>
    <sheet name="SF&amp;QC Sec-1" sheetId="174" r:id="rId31"/>
    <sheet name="SF&amp;QC Sec-2" sheetId="175" r:id="rId32"/>
    <sheet name="SF&amp;QC Sec-3" sheetId="176" r:id="rId33"/>
    <sheet name="SSPAF" sheetId="177" r:id="rId34"/>
    <sheet name="CAP" sheetId="189" r:id="rId35"/>
    <sheet name="Data" sheetId="184" r:id="rId36"/>
    <sheet name="Formulas" sheetId="186" r:id="rId37"/>
  </sheets>
  <externalReferences>
    <externalReference r:id="rId38"/>
  </externalReferences>
  <definedNames>
    <definedName name="_xlnm.Print_Area" localSheetId="28">' SEFA (2)'!$B$1:$M$46</definedName>
    <definedName name="_xlnm.Print_Area" localSheetId="27">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1">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34">#REF!</definedName>
    <definedName name="SCHADDRS" localSheetId="22">#REF!</definedName>
    <definedName name="SCHADDRS" localSheetId="4">#REF!</definedName>
    <definedName name="SCHADDRS" localSheetId="27">#REF!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34">#REF!</definedName>
    <definedName name="SCHCTY" localSheetId="22">#REF!</definedName>
    <definedName name="SCHCTY" localSheetId="4">#REF!</definedName>
    <definedName name="SCHCTY" localSheetId="27">#REF!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34">#REF!</definedName>
    <definedName name="SCHNMBR" localSheetId="22">#REF!</definedName>
    <definedName name="SCHNMBR" localSheetId="4">#REF!</definedName>
    <definedName name="SCHNMBR" localSheetId="27">#REF!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34">#REF!</definedName>
    <definedName name="SCHNME" localSheetId="22">#REF!</definedName>
    <definedName name="SCHNME" localSheetId="4">#REF!</definedName>
    <definedName name="SCHNME" localSheetId="27">#REF!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34">#REF!</definedName>
    <definedName name="SUPT" localSheetId="22">#REF!</definedName>
    <definedName name="SUPT" localSheetId="4">#REF!</definedName>
    <definedName name="SUPT" localSheetId="27">#REF!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28" i="184" l="1"/>
  <c r="F4" i="3"/>
  <c r="B10" i="189" l="1"/>
  <c r="C16" i="189" l="1"/>
  <c r="B12" i="189"/>
  <c r="B9" i="189"/>
  <c r="L13" i="179" l="1"/>
  <c r="L22" i="187"/>
  <c r="L21" i="187"/>
  <c r="L20" i="187"/>
  <c r="L19" i="187"/>
  <c r="L16" i="187"/>
  <c r="L15" i="187"/>
  <c r="B4" i="187"/>
  <c r="F1639" i="184"/>
  <c r="E181" i="184"/>
  <c r="E129" i="184"/>
  <c r="F1573" i="184"/>
  <c r="E100" i="184"/>
  <c r="E827" i="184"/>
  <c r="E95" i="184"/>
  <c r="L61" i="29"/>
  <c r="L226" i="29"/>
  <c r="L268" i="29"/>
  <c r="L99" i="29"/>
  <c r="L142" i="29"/>
  <c r="L220" i="29"/>
  <c r="L87" i="29"/>
  <c r="L233" i="29"/>
  <c r="L192" i="29"/>
  <c r="L163" i="29"/>
  <c r="L14" i="29"/>
  <c r="L193" i="29"/>
  <c r="L209" i="29"/>
  <c r="L246" i="29"/>
  <c r="L13" i="29"/>
  <c r="L164" i="29"/>
  <c r="L7" i="29"/>
  <c r="L67" i="29"/>
  <c r="L182" i="29"/>
  <c r="L52" i="29"/>
  <c r="L247" i="29"/>
  <c r="L216" i="29"/>
  <c r="L144" i="29"/>
  <c r="L249" i="29"/>
  <c r="L355" i="29"/>
  <c r="L138" i="29"/>
  <c r="L18" i="29"/>
  <c r="L235" i="29"/>
  <c r="L290" i="29"/>
  <c r="L191" i="29"/>
  <c r="L19" i="29"/>
  <c r="L223" i="29"/>
  <c r="L311" i="29"/>
  <c r="L124" i="29"/>
  <c r="L199" i="29"/>
  <c r="L146" i="29"/>
  <c r="L120" i="29"/>
  <c r="L356" i="29"/>
  <c r="L101" i="29"/>
  <c r="L159" i="29"/>
  <c r="L26" i="29"/>
  <c r="L68" i="29"/>
  <c r="L38" i="29"/>
  <c r="L366" i="29"/>
  <c r="L169" i="29"/>
  <c r="L253" i="29"/>
  <c r="L259" i="29"/>
  <c r="L130" i="29"/>
  <c r="L40" i="29"/>
  <c r="L215" i="29"/>
  <c r="L39" i="29"/>
  <c r="L150" i="29"/>
  <c r="L145" i="29"/>
  <c r="L252" i="29"/>
  <c r="L218" i="29"/>
  <c r="L188" i="29"/>
  <c r="L86" i="29"/>
  <c r="L166" i="29"/>
  <c r="L95" i="29"/>
  <c r="L69" i="29"/>
  <c r="L294" i="29"/>
  <c r="L337" i="29"/>
  <c r="L292" i="29"/>
  <c r="L275" i="29"/>
  <c r="L234" i="29"/>
  <c r="L93" i="29"/>
  <c r="L333" i="29"/>
  <c r="L232" i="29"/>
  <c r="L24" i="29"/>
  <c r="L324" i="29"/>
  <c r="L319" i="29"/>
  <c r="L108" i="29"/>
  <c r="L107" i="29"/>
  <c r="L242" i="29"/>
  <c r="L81" i="29"/>
  <c r="L16" i="29"/>
  <c r="L8" i="29"/>
  <c r="L341" i="29"/>
  <c r="L20" i="29"/>
  <c r="L217" i="29"/>
  <c r="L82" i="29"/>
  <c r="L78" i="29"/>
  <c r="L195" i="29"/>
  <c r="L75" i="29"/>
  <c r="L106" i="29"/>
  <c r="L251" i="29"/>
  <c r="L288" i="29"/>
  <c r="L88" i="29"/>
  <c r="L224" i="29"/>
  <c r="L60" i="29"/>
  <c r="L264" i="29"/>
  <c r="L85" i="29"/>
  <c r="L327" i="29"/>
  <c r="L256" i="29"/>
  <c r="L201" i="29"/>
  <c r="L62" i="29"/>
  <c r="L64" i="29"/>
  <c r="L10" i="29"/>
  <c r="L113" i="29"/>
  <c r="L325" i="29"/>
  <c r="L307" i="29"/>
  <c r="L266" i="29"/>
  <c r="L31" i="29"/>
  <c r="L183" i="29"/>
  <c r="L111" i="29"/>
  <c r="L203" i="29"/>
  <c r="L255" i="29"/>
  <c r="L22" i="29"/>
  <c r="L73" i="29"/>
  <c r="L12" i="29"/>
  <c r="L274" i="29"/>
  <c r="L136" i="29"/>
  <c r="L123" i="29"/>
  <c r="L240" i="29"/>
  <c r="L89" i="29"/>
  <c r="L202" i="29"/>
  <c r="L338" i="29"/>
  <c r="L302" i="29"/>
  <c r="L354" i="29"/>
  <c r="L91" i="29"/>
  <c r="L332" i="29"/>
  <c r="L83" i="29"/>
  <c r="L269" i="29"/>
  <c r="L190" i="29"/>
  <c r="L28" i="29"/>
  <c r="L55" i="29"/>
  <c r="L207" i="29"/>
  <c r="L71" i="29"/>
  <c r="L59" i="29"/>
  <c r="L51" i="29"/>
  <c r="L364" i="29"/>
  <c r="L94" i="29"/>
  <c r="L133" i="29"/>
  <c r="L15" i="29"/>
  <c r="L126" i="29"/>
  <c r="L143" i="29"/>
  <c r="L250" i="29"/>
  <c r="L222" i="29"/>
  <c r="L273" i="29"/>
  <c r="L276" i="29"/>
  <c r="L170" i="29"/>
  <c r="L284" i="29"/>
  <c r="L11" i="29"/>
  <c r="L329" i="29"/>
  <c r="L23" i="29"/>
  <c r="L46" i="29"/>
  <c r="L134" i="29"/>
  <c r="L280" i="29"/>
  <c r="L98" i="29"/>
  <c r="L328" i="29"/>
  <c r="L225" i="29"/>
  <c r="L272" i="29"/>
  <c r="L148" i="29"/>
  <c r="L260" i="29"/>
  <c r="L37" i="29"/>
  <c r="L32" i="29"/>
  <c r="L135" i="29"/>
  <c r="L351" i="29"/>
  <c r="L245" i="29"/>
  <c r="L80" i="29"/>
  <c r="L267" i="29"/>
  <c r="L278" i="29"/>
  <c r="L236" i="29"/>
  <c r="L70" i="29"/>
  <c r="L180" i="29"/>
  <c r="L27" i="29"/>
  <c r="L289" i="29"/>
  <c r="L49" i="29"/>
  <c r="L301" i="29"/>
  <c r="L291" i="29"/>
  <c r="L29" i="29"/>
  <c r="L30" i="29"/>
  <c r="L9" i="29"/>
  <c r="L200" i="29"/>
  <c r="L50" i="29"/>
  <c r="L363" i="29"/>
  <c r="L263" i="29"/>
  <c r="L158" i="29"/>
  <c r="L128" i="29"/>
  <c r="L17" i="29"/>
  <c r="L167" i="29"/>
  <c r="L173" i="29"/>
  <c r="L227" i="29"/>
  <c r="L306" i="29"/>
  <c r="L25" i="29"/>
  <c r="L79" i="29"/>
  <c r="L109" i="29"/>
  <c r="L45" i="29"/>
  <c r="L21" i="29"/>
  <c r="L283" i="29"/>
  <c r="L96" i="29"/>
  <c r="L105" i="29"/>
  <c r="L189" i="29"/>
  <c r="L122" i="29"/>
  <c r="L320" i="29"/>
  <c r="L165" i="29"/>
  <c r="L326" i="29"/>
  <c r="L254" i="29"/>
  <c r="L125" i="29"/>
  <c r="L219" i="29"/>
  <c r="L241" i="29"/>
  <c r="L237" i="29"/>
  <c r="L360" i="29"/>
  <c r="L248" i="29"/>
  <c r="L339" i="29"/>
  <c r="L265" i="29"/>
  <c r="L323" i="29"/>
  <c r="L6" i="29"/>
  <c r="L349" i="29"/>
  <c r="L321" i="29"/>
  <c r="L63" i="29"/>
  <c r="L228" i="29"/>
  <c r="L348" i="29"/>
  <c r="L282" i="29"/>
  <c r="L171" i="29"/>
  <c r="L36" i="29"/>
  <c r="L221" i="29"/>
  <c r="L90" i="29"/>
  <c r="L206" i="29"/>
  <c r="L41" i="29"/>
  <c r="L361" i="29"/>
  <c r="L308" i="29"/>
  <c r="L157" i="29"/>
  <c r="L309" i="29"/>
  <c r="L205" i="29"/>
  <c r="L322" i="29"/>
  <c r="L44" i="29"/>
  <c r="L97" i="29"/>
  <c r="L56" i="29"/>
  <c r="C33" i="3" l="1"/>
  <c r="L5" i="29"/>
  <c r="C24" i="4" l="1"/>
  <c r="I12" i="3"/>
  <c r="E30" i="3"/>
  <c r="F27" i="3"/>
  <c r="J10" i="3"/>
  <c r="I32" i="3"/>
  <c r="G11" i="3"/>
  <c r="H29" i="3"/>
  <c r="H28" i="3"/>
  <c r="H12" i="3"/>
  <c r="G29" i="3"/>
  <c r="D10" i="3"/>
  <c r="J29" i="3"/>
  <c r="C27" i="3"/>
  <c r="E12" i="3"/>
  <c r="F5" i="3"/>
  <c r="J12" i="3"/>
  <c r="E9" i="3"/>
  <c r="J4" i="3"/>
  <c r="D8" i="3"/>
  <c r="I33" i="3"/>
  <c r="H4" i="3"/>
  <c r="E5" i="3"/>
  <c r="F29" i="3"/>
  <c r="C26" i="3"/>
  <c r="J32" i="3"/>
  <c r="F28" i="3"/>
  <c r="C9" i="3"/>
  <c r="I6" i="3"/>
  <c r="C7" i="3"/>
  <c r="G8" i="3"/>
  <c r="I11" i="3"/>
  <c r="C28" i="3"/>
  <c r="D7" i="3"/>
  <c r="F25" i="3"/>
  <c r="K26" i="3"/>
  <c r="D29" i="3"/>
  <c r="I26" i="3"/>
  <c r="C30" i="3"/>
  <c r="E28" i="3"/>
  <c r="C11" i="3"/>
  <c r="E25" i="3"/>
  <c r="H31" i="3"/>
  <c r="G7" i="3"/>
  <c r="H5" i="3"/>
  <c r="F8" i="3"/>
  <c r="G10" i="3"/>
  <c r="G33" i="3"/>
  <c r="K10" i="3"/>
  <c r="D32" i="3"/>
  <c r="C10" i="3"/>
  <c r="G27" i="3"/>
  <c r="C32" i="3"/>
  <c r="I30" i="3"/>
  <c r="G28" i="3"/>
  <c r="K27" i="3"/>
  <c r="C29" i="3"/>
  <c r="D31" i="3"/>
  <c r="D4" i="3"/>
  <c r="D11" i="3"/>
  <c r="K30" i="3"/>
  <c r="J25" i="3"/>
  <c r="K31" i="3"/>
  <c r="K25" i="3"/>
  <c r="I27" i="3"/>
  <c r="G25" i="3"/>
  <c r="C12" i="3"/>
  <c r="G4" i="3"/>
  <c r="K28" i="3"/>
  <c r="G31" i="3"/>
  <c r="H6" i="3"/>
  <c r="D9" i="3"/>
  <c r="H25" i="3"/>
  <c r="J33" i="3"/>
  <c r="E11" i="3"/>
  <c r="D27" i="3"/>
  <c r="H27" i="3"/>
  <c r="H8" i="3"/>
  <c r="K12" i="3"/>
  <c r="E31" i="3"/>
  <c r="C4" i="3"/>
  <c r="D26" i="3"/>
  <c r="K32" i="3"/>
  <c r="G6" i="3"/>
  <c r="J26" i="3"/>
  <c r="K11" i="3"/>
  <c r="F31" i="3"/>
  <c r="F26" i="3"/>
  <c r="J30" i="3"/>
  <c r="E7" i="3"/>
  <c r="J9" i="3"/>
  <c r="H10" i="3"/>
  <c r="F11" i="3"/>
  <c r="G32" i="3"/>
  <c r="H32" i="3"/>
  <c r="J31" i="3"/>
  <c r="D25" i="3"/>
  <c r="I29" i="3"/>
  <c r="C6" i="3"/>
  <c r="H9" i="3"/>
  <c r="F33" i="3"/>
  <c r="K29" i="3"/>
  <c r="K8" i="3"/>
  <c r="H26" i="3"/>
  <c r="E4" i="3"/>
  <c r="J11" i="3"/>
  <c r="K4" i="3"/>
  <c r="I5" i="3"/>
  <c r="F9" i="3"/>
  <c r="H7" i="3"/>
  <c r="E6" i="3"/>
  <c r="E8" i="3"/>
  <c r="I31" i="3"/>
  <c r="F32" i="3"/>
  <c r="E29" i="3"/>
  <c r="D5" i="3"/>
  <c r="K9" i="3"/>
  <c r="I7" i="3"/>
  <c r="D12" i="3"/>
  <c r="D30" i="3"/>
  <c r="J8" i="3"/>
  <c r="C25" i="3"/>
  <c r="C5" i="3"/>
  <c r="H11" i="3"/>
  <c r="J7" i="3"/>
  <c r="J27" i="3"/>
  <c r="K33" i="3"/>
  <c r="E32" i="3"/>
  <c r="G30" i="3"/>
  <c r="E27" i="3"/>
  <c r="G26" i="3"/>
  <c r="E10" i="3"/>
  <c r="G9" i="3"/>
  <c r="G5" i="3"/>
  <c r="I4" i="3"/>
  <c r="E33" i="3"/>
  <c r="D6" i="3"/>
  <c r="H30" i="3"/>
  <c r="I9" i="3"/>
  <c r="I8" i="3"/>
  <c r="J6" i="3"/>
  <c r="J28" i="3"/>
  <c r="F7" i="3"/>
  <c r="I10" i="3"/>
  <c r="F6" i="3"/>
  <c r="I28" i="3"/>
  <c r="G12" i="3"/>
  <c r="F10" i="3"/>
  <c r="J5" i="3"/>
  <c r="D33" i="3"/>
  <c r="C31" i="3"/>
  <c r="K6" i="3"/>
  <c r="H33" i="3"/>
  <c r="C8" i="3"/>
  <c r="K5" i="3"/>
  <c r="F30" i="3"/>
  <c r="D28" i="3"/>
  <c r="F12" i="3"/>
  <c r="E26" i="3"/>
  <c r="K7" i="3"/>
  <c r="N21" i="3"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1" i="179" l="1"/>
  <c r="L20" i="179"/>
  <c r="L19" i="179"/>
  <c r="L16" i="179"/>
  <c r="L15" i="179"/>
  <c r="D14" i="171" l="1"/>
  <c r="A10" i="169"/>
  <c r="A16" i="169"/>
  <c r="A15" i="169"/>
  <c r="A14" i="169"/>
  <c r="K18" i="169"/>
  <c r="G18" i="169"/>
  <c r="G15" i="169"/>
  <c r="I13" i="169"/>
  <c r="G11" i="169"/>
  <c r="G10" i="169"/>
  <c r="G9" i="169"/>
  <c r="G7" i="169"/>
  <c r="E7" i="169"/>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c r="B7729" i="106"/>
  <c r="D7729" i="106" s="1"/>
  <c r="B7734" i="106"/>
  <c r="B7726" i="106"/>
  <c r="D76" i="36"/>
  <c r="B30" i="36"/>
  <c r="B33" i="36" s="1"/>
  <c r="B43" i="36" s="1"/>
  <c r="B56" i="36" s="1"/>
  <c r="B66" i="36" s="1"/>
  <c r="B70" i="36" s="1"/>
  <c r="B74" i="36" s="1"/>
  <c r="L127" i="29"/>
  <c r="L129" i="29" s="1"/>
  <c r="L139" i="29"/>
  <c r="L149" i="29"/>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H24" i="118"/>
  <c r="H28" i="118"/>
  <c r="H29" i="118"/>
  <c r="H33" i="118"/>
  <c r="D11" i="37"/>
  <c r="J22" i="37"/>
  <c r="L22" i="37"/>
  <c r="D24" i="37"/>
  <c r="B4270" i="106" s="1"/>
  <c r="D4270" i="106" s="1"/>
  <c r="B2895" i="106" l="1"/>
  <c r="D2895" i="106" s="1"/>
  <c r="L33" i="3"/>
  <c r="B3730" i="106"/>
  <c r="D3730" i="106" s="1"/>
  <c r="F19" i="7"/>
  <c r="B1807" i="106" s="1"/>
  <c r="D1807" i="106" s="1"/>
  <c r="N22" i="3"/>
  <c r="B283" i="106" s="1"/>
  <c r="D283" i="106" s="1"/>
  <c r="L342" i="29"/>
  <c r="L5" i="11"/>
  <c r="D22" i="37"/>
  <c r="K41" i="3"/>
  <c r="L15" i="11"/>
  <c r="B3459" i="106" s="1"/>
  <c r="D3459" i="106" s="1"/>
  <c r="L13" i="11"/>
  <c r="B2060" i="106" s="1"/>
  <c r="D2060" i="106" s="1"/>
  <c r="I24" i="12"/>
  <c r="L367" i="29"/>
  <c r="J41" i="3"/>
  <c r="B6216" i="106" s="1"/>
  <c r="D6216" i="106" s="1"/>
  <c r="K28" i="118"/>
  <c r="O27" i="118" s="1"/>
  <c r="O29" i="118" s="1"/>
  <c r="L312" i="29"/>
  <c r="F21" i="8"/>
  <c r="K24" i="12"/>
  <c r="C41" i="3"/>
  <c r="B93" i="106" s="1"/>
  <c r="D93" i="106" s="1"/>
  <c r="J90" i="28"/>
  <c r="B79" i="36"/>
  <c r="B77" i="36"/>
  <c r="N23" i="3"/>
  <c r="B284" i="106" s="1"/>
  <c r="D284" i="106" s="1"/>
  <c r="F16" i="11"/>
  <c r="I41" i="3"/>
  <c r="K16" i="11"/>
  <c r="B2055" i="106" s="1"/>
  <c r="D2055" i="106" s="1"/>
  <c r="B122" i="106"/>
  <c r="D122" i="106" s="1"/>
  <c r="D41" i="3"/>
  <c r="B7759" i="106"/>
  <c r="D7759" i="106" s="1"/>
  <c r="B169" i="106"/>
  <c r="D169" i="106" s="1"/>
  <c r="F41" i="3"/>
  <c r="L3" i="11"/>
  <c r="B7596" i="106" s="1"/>
  <c r="L9" i="11"/>
  <c r="B7614" i="106" s="1"/>
  <c r="L10" i="11"/>
  <c r="L210" i="29"/>
  <c r="L102" i="29"/>
  <c r="B7600" i="106"/>
  <c r="L6" i="11"/>
  <c r="B7605" i="106" s="1"/>
  <c r="A7250" i="106"/>
  <c r="A7251" i="106" s="1"/>
  <c r="A7252" i="106" s="1"/>
  <c r="A7253" i="106" s="1"/>
  <c r="A7254" i="106" s="1"/>
  <c r="A7255" i="106" s="1"/>
  <c r="A7256" i="106" s="1"/>
  <c r="A7257" i="106" s="1"/>
  <c r="L279" i="29"/>
  <c r="L295" i="29" s="1"/>
  <c r="L74" i="29"/>
  <c r="B2031" i="106"/>
  <c r="D2031" i="106" s="1"/>
  <c r="L16" i="11"/>
  <c r="B2061" i="106" s="1"/>
  <c r="D2061" i="106" s="1"/>
  <c r="B7618" i="106"/>
  <c r="L14" i="11"/>
  <c r="B7623" i="106" s="1"/>
  <c r="B7503" i="106"/>
  <c r="B7531" i="106"/>
  <c r="I49" i="8"/>
  <c r="B1867" i="106"/>
  <c r="D1867" i="106" s="1"/>
  <c r="F15" i="8"/>
  <c r="L12" i="11"/>
  <c r="L8" i="11"/>
  <c r="G24" i="12"/>
  <c r="B211" i="106"/>
  <c r="D211" i="106" s="1"/>
  <c r="H41" i="3"/>
  <c r="B188" i="106"/>
  <c r="D188" i="106" s="1"/>
  <c r="G41" i="3"/>
  <c r="B139" i="106"/>
  <c r="D139" i="106" s="1"/>
  <c r="E41" i="3"/>
  <c r="J19" i="145"/>
  <c r="D82" i="36" s="1"/>
  <c r="L151" i="29"/>
  <c r="J24" i="12"/>
  <c r="B7730" i="106"/>
  <c r="D7730" i="106" s="1"/>
  <c r="B7270" i="106"/>
  <c r="B2057" i="106" l="1"/>
  <c r="D2057" i="106" s="1"/>
  <c r="M17" i="3"/>
  <c r="B274" i="106" s="1"/>
  <c r="D274" i="106" s="1"/>
  <c r="B2058" i="106"/>
  <c r="D2058" i="106" s="1"/>
  <c r="M18" i="3"/>
  <c r="B275" i="106" s="1"/>
  <c r="D275" i="106" s="1"/>
  <c r="B2059" i="106"/>
  <c r="D2059" i="106" s="1"/>
  <c r="M19" i="3"/>
  <c r="B276" i="106" s="1"/>
  <c r="D276" i="106" s="1"/>
  <c r="B2056" i="106"/>
  <c r="D2056" i="106" s="1"/>
  <c r="M16" i="3"/>
  <c r="L34" i="3"/>
  <c r="B2914" i="106"/>
  <c r="D2914" i="106" s="1"/>
  <c r="L114" i="29"/>
  <c r="D51" i="36"/>
  <c r="I26" i="12"/>
  <c r="B7741" i="106" s="1"/>
  <c r="D7741" i="106" s="1"/>
  <c r="B1996" i="106"/>
  <c r="D1996" i="106" s="1"/>
  <c r="B3568" i="106"/>
  <c r="D3568" i="106" s="1"/>
  <c r="D52" i="36"/>
  <c r="D44" i="36"/>
  <c r="B7733" i="106"/>
  <c r="D7733" i="106" s="1"/>
  <c r="K26" i="12"/>
  <c r="B7743" i="106" s="1"/>
  <c r="D7743" i="106" s="1"/>
  <c r="B1879" i="106"/>
  <c r="D1879" i="106" s="1"/>
  <c r="H22" i="37"/>
  <c r="B7760" i="106"/>
  <c r="D7760" i="106" s="1"/>
  <c r="D24" i="36"/>
  <c r="B171" i="106"/>
  <c r="D171" i="106" s="1"/>
  <c r="D47" i="36"/>
  <c r="B2913" i="106"/>
  <c r="D2913" i="106" s="1"/>
  <c r="D50" i="36"/>
  <c r="B124" i="106"/>
  <c r="D124" i="106" s="1"/>
  <c r="D45" i="36"/>
  <c r="B1875" i="106"/>
  <c r="D1875" i="106" s="1"/>
  <c r="F22" i="37"/>
  <c r="A7258" i="106"/>
  <c r="B7732" i="106"/>
  <c r="D7732" i="106" s="1"/>
  <c r="J26" i="12"/>
  <c r="B7742" i="106" s="1"/>
  <c r="D7742" i="106" s="1"/>
  <c r="B141" i="106"/>
  <c r="D141" i="106" s="1"/>
  <c r="D46" i="36"/>
  <c r="B190" i="106"/>
  <c r="D190" i="106" s="1"/>
  <c r="D48" i="36"/>
  <c r="B213" i="106"/>
  <c r="D213" i="106" s="1"/>
  <c r="D49" i="36"/>
  <c r="B1958" i="106"/>
  <c r="D1958" i="106" s="1"/>
  <c r="G26" i="12"/>
  <c r="B7739" i="106" s="1"/>
  <c r="D7739" i="106" s="1"/>
  <c r="B4171" i="106"/>
  <c r="D4171" i="106" s="1"/>
  <c r="N36" i="3"/>
  <c r="B7298" i="106"/>
  <c r="B7299" i="106"/>
  <c r="B273" i="106" l="1"/>
  <c r="D273" i="106" s="1"/>
  <c r="M23" i="3"/>
  <c r="B2916" i="106"/>
  <c r="D2916" i="106" s="1"/>
  <c r="L41" i="3"/>
  <c r="B1973" i="106"/>
  <c r="D1973" i="106" s="1"/>
  <c r="H12" i="12"/>
  <c r="H14" i="12" s="1"/>
  <c r="F24" i="37"/>
  <c r="A7259" i="106"/>
  <c r="H37" i="37"/>
  <c r="B285" i="106"/>
  <c r="D285" i="106" s="1"/>
  <c r="N37" i="3"/>
  <c r="B279" i="106" l="1"/>
  <c r="D279" i="106" s="1"/>
  <c r="M40" i="3"/>
  <c r="D53" i="36"/>
  <c r="B2917" i="106"/>
  <c r="D2917" i="106" s="1"/>
  <c r="B7720" i="106"/>
  <c r="D7720" i="106" s="1"/>
  <c r="H23" i="12"/>
  <c r="B1982" i="106" s="1"/>
  <c r="D1982" i="106" s="1"/>
  <c r="B1977" i="106"/>
  <c r="D1977" i="106" s="1"/>
  <c r="N41" i="3"/>
  <c r="B287" i="106"/>
  <c r="D287" i="106" s="1"/>
  <c r="B4997" i="106"/>
  <c r="D4997" i="106" s="1"/>
  <c r="H32" i="118"/>
  <c r="K32" i="118" s="1"/>
  <c r="O31" i="118" s="1"/>
  <c r="O33" i="118" s="1"/>
  <c r="A7260" i="106"/>
  <c r="B280" i="106" l="1"/>
  <c r="D280" i="106" s="1"/>
  <c r="M41" i="3"/>
  <c r="H24" i="12"/>
  <c r="B1983" i="106" s="1"/>
  <c r="D1983" i="106" s="1"/>
  <c r="A7261" i="106"/>
  <c r="B288" i="106"/>
  <c r="D288" i="106" s="1"/>
  <c r="D55" i="36"/>
  <c r="B281" i="106" l="1"/>
  <c r="D281" i="106" s="1"/>
  <c r="D54" i="36"/>
  <c r="H26" i="12"/>
  <c r="B7740" i="106" s="1"/>
  <c r="D7740" i="106" s="1"/>
  <c r="A7262" i="106"/>
  <c r="A7263" i="106" l="1"/>
  <c r="C323" i="29"/>
  <c r="G242" i="5"/>
  <c r="C44" i="29"/>
  <c r="C67" i="29"/>
  <c r="H96" i="5"/>
  <c r="C49" i="29"/>
  <c r="C18" i="29"/>
  <c r="D203" i="5"/>
  <c r="D74" i="4"/>
  <c r="K42" i="4"/>
  <c r="D207" i="5"/>
  <c r="D113" i="5"/>
  <c r="H25" i="29"/>
  <c r="H201" i="29"/>
  <c r="E133" i="29"/>
  <c r="G124" i="29"/>
  <c r="H185" i="29"/>
  <c r="E73" i="29"/>
  <c r="I14" i="5"/>
  <c r="D39" i="29"/>
  <c r="D19" i="29"/>
  <c r="F120" i="29"/>
  <c r="D302" i="29"/>
  <c r="E15" i="29"/>
  <c r="H14" i="5"/>
  <c r="H319" i="29"/>
  <c r="E42" i="4"/>
  <c r="F62" i="5"/>
  <c r="C88" i="5"/>
  <c r="G185" i="29"/>
  <c r="K243" i="5"/>
  <c r="E302" i="29"/>
  <c r="D217" i="29"/>
  <c r="H338" i="29"/>
  <c r="C52" i="29"/>
  <c r="C33" i="4"/>
  <c r="D202" i="5"/>
  <c r="E11" i="5"/>
  <c r="F302" i="29"/>
  <c r="F239" i="5"/>
  <c r="H237" i="5"/>
  <c r="H50" i="29"/>
  <c r="E40" i="29"/>
  <c r="C22" i="5"/>
  <c r="J302" i="29"/>
  <c r="J28" i="4"/>
  <c r="F349" i="29"/>
  <c r="D243" i="5"/>
  <c r="C80" i="5"/>
  <c r="H26" i="29"/>
  <c r="J327" i="29"/>
  <c r="E239" i="5"/>
  <c r="D182" i="29"/>
  <c r="C183" i="29"/>
  <c r="C245" i="5"/>
  <c r="D72" i="4"/>
  <c r="D268" i="29"/>
  <c r="C163" i="5"/>
  <c r="I64" i="29"/>
  <c r="C68" i="29"/>
  <c r="C66" i="5"/>
  <c r="C70" i="5"/>
  <c r="G236" i="5"/>
  <c r="D16" i="29"/>
  <c r="I8" i="29"/>
  <c r="E26" i="4"/>
  <c r="C73" i="5"/>
  <c r="J51" i="29"/>
  <c r="D234" i="5"/>
  <c r="J225" i="5"/>
  <c r="D159" i="5"/>
  <c r="E121" i="5"/>
  <c r="G257" i="5"/>
  <c r="C91" i="5"/>
  <c r="F301" i="29"/>
  <c r="D96" i="5"/>
  <c r="F201" i="5"/>
  <c r="C192" i="5"/>
  <c r="I35" i="4"/>
  <c r="C69" i="29"/>
  <c r="H71" i="29"/>
  <c r="F42" i="5"/>
  <c r="H59" i="4"/>
  <c r="F51" i="5"/>
  <c r="C228" i="5"/>
  <c r="H288" i="29"/>
  <c r="H159" i="29"/>
  <c r="G36" i="29"/>
  <c r="I329" i="29"/>
  <c r="G320" i="29"/>
  <c r="D67" i="4"/>
  <c r="C259" i="5"/>
  <c r="F174" i="5"/>
  <c r="D278" i="29"/>
  <c r="F97" i="5"/>
  <c r="C185" i="29"/>
  <c r="G197" i="5"/>
  <c r="H120" i="29"/>
  <c r="H337" i="29"/>
  <c r="F35" i="4"/>
  <c r="G244" i="5"/>
  <c r="F14" i="29"/>
  <c r="C85" i="5"/>
  <c r="H11" i="5"/>
  <c r="K239" i="5"/>
  <c r="D251" i="5"/>
  <c r="D49" i="29"/>
  <c r="D119" i="5"/>
  <c r="F243" i="5"/>
  <c r="C319" i="29"/>
  <c r="C128" i="5"/>
  <c r="G11" i="5"/>
  <c r="C129" i="5"/>
  <c r="H356" i="29"/>
  <c r="J60" i="29"/>
  <c r="H80" i="29"/>
  <c r="C121" i="5"/>
  <c r="C65" i="5"/>
  <c r="C72" i="4"/>
  <c r="D135" i="5"/>
  <c r="G66" i="5"/>
  <c r="E16" i="5"/>
  <c r="E328" i="29"/>
  <c r="D242" i="29"/>
  <c r="C73" i="29"/>
  <c r="D225" i="29"/>
  <c r="I319" i="29"/>
  <c r="K244" i="5"/>
  <c r="G182" i="29"/>
  <c r="H14" i="29"/>
  <c r="J62" i="29"/>
  <c r="F168" i="5"/>
  <c r="D154" i="5"/>
  <c r="E18" i="29"/>
  <c r="E5" i="29"/>
  <c r="H117" i="5"/>
  <c r="C15" i="29"/>
  <c r="E79" i="29"/>
  <c r="G208" i="5"/>
  <c r="I323" i="29"/>
  <c r="G117" i="5"/>
  <c r="D183" i="29"/>
  <c r="E120" i="29"/>
  <c r="J349" i="29"/>
  <c r="E19" i="29"/>
  <c r="H165" i="29"/>
  <c r="J9" i="29"/>
  <c r="I50" i="29"/>
  <c r="D62" i="29"/>
  <c r="H46" i="29"/>
  <c r="D122" i="29"/>
  <c r="C165" i="5"/>
  <c r="I324" i="29"/>
  <c r="F319" i="29"/>
  <c r="E319" i="29"/>
  <c r="C25" i="5"/>
  <c r="G213" i="5"/>
  <c r="C140" i="5"/>
  <c r="F28" i="4"/>
  <c r="I183" i="29"/>
  <c r="F25" i="4"/>
  <c r="C329" i="29"/>
  <c r="G36" i="4"/>
  <c r="G64" i="29"/>
  <c r="G200" i="5"/>
  <c r="C225" i="5"/>
  <c r="G135" i="5"/>
  <c r="H61" i="4"/>
  <c r="D69" i="4"/>
  <c r="G265" i="5"/>
  <c r="F16" i="29"/>
  <c r="K150" i="5"/>
  <c r="E35" i="4"/>
  <c r="H20" i="29"/>
  <c r="D81" i="5"/>
  <c r="C206" i="5"/>
  <c r="J17" i="29"/>
  <c r="D73" i="4"/>
  <c r="D75" i="4"/>
  <c r="G16" i="29"/>
  <c r="H145" i="29"/>
  <c r="D9" i="5"/>
  <c r="H138" i="29"/>
  <c r="I68" i="29"/>
  <c r="D45" i="29"/>
  <c r="D215" i="5"/>
  <c r="H327" i="29"/>
  <c r="F206" i="5"/>
  <c r="C55" i="4"/>
  <c r="C6" i="5"/>
  <c r="G104" i="5"/>
  <c r="H100" i="5"/>
  <c r="C256" i="5"/>
  <c r="J121" i="5"/>
  <c r="F11" i="29"/>
  <c r="D78" i="5"/>
  <c r="I321" i="29"/>
  <c r="J329" i="29"/>
  <c r="D179" i="5"/>
  <c r="F182" i="29"/>
  <c r="J11" i="5"/>
  <c r="C106" i="5"/>
  <c r="F214" i="5"/>
  <c r="F34" i="4"/>
  <c r="J71" i="29"/>
  <c r="D259" i="5"/>
  <c r="H62" i="29"/>
  <c r="H162" i="5"/>
  <c r="C321" i="29"/>
  <c r="I180" i="29"/>
  <c r="H35" i="4"/>
  <c r="E10" i="29"/>
  <c r="H15" i="5"/>
  <c r="H86" i="29"/>
  <c r="H150" i="5"/>
  <c r="H79" i="29"/>
  <c r="C326" i="29"/>
  <c r="E122" i="29"/>
  <c r="F63" i="29"/>
  <c r="G8" i="29"/>
  <c r="D240" i="29"/>
  <c r="F230" i="5"/>
  <c r="I322" i="29"/>
  <c r="G323" i="29"/>
  <c r="D49" i="4"/>
  <c r="J50" i="4"/>
  <c r="C97" i="5"/>
  <c r="G17" i="5"/>
  <c r="H99" i="29"/>
  <c r="F237" i="5"/>
  <c r="E62" i="29"/>
  <c r="C224" i="5"/>
  <c r="G258" i="5"/>
  <c r="K235" i="5"/>
  <c r="F38" i="29"/>
  <c r="H94" i="29"/>
  <c r="J41" i="29"/>
  <c r="D99" i="5"/>
  <c r="F61" i="5"/>
  <c r="F185" i="29"/>
  <c r="D41" i="29"/>
  <c r="H119" i="5"/>
  <c r="C351" i="29"/>
  <c r="G231" i="5"/>
  <c r="E83" i="29"/>
  <c r="E13" i="29"/>
  <c r="G9" i="29"/>
  <c r="G55" i="29"/>
  <c r="G139" i="5"/>
  <c r="D54" i="4"/>
  <c r="D123" i="29"/>
  <c r="G125" i="29"/>
  <c r="D235" i="5"/>
  <c r="C112" i="5"/>
  <c r="G39" i="29"/>
  <c r="F162" i="5"/>
  <c r="J322" i="29"/>
  <c r="H148" i="29"/>
  <c r="G14" i="5"/>
  <c r="D319" i="29"/>
  <c r="G203" i="5"/>
  <c r="I123" i="29"/>
  <c r="I44" i="29"/>
  <c r="D254" i="29"/>
  <c r="F246" i="5"/>
  <c r="C9" i="29"/>
  <c r="G194" i="5"/>
  <c r="E75" i="4"/>
  <c r="I173" i="5"/>
  <c r="G241" i="5"/>
  <c r="H103" i="5"/>
  <c r="K28" i="4"/>
  <c r="H90" i="29"/>
  <c r="C255" i="5"/>
  <c r="H64" i="29"/>
  <c r="C12" i="29"/>
  <c r="D216" i="29"/>
  <c r="E11" i="29"/>
  <c r="H89" i="29"/>
  <c r="D259" i="29"/>
  <c r="F215" i="5"/>
  <c r="C74" i="5"/>
  <c r="E231" i="5"/>
  <c r="H192" i="29"/>
  <c r="J106" i="5"/>
  <c r="J241" i="5"/>
  <c r="E5" i="5"/>
  <c r="G69" i="29"/>
  <c r="G263" i="5"/>
  <c r="C56" i="4"/>
  <c r="E309" i="29"/>
  <c r="H25" i="4"/>
  <c r="C153" i="5"/>
  <c r="F68" i="29"/>
  <c r="C43" i="4"/>
  <c r="F323" i="29"/>
  <c r="G7" i="29"/>
  <c r="H31" i="29"/>
  <c r="G225" i="5"/>
  <c r="D238" i="5"/>
  <c r="C180" i="5"/>
  <c r="D163" i="5"/>
  <c r="F128" i="29"/>
  <c r="K65" i="5"/>
  <c r="C302" i="29"/>
  <c r="E348" i="29"/>
  <c r="C56" i="29"/>
  <c r="C107" i="5"/>
  <c r="K25" i="4"/>
  <c r="J100" i="5"/>
  <c r="H332" i="29"/>
  <c r="D246" i="29"/>
  <c r="H183" i="29"/>
  <c r="F226" i="5"/>
  <c r="D97" i="5"/>
  <c r="J348" i="29"/>
  <c r="C36" i="4"/>
  <c r="J37" i="29"/>
  <c r="E320" i="29"/>
  <c r="F229" i="5"/>
  <c r="C51" i="29"/>
  <c r="J49" i="29"/>
  <c r="F180" i="29"/>
  <c r="D104" i="5"/>
  <c r="C45" i="29"/>
  <c r="G46" i="29"/>
  <c r="D324" i="29"/>
  <c r="H32" i="29"/>
  <c r="C58" i="4"/>
  <c r="H134" i="29"/>
  <c r="C227" i="5"/>
  <c r="C148" i="5"/>
  <c r="H166" i="29"/>
  <c r="E229" i="5"/>
  <c r="J12" i="29"/>
  <c r="F61" i="29"/>
  <c r="D266" i="29"/>
  <c r="G140" i="5"/>
  <c r="G187" i="5"/>
  <c r="F238" i="5"/>
  <c r="D223" i="5"/>
  <c r="H167" i="29"/>
  <c r="E36" i="29"/>
  <c r="C16" i="29"/>
  <c r="C137" i="5"/>
  <c r="J7" i="29"/>
  <c r="G183" i="29"/>
  <c r="I40" i="29"/>
  <c r="C29" i="5"/>
  <c r="F75" i="29"/>
  <c r="D231" i="5"/>
  <c r="J240" i="5"/>
  <c r="C179" i="5"/>
  <c r="E136" i="29"/>
  <c r="I15" i="29"/>
  <c r="E308" i="29"/>
  <c r="F60" i="5"/>
  <c r="E191" i="29"/>
  <c r="I325" i="29"/>
  <c r="F15" i="29"/>
  <c r="H37" i="29"/>
  <c r="D212" i="5"/>
  <c r="E243" i="5"/>
  <c r="K246" i="5"/>
  <c r="I59" i="29"/>
  <c r="F44" i="29"/>
  <c r="I71" i="29"/>
  <c r="I102" i="5"/>
  <c r="C46" i="29"/>
  <c r="H333" i="29"/>
  <c r="C11" i="29"/>
  <c r="D180" i="5"/>
  <c r="F73" i="29"/>
  <c r="J228" i="5"/>
  <c r="J55" i="29"/>
  <c r="H360" i="29"/>
  <c r="D218" i="29"/>
  <c r="D274" i="29"/>
  <c r="E242" i="5"/>
  <c r="D258" i="5"/>
  <c r="C63" i="29"/>
  <c r="G251" i="5"/>
  <c r="E70" i="29"/>
  <c r="C64" i="4"/>
  <c r="F250" i="5"/>
  <c r="D65" i="5"/>
  <c r="G326" i="29"/>
  <c r="H69" i="29"/>
  <c r="F265" i="5"/>
  <c r="E80" i="29"/>
  <c r="G248" i="5"/>
  <c r="H118" i="5"/>
  <c r="E36" i="4"/>
  <c r="H240" i="5"/>
  <c r="C122" i="29"/>
  <c r="H180" i="29"/>
  <c r="C216" i="5"/>
  <c r="H21" i="29"/>
  <c r="C49" i="4"/>
  <c r="G60" i="29"/>
  <c r="E66" i="5"/>
  <c r="K106" i="5"/>
  <c r="E6" i="29"/>
  <c r="H248" i="5"/>
  <c r="G214" i="5"/>
  <c r="E245" i="5"/>
  <c r="C197" i="5"/>
  <c r="I19" i="29"/>
  <c r="G229" i="5"/>
  <c r="H321" i="29"/>
  <c r="H108" i="29"/>
  <c r="J102" i="5"/>
  <c r="D246" i="5"/>
  <c r="H68" i="29"/>
  <c r="E327" i="29"/>
  <c r="G152" i="5"/>
  <c r="H75" i="29"/>
  <c r="F244" i="5"/>
  <c r="J223" i="5"/>
  <c r="H244" i="5"/>
  <c r="D200" i="5"/>
  <c r="K232" i="5"/>
  <c r="K43" i="4"/>
  <c r="D106" i="5"/>
  <c r="E31" i="4"/>
  <c r="H22" i="29"/>
  <c r="D234" i="29"/>
  <c r="F117" i="5"/>
  <c r="G191" i="5"/>
  <c r="E81" i="29"/>
  <c r="D235" i="29"/>
  <c r="C62" i="29"/>
  <c r="E306" i="29"/>
  <c r="C19" i="29"/>
  <c r="E230" i="5"/>
  <c r="H205" i="29"/>
  <c r="G59" i="29"/>
  <c r="G121" i="5"/>
  <c r="E52" i="29"/>
  <c r="K66" i="5"/>
  <c r="I97" i="5"/>
  <c r="D66" i="5"/>
  <c r="H120" i="5"/>
  <c r="G13" i="29"/>
  <c r="D273" i="29"/>
  <c r="D160" i="5"/>
  <c r="D139" i="5"/>
  <c r="H29" i="29"/>
  <c r="H78" i="29"/>
  <c r="D50" i="29"/>
  <c r="G235" i="5"/>
  <c r="J36" i="29"/>
  <c r="F49" i="5"/>
  <c r="J236" i="5"/>
  <c r="C8" i="29"/>
  <c r="D227" i="5"/>
  <c r="G40" i="29"/>
  <c r="E244" i="5"/>
  <c r="G99" i="5"/>
  <c r="E225" i="5"/>
  <c r="J185" i="29"/>
  <c r="G143" i="5"/>
  <c r="F18" i="29"/>
  <c r="J248" i="5"/>
  <c r="I55" i="29"/>
  <c r="J65" i="5"/>
  <c r="D166" i="5"/>
  <c r="C34" i="5"/>
  <c r="H320" i="29"/>
  <c r="E67" i="29"/>
  <c r="H50" i="4"/>
  <c r="H235" i="5"/>
  <c r="C50" i="29"/>
  <c r="D25" i="4"/>
  <c r="D237" i="5"/>
  <c r="J173" i="5"/>
  <c r="J238" i="5"/>
  <c r="D213" i="5"/>
  <c r="G158" i="5"/>
  <c r="I73" i="29"/>
  <c r="E180" i="29"/>
  <c r="I124" i="29"/>
  <c r="E150" i="5"/>
  <c r="C242" i="5"/>
  <c r="F322" i="29"/>
  <c r="D252" i="29"/>
  <c r="D37" i="29"/>
  <c r="G261" i="5"/>
  <c r="F164" i="5"/>
  <c r="I5" i="5"/>
  <c r="I39" i="29"/>
  <c r="D185" i="29"/>
  <c r="H70" i="29"/>
  <c r="G5" i="5"/>
  <c r="J69" i="29"/>
  <c r="I17" i="29"/>
  <c r="I150" i="5"/>
  <c r="K16" i="5"/>
  <c r="D15" i="5"/>
  <c r="D121" i="5"/>
  <c r="I128" i="29"/>
  <c r="I62" i="29"/>
  <c r="C87" i="5"/>
  <c r="C41" i="29"/>
  <c r="G97" i="5"/>
  <c r="G26" i="4"/>
  <c r="C180" i="29"/>
  <c r="I28" i="4"/>
  <c r="G62" i="29"/>
  <c r="C249" i="5"/>
  <c r="C193" i="5"/>
  <c r="C322" i="29"/>
  <c r="C164" i="5"/>
  <c r="G302" i="29"/>
  <c r="C143" i="5"/>
  <c r="H43" i="4"/>
  <c r="I33" i="4"/>
  <c r="H63" i="29"/>
  <c r="F247" i="5"/>
  <c r="H11" i="29"/>
  <c r="F98" i="5"/>
  <c r="E9" i="29"/>
  <c r="D13" i="29"/>
  <c r="D282" i="29"/>
  <c r="G246" i="5"/>
  <c r="D7" i="5"/>
  <c r="E64" i="29"/>
  <c r="G262" i="5"/>
  <c r="F241" i="5"/>
  <c r="D11" i="29"/>
  <c r="E63" i="29"/>
  <c r="G73" i="29"/>
  <c r="H348" i="29"/>
  <c r="H55" i="29"/>
  <c r="H228" i="5"/>
  <c r="D71" i="4"/>
  <c r="D224" i="5"/>
  <c r="D59" i="29"/>
  <c r="F326" i="29"/>
  <c r="C201" i="5"/>
  <c r="C251" i="5"/>
  <c r="F57" i="5"/>
  <c r="E228" i="5"/>
  <c r="J325" i="29"/>
  <c r="C74" i="4"/>
  <c r="J26" i="4"/>
  <c r="F321" i="29"/>
  <c r="C17" i="5"/>
  <c r="I69" i="29"/>
  <c r="C177" i="5"/>
  <c r="I149" i="5"/>
  <c r="K245" i="5"/>
  <c r="E349" i="29"/>
  <c r="I349" i="29"/>
  <c r="D236" i="5"/>
  <c r="D60" i="4"/>
  <c r="H302" i="29"/>
  <c r="C182" i="29"/>
  <c r="H15" i="29"/>
  <c r="C34" i="4"/>
  <c r="C320" i="29"/>
  <c r="E351" i="29"/>
  <c r="C79" i="5"/>
  <c r="G138" i="5"/>
  <c r="G5" i="29"/>
  <c r="D348" i="29"/>
  <c r="E33" i="4"/>
  <c r="H67" i="29"/>
  <c r="I36" i="29"/>
  <c r="H8" i="29"/>
  <c r="G259" i="5"/>
  <c r="C70" i="29"/>
  <c r="H251" i="5"/>
  <c r="H23" i="29"/>
  <c r="F67" i="29"/>
  <c r="D127" i="5"/>
  <c r="C11" i="5"/>
  <c r="C102" i="5"/>
  <c r="E163" i="5"/>
  <c r="D325" i="29"/>
  <c r="C10" i="5"/>
  <c r="D120" i="5"/>
  <c r="D326" i="29"/>
  <c r="E247" i="5"/>
  <c r="H60" i="29"/>
  <c r="G325" i="29"/>
  <c r="G19" i="29"/>
  <c r="G202" i="5"/>
  <c r="K34" i="4"/>
  <c r="I38" i="29"/>
  <c r="F180" i="5"/>
  <c r="C73" i="4"/>
  <c r="D140" i="5"/>
  <c r="K265" i="5"/>
  <c r="D68" i="29"/>
  <c r="E99" i="29"/>
  <c r="G61" i="29"/>
  <c r="C128" i="29"/>
  <c r="K163" i="5"/>
  <c r="G15" i="5"/>
  <c r="D256" i="29"/>
  <c r="F50" i="4"/>
  <c r="D222" i="5"/>
  <c r="G25" i="4"/>
  <c r="H164" i="29"/>
  <c r="J44" i="29"/>
  <c r="F129" i="5"/>
  <c r="G45" i="29"/>
  <c r="C125" i="29"/>
  <c r="K33" i="4"/>
  <c r="I46" i="29"/>
  <c r="H158" i="29"/>
  <c r="E68" i="29"/>
  <c r="D40" i="29"/>
  <c r="E251" i="5"/>
  <c r="D320" i="29"/>
  <c r="J16" i="29"/>
  <c r="F255" i="5"/>
  <c r="F99" i="5"/>
  <c r="F60" i="29"/>
  <c r="D9" i="29"/>
  <c r="D59" i="4"/>
  <c r="C71" i="5"/>
  <c r="D206" i="5"/>
  <c r="I75" i="4"/>
  <c r="E8" i="29"/>
  <c r="I11" i="5"/>
  <c r="J244" i="5"/>
  <c r="I63" i="29"/>
  <c r="E9" i="5"/>
  <c r="D67" i="29"/>
  <c r="H58" i="4"/>
  <c r="E120" i="5"/>
  <c r="H40" i="29"/>
  <c r="C13" i="29"/>
  <c r="I14" i="29"/>
  <c r="E125" i="29"/>
  <c r="H242" i="5"/>
  <c r="H66" i="5"/>
  <c r="H59" i="29"/>
  <c r="H182" i="29"/>
  <c r="G159" i="5"/>
  <c r="G185" i="5"/>
  <c r="H169" i="29"/>
  <c r="G186" i="5"/>
  <c r="E232" i="5"/>
  <c r="C7" i="5"/>
  <c r="C126" i="5"/>
  <c r="E14" i="29"/>
  <c r="G56" i="29"/>
  <c r="D28" i="4"/>
  <c r="G219" i="5"/>
  <c r="E241" i="5"/>
  <c r="K173" i="5"/>
  <c r="H105" i="29"/>
  <c r="D63" i="4"/>
  <c r="H190" i="29"/>
  <c r="G174" i="5"/>
  <c r="G349" i="29"/>
  <c r="F59" i="29"/>
  <c r="J251" i="5"/>
  <c r="K229" i="5"/>
  <c r="C238" i="5"/>
  <c r="D73" i="29"/>
  <c r="H171" i="29"/>
  <c r="C200" i="5"/>
  <c r="H17" i="29"/>
  <c r="H325" i="29"/>
  <c r="E135" i="29"/>
  <c r="F320" i="29"/>
  <c r="D153" i="5"/>
  <c r="H323" i="29"/>
  <c r="D95" i="5"/>
  <c r="K242" i="5"/>
  <c r="E236" i="5"/>
  <c r="H227" i="5"/>
  <c r="G106" i="5"/>
  <c r="C37" i="29"/>
  <c r="E171" i="29"/>
  <c r="D257" i="5"/>
  <c r="J120" i="29"/>
  <c r="D102" i="5"/>
  <c r="F159" i="5"/>
  <c r="G10" i="29"/>
  <c r="F185" i="5"/>
  <c r="I122" i="29"/>
  <c r="H49" i="29"/>
  <c r="H107" i="5"/>
  <c r="F227" i="5"/>
  <c r="G102" i="5"/>
  <c r="G254" i="5"/>
  <c r="G228" i="5"/>
  <c r="F327" i="29"/>
  <c r="D161" i="5"/>
  <c r="D224" i="29"/>
  <c r="F263" i="5"/>
  <c r="H250" i="5"/>
  <c r="D211" i="5"/>
  <c r="F256" i="5"/>
  <c r="I65" i="5"/>
  <c r="D138" i="5"/>
  <c r="C184" i="5"/>
  <c r="I100" i="5"/>
  <c r="D77" i="5"/>
  <c r="D46" i="29"/>
  <c r="D75" i="29"/>
  <c r="H96" i="29"/>
  <c r="G147" i="5"/>
  <c r="C257" i="5"/>
  <c r="E51" i="29"/>
  <c r="I15" i="5"/>
  <c r="G220" i="5"/>
  <c r="E71" i="29"/>
  <c r="F324" i="29"/>
  <c r="G319" i="29"/>
  <c r="I120" i="29"/>
  <c r="J250" i="5"/>
  <c r="C123" i="29"/>
  <c r="D265" i="5"/>
  <c r="F65" i="5"/>
  <c r="F104" i="5"/>
  <c r="C263" i="5"/>
  <c r="J328" i="29"/>
  <c r="E12" i="29"/>
  <c r="G74" i="4"/>
  <c r="G247" i="5"/>
  <c r="F235" i="5"/>
  <c r="J19" i="29"/>
  <c r="K237" i="5"/>
  <c r="H95" i="29"/>
  <c r="D276" i="29"/>
  <c r="E55" i="29"/>
  <c r="D267" i="29"/>
  <c r="F66" i="5"/>
  <c r="D244" i="5"/>
  <c r="E59" i="29"/>
  <c r="F153" i="5"/>
  <c r="K26" i="4"/>
  <c r="G42" i="4"/>
  <c r="K5" i="5"/>
  <c r="H124" i="29"/>
  <c r="D7" i="29"/>
  <c r="C136" i="5"/>
  <c r="E106" i="5"/>
  <c r="G348" i="29"/>
  <c r="K102" i="5"/>
  <c r="K247" i="5"/>
  <c r="H87" i="29"/>
  <c r="C101" i="5"/>
  <c r="E321" i="29"/>
  <c r="J52" i="29"/>
  <c r="K228" i="5"/>
  <c r="F203" i="5"/>
  <c r="C20" i="5"/>
  <c r="H133" i="29"/>
  <c r="F242" i="5"/>
  <c r="D264" i="5"/>
  <c r="D265" i="29"/>
  <c r="D187" i="5"/>
  <c r="F11" i="5"/>
  <c r="F42" i="4"/>
  <c r="I301" i="29"/>
  <c r="C98" i="5"/>
  <c r="H128" i="29"/>
  <c r="D128" i="29"/>
  <c r="F70" i="29"/>
  <c r="J247" i="5"/>
  <c r="D227" i="29"/>
  <c r="C131" i="5"/>
  <c r="F56" i="29"/>
  <c r="E15" i="5"/>
  <c r="G63" i="29"/>
  <c r="C17" i="29"/>
  <c r="K149" i="5"/>
  <c r="E173" i="5"/>
  <c r="C348" i="29"/>
  <c r="K240" i="5"/>
  <c r="D186" i="5"/>
  <c r="K226" i="5"/>
  <c r="J107" i="5"/>
  <c r="F154" i="5"/>
  <c r="K168" i="5"/>
  <c r="C65" i="4"/>
  <c r="D43" i="4"/>
  <c r="D34" i="4"/>
  <c r="C173" i="5"/>
  <c r="D56" i="4"/>
  <c r="D162" i="5"/>
  <c r="H241" i="5"/>
  <c r="F119" i="5"/>
  <c r="E307" i="29"/>
  <c r="C33" i="5"/>
  <c r="J130" i="29"/>
  <c r="H16" i="5"/>
  <c r="F62" i="29"/>
  <c r="D351" i="29"/>
  <c r="F7" i="29"/>
  <c r="J245" i="5"/>
  <c r="G149" i="5"/>
  <c r="F131" i="5"/>
  <c r="D27" i="4"/>
  <c r="G111" i="5"/>
  <c r="C186" i="5"/>
  <c r="D174" i="5"/>
  <c r="H28" i="4"/>
  <c r="H122" i="29"/>
  <c r="D68" i="4"/>
  <c r="J63" i="29"/>
  <c r="D180" i="29"/>
  <c r="H189" i="29"/>
  <c r="J39" i="29"/>
  <c r="C194" i="5"/>
  <c r="J227" i="5"/>
  <c r="D250" i="29"/>
  <c r="D220" i="5"/>
  <c r="H247" i="5"/>
  <c r="F160" i="5"/>
  <c r="G18" i="29"/>
  <c r="F40" i="29"/>
  <c r="C222" i="5"/>
  <c r="C71" i="4"/>
  <c r="H88" i="29"/>
  <c r="H121" i="5"/>
  <c r="C42" i="4"/>
  <c r="K11" i="5"/>
  <c r="C187" i="5"/>
  <c r="C118" i="5"/>
  <c r="J59" i="29"/>
  <c r="C15" i="5"/>
  <c r="C95" i="5"/>
  <c r="C61" i="29"/>
  <c r="H52" i="29"/>
  <c r="H231" i="5"/>
  <c r="F9" i="29"/>
  <c r="D63" i="29"/>
  <c r="I56" i="29"/>
  <c r="H123" i="29"/>
  <c r="E123" i="29"/>
  <c r="C149" i="5"/>
  <c r="F47" i="5"/>
  <c r="K241" i="5"/>
  <c r="J231" i="5"/>
  <c r="J68" i="29"/>
  <c r="H326" i="29"/>
  <c r="H75" i="4"/>
  <c r="D61" i="29"/>
  <c r="F257" i="5"/>
  <c r="F112" i="5"/>
  <c r="C174" i="5"/>
  <c r="C239" i="5"/>
  <c r="D249" i="5"/>
  <c r="F200" i="5"/>
  <c r="H60" i="4"/>
  <c r="F54" i="5"/>
  <c r="C30" i="5"/>
  <c r="K100" i="5"/>
  <c r="J249" i="5"/>
  <c r="G180" i="5"/>
  <c r="C260" i="5"/>
  <c r="H85" i="29"/>
  <c r="F213" i="5"/>
  <c r="D280" i="29"/>
  <c r="J125" i="29"/>
  <c r="H107" i="29"/>
  <c r="J16" i="5"/>
  <c r="I60" i="29"/>
  <c r="H33" i="4"/>
  <c r="D10" i="29"/>
  <c r="H290" i="29"/>
  <c r="C7" i="29"/>
  <c r="C54" i="4"/>
  <c r="H351" i="29"/>
  <c r="G49" i="29"/>
  <c r="H163" i="5"/>
  <c r="D219" i="29"/>
  <c r="C5" i="5"/>
  <c r="G233" i="5"/>
  <c r="D6" i="5"/>
  <c r="E7" i="29"/>
  <c r="F15" i="5"/>
  <c r="D112" i="5"/>
  <c r="H106" i="29"/>
  <c r="D124" i="29"/>
  <c r="H61" i="29"/>
  <c r="H236" i="5"/>
  <c r="F125" i="29"/>
  <c r="I326" i="29"/>
  <c r="C104" i="5"/>
  <c r="K119" i="5"/>
  <c r="G113" i="5"/>
  <c r="F56" i="5"/>
  <c r="J18" i="29"/>
  <c r="F96" i="5"/>
  <c r="E124" i="29"/>
  <c r="C14" i="5"/>
  <c r="D230" i="5"/>
  <c r="C248" i="5"/>
  <c r="F328" i="29"/>
  <c r="H142" i="29"/>
  <c r="F179" i="5"/>
  <c r="H144" i="29"/>
  <c r="I41" i="29"/>
  <c r="D220" i="29"/>
  <c r="C232" i="5"/>
  <c r="F165" i="5"/>
  <c r="J75" i="4"/>
  <c r="E183" i="29"/>
  <c r="C236" i="5"/>
  <c r="J34" i="4"/>
  <c r="F36" i="29"/>
  <c r="H45" i="29"/>
  <c r="C67" i="4"/>
  <c r="H207" i="29"/>
  <c r="H97" i="29"/>
  <c r="F41" i="29"/>
  <c r="J119" i="5"/>
  <c r="I75" i="29"/>
  <c r="C99" i="5"/>
  <c r="F127" i="5"/>
  <c r="C59" i="4"/>
  <c r="J70" i="29"/>
  <c r="G215" i="5"/>
  <c r="H265" i="5"/>
  <c r="H363" i="29"/>
  <c r="F5" i="29"/>
  <c r="C235" i="5"/>
  <c r="D17" i="5"/>
  <c r="K231" i="5"/>
  <c r="C61" i="4"/>
  <c r="D241" i="5"/>
  <c r="C69" i="4"/>
  <c r="G239" i="5"/>
  <c r="K249" i="5"/>
  <c r="G222" i="5"/>
  <c r="G120" i="5"/>
  <c r="E97" i="5"/>
  <c r="H101" i="29"/>
  <c r="D255" i="29"/>
  <c r="F158" i="5"/>
  <c r="I168" i="5"/>
  <c r="C75" i="29"/>
  <c r="J351" i="29"/>
  <c r="G128" i="29"/>
  <c r="K180" i="5"/>
  <c r="C38" i="29"/>
  <c r="I107" i="5"/>
  <c r="D120" i="29"/>
  <c r="C158" i="5"/>
  <c r="E117" i="5"/>
  <c r="H223" i="5"/>
  <c r="G126" i="29"/>
  <c r="E188" i="29"/>
  <c r="D26" i="4"/>
  <c r="J124" i="29"/>
  <c r="H9" i="5"/>
  <c r="I96" i="5"/>
  <c r="C62" i="4"/>
  <c r="E250" i="5"/>
  <c r="K35" i="4"/>
  <c r="J66" i="5"/>
  <c r="H168" i="5"/>
  <c r="C57" i="4"/>
  <c r="J117" i="5"/>
  <c r="G71" i="29"/>
  <c r="C254" i="5"/>
  <c r="F113" i="5"/>
  <c r="H104" i="5"/>
  <c r="J33" i="4"/>
  <c r="J64" i="29"/>
  <c r="C28" i="4"/>
  <c r="H109" i="29"/>
  <c r="C208" i="5"/>
  <c r="I51" i="29"/>
  <c r="H51" i="29"/>
  <c r="C78" i="5"/>
  <c r="C27" i="5"/>
  <c r="D201" i="5"/>
  <c r="C244" i="5"/>
  <c r="C327" i="29"/>
  <c r="F249" i="5"/>
  <c r="G16" i="5"/>
  <c r="D232" i="29"/>
  <c r="C64" i="29"/>
  <c r="D247" i="5"/>
  <c r="C214" i="5"/>
  <c r="E37" i="29"/>
  <c r="J11" i="29"/>
  <c r="F52" i="5"/>
  <c r="G201" i="5"/>
  <c r="C258" i="5"/>
  <c r="J123" i="29"/>
  <c r="E325" i="29"/>
  <c r="E45" i="29"/>
  <c r="I45" i="29"/>
  <c r="G227" i="5"/>
  <c r="F50" i="29"/>
  <c r="D157" i="5"/>
  <c r="G256" i="5"/>
  <c r="D147" i="5"/>
  <c r="C32" i="5"/>
  <c r="H174" i="5"/>
  <c r="E103" i="5"/>
  <c r="C301" i="29"/>
  <c r="D263" i="29"/>
  <c r="H246" i="5"/>
  <c r="J319" i="29"/>
  <c r="H307" i="29"/>
  <c r="K227" i="5"/>
  <c r="C120" i="5"/>
  <c r="K238" i="5"/>
  <c r="F106" i="5"/>
  <c r="E326" i="29"/>
  <c r="K99" i="5"/>
  <c r="J118" i="5"/>
  <c r="D55" i="4"/>
  <c r="D327" i="29"/>
  <c r="F49" i="29"/>
  <c r="D70" i="4"/>
  <c r="C14" i="29"/>
  <c r="C191" i="5"/>
  <c r="C234" i="5"/>
  <c r="E195" i="29"/>
  <c r="F240" i="5"/>
  <c r="C160" i="5"/>
  <c r="D237" i="29"/>
  <c r="H238" i="5"/>
  <c r="C39" i="29"/>
  <c r="D12" i="29"/>
  <c r="F45" i="5"/>
  <c r="I5" i="29"/>
  <c r="C324" i="29"/>
  <c r="D250" i="5"/>
  <c r="C229" i="5"/>
  <c r="F8" i="29"/>
  <c r="I9" i="29"/>
  <c r="F26" i="4"/>
  <c r="C75" i="4"/>
  <c r="F121" i="5"/>
  <c r="D208" i="5"/>
  <c r="G37" i="29"/>
  <c r="G123" i="29"/>
  <c r="E28" i="4"/>
  <c r="F264" i="5"/>
  <c r="G230" i="5"/>
  <c r="F150" i="5"/>
  <c r="C130" i="29"/>
  <c r="H5" i="29"/>
  <c r="C154" i="5"/>
  <c r="E61" i="29"/>
  <c r="D71" i="29"/>
  <c r="C130" i="5"/>
  <c r="C246" i="5"/>
  <c r="C162" i="5"/>
  <c r="C55" i="29"/>
  <c r="E56" i="29"/>
  <c r="D152" i="5"/>
  <c r="I348" i="29"/>
  <c r="F254" i="5"/>
  <c r="K174" i="5"/>
  <c r="D149" i="5"/>
  <c r="F27" i="4"/>
  <c r="G96" i="5"/>
  <c r="I126" i="29"/>
  <c r="C144" i="5"/>
  <c r="C250" i="5"/>
  <c r="G193" i="5"/>
  <c r="G50" i="4"/>
  <c r="J50" i="29"/>
  <c r="D5" i="5"/>
  <c r="J326" i="29"/>
  <c r="J120" i="5"/>
  <c r="D137" i="5"/>
  <c r="E96" i="5"/>
  <c r="E324" i="29"/>
  <c r="C203" i="5"/>
  <c r="K225" i="5"/>
  <c r="J5" i="5"/>
  <c r="J239" i="5"/>
  <c r="D184" i="5"/>
  <c r="G52" i="29"/>
  <c r="F19" i="29"/>
  <c r="C138" i="5"/>
  <c r="C124" i="29"/>
  <c r="G264" i="5"/>
  <c r="D215" i="29"/>
  <c r="I16" i="5"/>
  <c r="G75" i="4"/>
  <c r="C226" i="5"/>
  <c r="H199" i="29"/>
  <c r="D229" i="5"/>
  <c r="D219" i="5"/>
  <c r="D236" i="29"/>
  <c r="H24" i="29"/>
  <c r="C328" i="29"/>
  <c r="H5" i="5"/>
  <c r="D168" i="5"/>
  <c r="F245" i="5"/>
  <c r="H226" i="5"/>
  <c r="F211" i="5"/>
  <c r="F124" i="29"/>
  <c r="D241" i="29"/>
  <c r="I49" i="29"/>
  <c r="C127" i="5"/>
  <c r="F259" i="5"/>
  <c r="C105" i="5"/>
  <c r="D323" i="29"/>
  <c r="D38" i="29"/>
  <c r="H249" i="5"/>
  <c r="E69" i="29"/>
  <c r="G44" i="29"/>
  <c r="C134" i="5"/>
  <c r="F51" i="29"/>
  <c r="H41" i="29"/>
  <c r="F187" i="5"/>
  <c r="F216" i="5"/>
  <c r="H195" i="29"/>
  <c r="D107" i="5"/>
  <c r="D14" i="5"/>
  <c r="D62" i="4"/>
  <c r="C100" i="5"/>
  <c r="H73" i="29"/>
  <c r="D134" i="5"/>
  <c r="D8" i="29"/>
  <c r="G195" i="5"/>
  <c r="G190" i="5"/>
  <c r="E235" i="5"/>
  <c r="G249" i="5"/>
  <c r="D118" i="5"/>
  <c r="G150" i="5"/>
  <c r="G154" i="5"/>
  <c r="G207" i="5"/>
  <c r="D321" i="29"/>
  <c r="G12" i="29"/>
  <c r="H322" i="29"/>
  <c r="H42" i="4"/>
  <c r="E322" i="29"/>
  <c r="C86" i="5"/>
  <c r="D245" i="29"/>
  <c r="I70" i="29"/>
  <c r="G122" i="29"/>
  <c r="F149" i="5"/>
  <c r="H65" i="5"/>
  <c r="D16" i="5"/>
  <c r="C243" i="5"/>
  <c r="H27" i="29"/>
  <c r="I67" i="29"/>
  <c r="F208" i="5"/>
  <c r="I125" i="29"/>
  <c r="C16" i="5"/>
  <c r="D42" i="4"/>
  <c r="H97" i="5"/>
  <c r="C146" i="5"/>
  <c r="E149" i="5"/>
  <c r="H18" i="29"/>
  <c r="D223" i="29"/>
  <c r="H308" i="29"/>
  <c r="C84" i="5"/>
  <c r="D65" i="4"/>
  <c r="D260" i="29"/>
  <c r="C77" i="5"/>
  <c r="J45" i="29"/>
  <c r="D173" i="5"/>
  <c r="F49" i="4"/>
  <c r="D167" i="5"/>
  <c r="H57" i="4"/>
  <c r="F43" i="5"/>
  <c r="J320" i="29"/>
  <c r="D226" i="29"/>
  <c r="C213" i="5"/>
  <c r="H200" i="29"/>
  <c r="C211" i="5"/>
  <c r="K250" i="5"/>
  <c r="D61" i="4"/>
  <c r="G238" i="5"/>
  <c r="E17" i="29"/>
  <c r="J128" i="29"/>
  <c r="D233" i="29"/>
  <c r="E50" i="29"/>
  <c r="H146" i="29"/>
  <c r="C150" i="5"/>
  <c r="E38" i="29"/>
  <c r="D14" i="29"/>
  <c r="C89" i="5"/>
  <c r="K96" i="5"/>
  <c r="F45" i="29"/>
  <c r="E227" i="5"/>
  <c r="E44" i="29"/>
  <c r="H243" i="5"/>
  <c r="C10" i="29"/>
  <c r="D30" i="4"/>
  <c r="F43" i="4"/>
  <c r="K230" i="5"/>
  <c r="C264" i="5"/>
  <c r="D214" i="5"/>
  <c r="G206" i="5"/>
  <c r="E182" i="29"/>
  <c r="H179" i="5"/>
  <c r="E46" i="29"/>
  <c r="H206" i="29"/>
  <c r="E323" i="29"/>
  <c r="H83" i="29"/>
  <c r="I327" i="29"/>
  <c r="F130" i="29"/>
  <c r="G157" i="5"/>
  <c r="C69" i="5"/>
  <c r="H230" i="5"/>
  <c r="C70" i="4"/>
  <c r="C159" i="5"/>
  <c r="F75" i="4"/>
  <c r="G162" i="5"/>
  <c r="H136" i="29"/>
  <c r="E75" i="29"/>
  <c r="F329" i="29"/>
  <c r="H93" i="29"/>
  <c r="D50" i="4"/>
  <c r="C190" i="5"/>
  <c r="D18" i="29"/>
  <c r="H106" i="5"/>
  <c r="F233" i="5"/>
  <c r="H239" i="5"/>
  <c r="J15" i="5"/>
  <c r="G192" i="5"/>
  <c r="D248" i="5"/>
  <c r="F202" i="5"/>
  <c r="C5" i="29"/>
  <c r="G160" i="5"/>
  <c r="I130" i="29"/>
  <c r="F126" i="5"/>
  <c r="C207" i="5"/>
  <c r="D248" i="29"/>
  <c r="C253" i="5"/>
  <c r="H36" i="4"/>
  <c r="K14" i="5"/>
  <c r="C161" i="5"/>
  <c r="G28" i="4"/>
  <c r="J150" i="5"/>
  <c r="H38" i="29"/>
  <c r="I351" i="29"/>
  <c r="F157" i="5"/>
  <c r="D242" i="5"/>
  <c r="H56" i="29"/>
  <c r="G223" i="5"/>
  <c r="G119" i="5"/>
  <c r="G255" i="5"/>
  <c r="D148" i="5"/>
  <c r="F17" i="29"/>
  <c r="C60" i="4"/>
  <c r="J180" i="29"/>
  <c r="J243" i="5"/>
  <c r="C139" i="5"/>
  <c r="C59" i="29"/>
  <c r="K107" i="5"/>
  <c r="D51" i="29"/>
  <c r="J36" i="4"/>
  <c r="G163" i="5"/>
  <c r="G212" i="5"/>
  <c r="C113" i="5"/>
  <c r="D233" i="5"/>
  <c r="G8" i="5"/>
  <c r="F37" i="29"/>
  <c r="G130" i="29"/>
  <c r="D69" i="29"/>
  <c r="F107" i="5"/>
  <c r="D136" i="5"/>
  <c r="C38" i="5"/>
  <c r="G68" i="29"/>
  <c r="G136" i="5"/>
  <c r="F251" i="5"/>
  <c r="H166" i="5"/>
  <c r="H54" i="4"/>
  <c r="F50" i="5"/>
  <c r="H99" i="5"/>
  <c r="D245" i="5"/>
  <c r="D178" i="5"/>
  <c r="G260" i="5"/>
  <c r="E101" i="29"/>
  <c r="D349" i="29"/>
  <c r="J61" i="29"/>
  <c r="F161" i="5"/>
  <c r="F111" i="5"/>
  <c r="E226" i="5"/>
  <c r="F14" i="5"/>
  <c r="F236" i="5"/>
  <c r="E192" i="29"/>
  <c r="H17" i="5"/>
  <c r="D253" i="29"/>
  <c r="D33" i="4"/>
  <c r="E78" i="29"/>
  <c r="G65" i="5"/>
  <c r="D117" i="5"/>
  <c r="E107" i="5"/>
  <c r="C23" i="5"/>
  <c r="J43" i="4"/>
  <c r="J13" i="29"/>
  <c r="H170" i="29"/>
  <c r="I182" i="29"/>
  <c r="J10" i="29"/>
  <c r="E238" i="5"/>
  <c r="J96" i="5"/>
  <c r="G321" i="29"/>
  <c r="J14" i="29"/>
  <c r="J301" i="29"/>
  <c r="C212" i="5"/>
  <c r="D56" i="29"/>
  <c r="H301" i="29"/>
  <c r="D284" i="29"/>
  <c r="C39" i="5"/>
  <c r="H306" i="29"/>
  <c r="F123" i="29"/>
  <c r="C237" i="5"/>
  <c r="H13" i="29"/>
  <c r="C35" i="5"/>
  <c r="F13" i="29"/>
  <c r="C21" i="5"/>
  <c r="C36" i="29"/>
  <c r="F74" i="4"/>
  <c r="H229" i="5"/>
  <c r="C31" i="5"/>
  <c r="F17" i="5"/>
  <c r="C36" i="5"/>
  <c r="H178" i="5"/>
  <c r="D29" i="4"/>
  <c r="J321" i="29"/>
  <c r="E130" i="29"/>
  <c r="E50" i="4"/>
  <c r="F231" i="5"/>
  <c r="E237" i="5"/>
  <c r="J230" i="5"/>
  <c r="G327" i="29"/>
  <c r="G329" i="29"/>
  <c r="C202" i="5"/>
  <c r="D272" i="29"/>
  <c r="J15" i="29"/>
  <c r="F64" i="29"/>
  <c r="G118" i="5"/>
  <c r="F128" i="5"/>
  <c r="D130" i="29"/>
  <c r="G237" i="5"/>
  <c r="D249" i="29"/>
  <c r="F120" i="5"/>
  <c r="D35" i="4"/>
  <c r="I12" i="29"/>
  <c r="K120" i="5"/>
  <c r="C231" i="5"/>
  <c r="C63" i="4"/>
  <c r="H135" i="29"/>
  <c r="D125" i="29"/>
  <c r="C262" i="5"/>
  <c r="E43" i="4"/>
  <c r="H188" i="29"/>
  <c r="F16" i="5"/>
  <c r="C261" i="5"/>
  <c r="C219" i="5"/>
  <c r="E301" i="29"/>
  <c r="E34" i="4"/>
  <c r="E185" i="29"/>
  <c r="E49" i="29"/>
  <c r="E119" i="5"/>
  <c r="H30" i="29"/>
  <c r="G112" i="5"/>
  <c r="E17" i="5"/>
  <c r="G120" i="29"/>
  <c r="G168" i="5"/>
  <c r="I61" i="29"/>
  <c r="F225" i="5"/>
  <c r="D100" i="5"/>
  <c r="G250" i="5"/>
  <c r="C147" i="5"/>
  <c r="H349" i="29"/>
  <c r="K121" i="5"/>
  <c r="I174" i="5"/>
  <c r="G243" i="5"/>
  <c r="C26" i="4"/>
  <c r="E118" i="5"/>
  <c r="J246" i="5"/>
  <c r="D5" i="29"/>
  <c r="H191" i="29"/>
  <c r="E249" i="5"/>
  <c r="K167" i="5"/>
  <c r="E100" i="5"/>
  <c r="H36" i="29"/>
  <c r="I10" i="29"/>
  <c r="H163" i="29"/>
  <c r="G15" i="29"/>
  <c r="H130" i="29"/>
  <c r="J229" i="5"/>
  <c r="D232" i="5"/>
  <c r="D222" i="29"/>
  <c r="C325" i="29"/>
  <c r="D329" i="29"/>
  <c r="F186" i="5"/>
  <c r="C152" i="5"/>
  <c r="C195" i="5"/>
  <c r="K74" i="4"/>
  <c r="G324" i="29"/>
  <c r="H157" i="29"/>
  <c r="H364" i="29"/>
  <c r="I66" i="5"/>
  <c r="C119" i="5"/>
  <c r="H225" i="5"/>
  <c r="D247" i="29"/>
  <c r="C135" i="5"/>
  <c r="H355" i="29"/>
  <c r="D322" i="29"/>
  <c r="G184" i="5"/>
  <c r="H111" i="29"/>
  <c r="E104" i="5"/>
  <c r="F102" i="5"/>
  <c r="C247" i="5"/>
  <c r="K248" i="5"/>
  <c r="K75" i="4"/>
  <c r="E190" i="29"/>
  <c r="I302" i="29"/>
  <c r="F152" i="5"/>
  <c r="C24" i="5"/>
  <c r="F10" i="29"/>
  <c r="C117" i="5"/>
  <c r="I11" i="29"/>
  <c r="F7" i="5"/>
  <c r="D283" i="29"/>
  <c r="G51" i="29"/>
  <c r="K236" i="5"/>
  <c r="H98" i="29"/>
  <c r="H39" i="29"/>
  <c r="C92" i="5"/>
  <c r="K223" i="5"/>
  <c r="D11" i="5"/>
  <c r="G216" i="5"/>
  <c r="C27" i="4"/>
  <c r="E223" i="5"/>
  <c r="F44" i="5"/>
  <c r="F173" i="5"/>
  <c r="C25" i="4"/>
  <c r="C72" i="5"/>
  <c r="I13" i="29"/>
  <c r="C220" i="5"/>
  <c r="J149" i="5"/>
  <c r="E25" i="4"/>
  <c r="H143" i="29"/>
  <c r="G224" i="5"/>
  <c r="C71" i="29"/>
  <c r="C233" i="5"/>
  <c r="G179" i="5"/>
  <c r="J237" i="5"/>
  <c r="E240" i="5"/>
  <c r="H9" i="29"/>
  <c r="H16" i="29"/>
  <c r="D261" i="5"/>
  <c r="D221" i="29"/>
  <c r="J17" i="5"/>
  <c r="C35" i="4"/>
  <c r="D52" i="29"/>
  <c r="D66" i="4"/>
  <c r="C125" i="5"/>
  <c r="G161" i="5"/>
  <c r="J324" i="29"/>
  <c r="F52" i="29"/>
  <c r="E246" i="5"/>
  <c r="F261" i="5"/>
  <c r="E329" i="29"/>
  <c r="J38" i="29"/>
  <c r="D44" i="29"/>
  <c r="K15" i="5"/>
  <c r="F260" i="5"/>
  <c r="C26" i="5"/>
  <c r="D262" i="5"/>
  <c r="H324" i="29"/>
  <c r="H34" i="4"/>
  <c r="C50" i="4"/>
  <c r="E99" i="5"/>
  <c r="F207" i="5"/>
  <c r="J46" i="29"/>
  <c r="D269" i="29"/>
  <c r="E16" i="29"/>
  <c r="F351" i="29"/>
  <c r="H91" i="29"/>
  <c r="F53" i="5"/>
  <c r="G50" i="29"/>
  <c r="G153" i="5"/>
  <c r="C111" i="5"/>
  <c r="H232" i="5"/>
  <c r="J14" i="5"/>
  <c r="I185" i="29"/>
  <c r="F118" i="5"/>
  <c r="I17" i="5"/>
  <c r="F130" i="5"/>
  <c r="C96" i="5"/>
  <c r="C81" i="5"/>
  <c r="H102" i="5"/>
  <c r="D58" i="4"/>
  <c r="F71" i="29"/>
  <c r="F248" i="5"/>
  <c r="C196" i="5"/>
  <c r="J226" i="5"/>
  <c r="D263" i="5"/>
  <c r="F223" i="5"/>
  <c r="F212" i="5"/>
  <c r="D228" i="5"/>
  <c r="D225" i="5"/>
  <c r="G328" i="29"/>
  <c r="C66" i="4"/>
  <c r="G67" i="29"/>
  <c r="K118" i="5"/>
  <c r="G211" i="5"/>
  <c r="H361" i="29"/>
  <c r="G134" i="5"/>
  <c r="D228" i="29"/>
  <c r="J8" i="29"/>
  <c r="E174" i="5"/>
  <c r="J73" i="29"/>
  <c r="F184" i="5"/>
  <c r="G226" i="5"/>
  <c r="F125" i="5"/>
  <c r="G11" i="29"/>
  <c r="F348" i="29"/>
  <c r="I43" i="4"/>
  <c r="E14" i="5"/>
  <c r="C156" i="5"/>
  <c r="D60" i="29"/>
  <c r="I18" i="29"/>
  <c r="K97" i="5"/>
  <c r="F232" i="5"/>
  <c r="J182" i="29"/>
  <c r="K251" i="5"/>
  <c r="F46" i="29"/>
  <c r="D79" i="5"/>
  <c r="G17" i="29"/>
  <c r="C223" i="5"/>
  <c r="E248" i="5"/>
  <c r="G240" i="5"/>
  <c r="C185" i="5"/>
  <c r="C120" i="29"/>
  <c r="D275" i="29"/>
  <c r="E162" i="5"/>
  <c r="G245" i="5"/>
  <c r="F262" i="5"/>
  <c r="C90" i="5"/>
  <c r="F36" i="4"/>
  <c r="H309" i="29"/>
  <c r="H19" i="29"/>
  <c r="F55" i="5"/>
  <c r="I34" i="4"/>
  <c r="J242" i="5"/>
  <c r="H7" i="5"/>
  <c r="C349" i="29"/>
  <c r="F183" i="29"/>
  <c r="H292" i="29"/>
  <c r="H82" i="29"/>
  <c r="F122" i="29"/>
  <c r="E65" i="5"/>
  <c r="E193" i="29"/>
  <c r="H329" i="29"/>
  <c r="G70" i="29"/>
  <c r="K117" i="5"/>
  <c r="E168" i="5"/>
  <c r="C40" i="29"/>
  <c r="F33" i="4"/>
  <c r="F100" i="5"/>
  <c r="F59" i="5"/>
  <c r="G144" i="5"/>
  <c r="G38" i="29"/>
  <c r="H28" i="29"/>
  <c r="D131" i="5"/>
  <c r="G100" i="5"/>
  <c r="I7" i="29"/>
  <c r="I328" i="29"/>
  <c r="J25" i="4"/>
  <c r="J99" i="5"/>
  <c r="G43" i="4"/>
  <c r="H291" i="29"/>
  <c r="H7" i="29"/>
  <c r="E189" i="29"/>
  <c r="G173" i="5"/>
  <c r="G41" i="29"/>
  <c r="E102" i="5"/>
  <c r="H125" i="29"/>
  <c r="C215" i="5"/>
  <c r="G351" i="29"/>
  <c r="F12" i="29"/>
  <c r="H328" i="29"/>
  <c r="G14" i="29"/>
  <c r="C240" i="5"/>
  <c r="D70" i="29"/>
  <c r="H245" i="5"/>
  <c r="F224" i="5"/>
  <c r="G107" i="5"/>
  <c r="H167" i="5"/>
  <c r="D240" i="5"/>
  <c r="C68" i="4"/>
  <c r="H354" i="29"/>
  <c r="J232" i="5"/>
  <c r="F258" i="5"/>
  <c r="E138" i="29"/>
  <c r="D239" i="5"/>
  <c r="G75" i="29"/>
  <c r="D150" i="5"/>
  <c r="H55" i="4"/>
  <c r="H26" i="4"/>
  <c r="D251" i="29"/>
  <c r="E39" i="29"/>
  <c r="J122" i="29"/>
  <c r="E41" i="29"/>
  <c r="H56" i="4"/>
  <c r="C168" i="5"/>
  <c r="D328" i="29"/>
  <c r="D185" i="5"/>
  <c r="C241" i="5"/>
  <c r="C37" i="5"/>
  <c r="H289" i="29"/>
  <c r="D64" i="4"/>
  <c r="C265" i="5"/>
  <c r="D17" i="29"/>
  <c r="H10" i="29"/>
  <c r="K162" i="5"/>
  <c r="C28" i="5"/>
  <c r="J235" i="5"/>
  <c r="C178" i="5"/>
  <c r="F48" i="5"/>
  <c r="J323" i="29"/>
  <c r="G137" i="5"/>
  <c r="I320" i="29"/>
  <c r="J35" i="4"/>
  <c r="D55" i="29"/>
  <c r="F39" i="29"/>
  <c r="H202" i="29"/>
  <c r="E82" i="29"/>
  <c r="G322" i="29"/>
  <c r="J75" i="29"/>
  <c r="D260" i="5"/>
  <c r="E60" i="29"/>
  <c r="F55" i="29"/>
  <c r="J183" i="29"/>
  <c r="J56" i="29"/>
  <c r="C60" i="29"/>
  <c r="C157" i="5"/>
  <c r="D36" i="4"/>
  <c r="G301" i="29"/>
  <c r="D64" i="29"/>
  <c r="F58" i="5"/>
  <c r="C230" i="5"/>
  <c r="H180" i="5"/>
  <c r="D111" i="5"/>
  <c r="J168" i="5"/>
  <c r="G232" i="5"/>
  <c r="E134" i="29"/>
  <c r="J67" i="29"/>
  <c r="G7" i="5"/>
  <c r="H339" i="29"/>
  <c r="K36" i="4"/>
  <c r="F228" i="5"/>
  <c r="H74" i="4"/>
  <c r="J174" i="5"/>
  <c r="D98" i="5"/>
  <c r="D301" i="29"/>
  <c r="D36" i="29"/>
  <c r="D254" i="5"/>
  <c r="E128" i="29"/>
  <c r="I52" i="29"/>
  <c r="J97" i="5"/>
  <c r="F69" i="29"/>
  <c r="D264" i="29"/>
  <c r="F46" i="5"/>
  <c r="D216" i="5"/>
  <c r="I16" i="29"/>
  <c r="H12" i="29"/>
  <c r="H203" i="29"/>
  <c r="F5" i="5"/>
  <c r="H149" i="5"/>
  <c r="J5" i="29"/>
  <c r="H173" i="5"/>
  <c r="J40" i="29"/>
  <c r="D226" i="5"/>
  <c r="K17" i="5"/>
  <c r="I37" i="29"/>
  <c r="H193" i="29"/>
  <c r="D57" i="4"/>
  <c r="D80" i="5"/>
  <c r="G180" i="29"/>
  <c r="D15" i="29"/>
  <c r="F325" i="29"/>
  <c r="H81" i="29"/>
  <c r="H44" i="29"/>
  <c r="F163" i="5"/>
  <c r="B6391" i="106" l="1"/>
  <c r="D6391" i="106" s="1"/>
  <c r="H47" i="29"/>
  <c r="B1021" i="106" s="1"/>
  <c r="D1021" i="106" s="1"/>
  <c r="B1018" i="106"/>
  <c r="D1018" i="106" s="1"/>
  <c r="B2958" i="106"/>
  <c r="D2958" i="106" s="1"/>
  <c r="B7175" i="106"/>
  <c r="D7175" i="106" s="1"/>
  <c r="B777" i="106"/>
  <c r="D777" i="106" s="1"/>
  <c r="G184" i="29"/>
  <c r="B4085" i="106"/>
  <c r="D4085" i="106" s="1"/>
  <c r="B5346" i="106"/>
  <c r="D5346" i="106" s="1"/>
  <c r="B7658" i="106"/>
  <c r="D7658" i="106" s="1"/>
  <c r="B3000" i="106"/>
  <c r="D3000" i="106" s="1"/>
  <c r="B6906" i="106"/>
  <c r="D6906" i="106" s="1"/>
  <c r="B5991" i="106"/>
  <c r="D5991" i="106" s="1"/>
  <c r="B6635" i="106"/>
  <c r="D6635" i="106" s="1"/>
  <c r="B6913" i="106"/>
  <c r="D6913" i="106" s="1"/>
  <c r="H175" i="5"/>
  <c r="B4950" i="106" s="1"/>
  <c r="D4950" i="106" s="1"/>
  <c r="B4365" i="106"/>
  <c r="D4365" i="106" s="1"/>
  <c r="B6845" i="106"/>
  <c r="D6845" i="106" s="1"/>
  <c r="J33" i="29"/>
  <c r="H169" i="5"/>
  <c r="B5899" i="106" s="1"/>
  <c r="D5899" i="106" s="1"/>
  <c r="B6371" i="106"/>
  <c r="D6371" i="106" s="1"/>
  <c r="B5553" i="106"/>
  <c r="D5553" i="106" s="1"/>
  <c r="F12" i="5"/>
  <c r="B7" i="7"/>
  <c r="K203" i="29"/>
  <c r="B1385" i="106" s="1"/>
  <c r="D1385" i="106" s="1"/>
  <c r="B1373" i="106"/>
  <c r="D1373" i="106" s="1"/>
  <c r="B1006" i="106"/>
  <c r="D1006" i="106" s="1"/>
  <c r="B6867" i="106"/>
  <c r="D6867" i="106" s="1"/>
  <c r="B4341" i="106"/>
  <c r="D4341" i="106" s="1"/>
  <c r="B6312" i="106"/>
  <c r="D6312" i="106" s="1"/>
  <c r="F87" i="34"/>
  <c r="K264" i="29"/>
  <c r="B1493" i="106" s="1"/>
  <c r="D1493" i="106" s="1"/>
  <c r="B1429" i="106"/>
  <c r="D1429" i="106" s="1"/>
  <c r="B922" i="106"/>
  <c r="D922" i="106" s="1"/>
  <c r="B6327" i="106"/>
  <c r="D6327" i="106" s="1"/>
  <c r="B6938" i="106"/>
  <c r="D6938" i="106" s="1"/>
  <c r="B1240" i="106"/>
  <c r="D1240" i="106" s="1"/>
  <c r="B7766" i="106"/>
  <c r="D7766" i="106" s="1"/>
  <c r="B779" i="106"/>
  <c r="D779" i="106" s="1"/>
  <c r="D42" i="29"/>
  <c r="B785" i="106" s="1"/>
  <c r="D785" i="106" s="1"/>
  <c r="D303" i="29"/>
  <c r="B1525" i="106"/>
  <c r="D1525" i="106" s="1"/>
  <c r="B5351" i="106"/>
  <c r="D5351" i="106" s="1"/>
  <c r="B6399" i="106"/>
  <c r="D6399" i="106" s="1"/>
  <c r="B6256" i="106"/>
  <c r="D6256" i="106" s="1"/>
  <c r="B6653" i="106"/>
  <c r="D6653" i="106" s="1"/>
  <c r="B3582" i="106"/>
  <c r="D3582" i="106" s="1"/>
  <c r="K339" i="29"/>
  <c r="B7213" i="106" s="1"/>
  <c r="D7213" i="106" s="1"/>
  <c r="B7212" i="106"/>
  <c r="D7212" i="106" s="1"/>
  <c r="B5722" i="106"/>
  <c r="D5722" i="106" s="1"/>
  <c r="B6964" i="106"/>
  <c r="D6964" i="106" s="1"/>
  <c r="J72" i="29"/>
  <c r="B6974" i="106" s="1"/>
  <c r="D6974" i="106" s="1"/>
  <c r="K134" i="29"/>
  <c r="B2986" i="106" s="1"/>
  <c r="D2986" i="106" s="1"/>
  <c r="B4199" i="106"/>
  <c r="D4199" i="106" s="1"/>
  <c r="B6686" i="106"/>
  <c r="D6686" i="106" s="1"/>
  <c r="B6395" i="106"/>
  <c r="D6395" i="106" s="1"/>
  <c r="B5357" i="106"/>
  <c r="D5357" i="106" s="1"/>
  <c r="D114" i="5"/>
  <c r="D5" i="4" s="1"/>
  <c r="B3406" i="106" s="1"/>
  <c r="D3406" i="106" s="1"/>
  <c r="B4814" i="106"/>
  <c r="D4814" i="106" s="1"/>
  <c r="B6666" i="106"/>
  <c r="D6666" i="106" s="1"/>
  <c r="F139" i="34"/>
  <c r="F93" i="34"/>
  <c r="B7764" i="106"/>
  <c r="D7764" i="106" s="1"/>
  <c r="B801" i="106"/>
  <c r="D801" i="106" s="1"/>
  <c r="G303" i="29"/>
  <c r="B1543" i="106"/>
  <c r="D1543" i="106" s="1"/>
  <c r="B3531" i="106"/>
  <c r="D3531" i="106" s="1"/>
  <c r="B5187" i="106"/>
  <c r="D5187" i="106" s="1"/>
  <c r="F113" i="34"/>
  <c r="K60" i="29"/>
  <c r="B739" i="106"/>
  <c r="D739" i="106" s="1"/>
  <c r="B6947" i="106"/>
  <c r="D6947" i="106" s="1"/>
  <c r="B7062" i="106"/>
  <c r="D7062" i="106" s="1"/>
  <c r="F57" i="29"/>
  <c r="B911" i="106" s="1"/>
  <c r="D911" i="106" s="1"/>
  <c r="B909" i="106"/>
  <c r="D909" i="106" s="1"/>
  <c r="B855" i="106"/>
  <c r="D855" i="106" s="1"/>
  <c r="B4190" i="106"/>
  <c r="D4190" i="106" s="1"/>
  <c r="B6980" i="106"/>
  <c r="D6980" i="106" s="1"/>
  <c r="B7149" i="106"/>
  <c r="D7149" i="106" s="1"/>
  <c r="B2953" i="106"/>
  <c r="D2953" i="106" s="1"/>
  <c r="K82" i="29"/>
  <c r="B2977" i="106" s="1"/>
  <c r="D2977" i="106" s="1"/>
  <c r="K202" i="29"/>
  <c r="B2842" i="106" s="1"/>
  <c r="D2842" i="106" s="1"/>
  <c r="B2832" i="106"/>
  <c r="D2832" i="106" s="1"/>
  <c r="B898" i="106"/>
  <c r="D898" i="106" s="1"/>
  <c r="D57" i="29"/>
  <c r="B795" i="106" s="1"/>
  <c r="D795" i="106" s="1"/>
  <c r="B793" i="106"/>
  <c r="D793" i="106" s="1"/>
  <c r="B6235" i="106"/>
  <c r="D6235" i="106" s="1"/>
  <c r="B7133" i="106"/>
  <c r="D7133" i="106" s="1"/>
  <c r="B6361" i="106"/>
  <c r="D6361" i="106" s="1"/>
  <c r="B7161" i="106"/>
  <c r="D7161" i="106" s="1"/>
  <c r="F20" i="34"/>
  <c r="B5568" i="106"/>
  <c r="D5568" i="106" s="1"/>
  <c r="B5231" i="106"/>
  <c r="D5231" i="106" s="1"/>
  <c r="B6702" i="106"/>
  <c r="D6702" i="106" s="1"/>
  <c r="B5078" i="106"/>
  <c r="D5078" i="106" s="1"/>
  <c r="B4922" i="106"/>
  <c r="D4922" i="106" s="1"/>
  <c r="B3060" i="106"/>
  <c r="D3060" i="106" s="1"/>
  <c r="B7264" i="106"/>
  <c r="F170" i="34"/>
  <c r="B4852" i="106"/>
  <c r="D4852" i="106" s="1"/>
  <c r="B7672" i="106"/>
  <c r="D7672" i="106" s="1"/>
  <c r="B1450" i="106"/>
  <c r="D1450" i="106" s="1"/>
  <c r="K289" i="29"/>
  <c r="B1513" i="106" s="1"/>
  <c r="D1513" i="106" s="1"/>
  <c r="B5085" i="106"/>
  <c r="D5085" i="106" s="1"/>
  <c r="B6745" i="106"/>
  <c r="D6745" i="106" s="1"/>
  <c r="B4376" i="106"/>
  <c r="D4376" i="106" s="1"/>
  <c r="B7689" i="106"/>
  <c r="D7689" i="106" s="1"/>
  <c r="B4792" i="106"/>
  <c r="D4792" i="106" s="1"/>
  <c r="F121" i="34"/>
  <c r="B7656" i="106"/>
  <c r="D7656" i="106" s="1"/>
  <c r="B842" i="106"/>
  <c r="D842" i="106" s="1"/>
  <c r="B7025" i="106"/>
  <c r="D7025" i="106" s="1"/>
  <c r="J127" i="29"/>
  <c r="B7034" i="106" s="1"/>
  <c r="D7034" i="106" s="1"/>
  <c r="B840" i="106"/>
  <c r="D840" i="106" s="1"/>
  <c r="K251" i="29"/>
  <c r="B7088" i="106" s="1"/>
  <c r="D7088" i="106" s="1"/>
  <c r="B7087" i="106"/>
  <c r="D7087" i="106" s="1"/>
  <c r="B3493" i="106"/>
  <c r="D3493" i="106" s="1"/>
  <c r="B7653" i="106"/>
  <c r="D7653" i="106" s="1"/>
  <c r="F30" i="34"/>
  <c r="B4313" i="106"/>
  <c r="D4313" i="106" s="1"/>
  <c r="B988" i="106"/>
  <c r="D988" i="106" s="1"/>
  <c r="B6730" i="106"/>
  <c r="D6730" i="106" s="1"/>
  <c r="B7795" i="106"/>
  <c r="D7795" i="106" s="1"/>
  <c r="K138" i="29"/>
  <c r="B2094" i="106" s="1"/>
  <c r="D2094" i="106" s="1"/>
  <c r="B5710" i="106"/>
  <c r="D5710" i="106" s="1"/>
  <c r="B6688" i="106"/>
  <c r="D6688" i="106" s="1"/>
  <c r="H357" i="29"/>
  <c r="K354" i="29"/>
  <c r="B7236" i="106"/>
  <c r="D7236" i="106" s="1"/>
  <c r="B7791" i="106"/>
  <c r="D7791" i="106" s="1"/>
  <c r="B7677" i="106"/>
  <c r="D7677" i="106" s="1"/>
  <c r="B6738" i="106"/>
  <c r="D6738" i="106" s="1"/>
  <c r="B7706" i="106"/>
  <c r="D7706" i="106" s="1"/>
  <c r="B5736" i="106"/>
  <c r="D5736" i="106" s="1"/>
  <c r="B6624" i="106"/>
  <c r="D6624" i="106" s="1"/>
  <c r="B6782" i="106"/>
  <c r="D6782" i="106" s="1"/>
  <c r="B807" i="106"/>
  <c r="D807" i="106" s="1"/>
  <c r="F146" i="34"/>
  <c r="B6737" i="106"/>
  <c r="D6737" i="106" s="1"/>
  <c r="B950" i="106"/>
  <c r="D950" i="106" s="1"/>
  <c r="B7693" i="106"/>
  <c r="D7693" i="106" s="1"/>
  <c r="B890" i="106"/>
  <c r="D890" i="106" s="1"/>
  <c r="B3648" i="106"/>
  <c r="D3648" i="106" s="1"/>
  <c r="B5280" i="106"/>
  <c r="D5280" i="106" s="1"/>
  <c r="F130" i="34"/>
  <c r="B3487" i="106"/>
  <c r="D3487" i="106" s="1"/>
  <c r="B6342" i="106"/>
  <c r="D6342" i="106" s="1"/>
  <c r="B958" i="106"/>
  <c r="D958" i="106" s="1"/>
  <c r="G175" i="5"/>
  <c r="B5780" i="106" s="1"/>
  <c r="D5780" i="106" s="1"/>
  <c r="B5779" i="106"/>
  <c r="D5779" i="106" s="1"/>
  <c r="K189" i="29"/>
  <c r="B3008" i="106" s="1"/>
  <c r="D3008" i="106" s="1"/>
  <c r="B2990" i="106"/>
  <c r="D2990" i="106" s="1"/>
  <c r="B7250" i="106"/>
  <c r="D7250" i="106" s="1"/>
  <c r="B2844" i="106"/>
  <c r="D2844" i="106" s="1"/>
  <c r="K291" i="29"/>
  <c r="B2846" i="106" s="1"/>
  <c r="D2846" i="106" s="1"/>
  <c r="B3257" i="106"/>
  <c r="D3257" i="106" s="1"/>
  <c r="B6329" i="106"/>
  <c r="D6329" i="106" s="1"/>
  <c r="B7754" i="106"/>
  <c r="D7754" i="106" s="1"/>
  <c r="J44" i="4"/>
  <c r="B7694" i="106"/>
  <c r="D7694" i="106" s="1"/>
  <c r="B6846" i="106"/>
  <c r="D6846" i="106" s="1"/>
  <c r="B6334" i="106"/>
  <c r="D6334" i="106" s="1"/>
  <c r="B4310" i="106"/>
  <c r="D4310" i="106" s="1"/>
  <c r="B6892" i="106"/>
  <c r="D6892" i="106" s="1"/>
  <c r="K28" i="29"/>
  <c r="B955" i="106"/>
  <c r="D955" i="106" s="1"/>
  <c r="B5755" i="106"/>
  <c r="D5755" i="106" s="1"/>
  <c r="F25" i="34"/>
  <c r="B5576" i="106"/>
  <c r="D5576" i="106" s="1"/>
  <c r="B6333" i="106"/>
  <c r="D6333" i="106" s="1"/>
  <c r="B3083" i="106"/>
  <c r="D3083" i="106" s="1"/>
  <c r="B725" i="106"/>
  <c r="D725" i="106" s="1"/>
  <c r="K40" i="29"/>
  <c r="B1113" i="106" s="1"/>
  <c r="D1113" i="106" s="1"/>
  <c r="B4794" i="106"/>
  <c r="D4794" i="106" s="1"/>
  <c r="B6000" i="106"/>
  <c r="D6000" i="106" s="1"/>
  <c r="K122" i="5"/>
  <c r="B6006" i="106" s="1"/>
  <c r="D6006" i="106" s="1"/>
  <c r="B981" i="106"/>
  <c r="D981" i="106" s="1"/>
  <c r="B7702" i="106"/>
  <c r="D7702" i="106" s="1"/>
  <c r="K193" i="29"/>
  <c r="B3012" i="106" s="1"/>
  <c r="D3012" i="106" s="1"/>
  <c r="B2994" i="106"/>
  <c r="D2994" i="106" s="1"/>
  <c r="E67" i="5"/>
  <c r="B5521" i="106" s="1"/>
  <c r="D5521" i="106" s="1"/>
  <c r="B5519" i="106"/>
  <c r="D5519" i="106" s="1"/>
  <c r="F127" i="29"/>
  <c r="B1247" i="106" s="1"/>
  <c r="D1247" i="106" s="1"/>
  <c r="B1243" i="106"/>
  <c r="D1243" i="106" s="1"/>
  <c r="B2959" i="106"/>
  <c r="D2959" i="106" s="1"/>
  <c r="K292" i="29"/>
  <c r="B1514" i="106" s="1"/>
  <c r="D1514" i="106" s="1"/>
  <c r="B1451" i="106"/>
  <c r="D1451" i="106" s="1"/>
  <c r="B1357" i="106"/>
  <c r="D1357" i="106" s="1"/>
  <c r="B3618" i="106"/>
  <c r="D3618" i="106" s="1"/>
  <c r="K349" i="29"/>
  <c r="B3669" i="106" s="1"/>
  <c r="D3669" i="106" s="1"/>
  <c r="B6299" i="106"/>
  <c r="D6299" i="106" s="1"/>
  <c r="B6759" i="106"/>
  <c r="D6759" i="106" s="1"/>
  <c r="B652" i="106"/>
  <c r="D652" i="106" s="1"/>
  <c r="F91" i="34"/>
  <c r="B5573" i="106"/>
  <c r="D5573" i="106" s="1"/>
  <c r="B3377" i="106"/>
  <c r="D3377" i="106" s="1"/>
  <c r="B7113" i="106"/>
  <c r="D7113" i="106" s="1"/>
  <c r="B3532" i="106"/>
  <c r="D3532" i="106" s="1"/>
  <c r="B5109" i="106"/>
  <c r="D5109" i="106" s="1"/>
  <c r="B7815" i="106"/>
  <c r="D7815" i="106" s="1"/>
  <c r="B6781" i="106"/>
  <c r="D6781" i="106" s="1"/>
  <c r="B4917" i="106"/>
  <c r="D4917" i="106" s="1"/>
  <c r="B1440" i="106"/>
  <c r="D1440" i="106" s="1"/>
  <c r="K275" i="29"/>
  <c r="B1504" i="106" s="1"/>
  <c r="D1504" i="106" s="1"/>
  <c r="B4074" i="106"/>
  <c r="D4074" i="106" s="1"/>
  <c r="K120" i="29"/>
  <c r="B4375" i="106"/>
  <c r="D4375" i="106" s="1"/>
  <c r="B6741" i="106"/>
  <c r="D6741" i="106" s="1"/>
  <c r="B6803" i="106"/>
  <c r="D6803" i="106" s="1"/>
  <c r="C252" i="5"/>
  <c r="B6833" i="106" s="1"/>
  <c r="D6833" i="106" s="1"/>
  <c r="B6614" i="106"/>
  <c r="D6614" i="106" s="1"/>
  <c r="B7267" i="106"/>
  <c r="B5345" i="106"/>
  <c r="D5345" i="106" s="1"/>
  <c r="B904" i="106"/>
  <c r="D904" i="106" s="1"/>
  <c r="B6832" i="106"/>
  <c r="D6832" i="106" s="1"/>
  <c r="B7060" i="106"/>
  <c r="D7060" i="106" s="1"/>
  <c r="B6685" i="106"/>
  <c r="D6685" i="106" s="1"/>
  <c r="B6328" i="106"/>
  <c r="D6328" i="106" s="1"/>
  <c r="B6872" i="106"/>
  <c r="D6872" i="106" s="1"/>
  <c r="B797" i="106"/>
  <c r="D797" i="106" s="1"/>
  <c r="B5181" i="106"/>
  <c r="D5181" i="106" s="1"/>
  <c r="F112" i="34"/>
  <c r="B5514" i="106"/>
  <c r="D5514" i="106" s="1"/>
  <c r="E18" i="5"/>
  <c r="B5518" i="106" s="1"/>
  <c r="D5518" i="106" s="1"/>
  <c r="B3316" i="106"/>
  <c r="D3316" i="106" s="1"/>
  <c r="F350" i="29"/>
  <c r="B3638" i="106"/>
  <c r="D3638" i="106" s="1"/>
  <c r="B7261" i="106"/>
  <c r="D7261" i="106" s="1"/>
  <c r="B5600" i="106"/>
  <c r="D5600" i="106" s="1"/>
  <c r="F132" i="5"/>
  <c r="B6638" i="106"/>
  <c r="D6638" i="106" s="1"/>
  <c r="F188" i="5"/>
  <c r="B5659" i="106"/>
  <c r="D5659" i="106" s="1"/>
  <c r="B6976" i="106"/>
  <c r="D6976" i="106" s="1"/>
  <c r="B4369" i="106"/>
  <c r="D4369" i="106" s="1"/>
  <c r="B6850" i="106"/>
  <c r="D6850" i="106" s="1"/>
  <c r="B3389" i="106"/>
  <c r="D3389" i="106" s="1"/>
  <c r="K228" i="29"/>
  <c r="B3392" i="106" s="1"/>
  <c r="D3392" i="106" s="1"/>
  <c r="G141" i="5"/>
  <c r="B5749" i="106"/>
  <c r="D5749" i="106" s="1"/>
  <c r="K361" i="29"/>
  <c r="B7239" i="106" s="1"/>
  <c r="D7239" i="106" s="1"/>
  <c r="B7238" i="106"/>
  <c r="D7238" i="106" s="1"/>
  <c r="G217" i="5"/>
  <c r="B5829" i="106" s="1"/>
  <c r="D5829" i="106" s="1"/>
  <c r="B5817" i="106"/>
  <c r="D5817" i="106" s="1"/>
  <c r="B4881" i="106"/>
  <c r="D4881" i="106" s="1"/>
  <c r="B978" i="106"/>
  <c r="D978" i="106" s="1"/>
  <c r="G72" i="29"/>
  <c r="B985" i="106" s="1"/>
  <c r="D985" i="106" s="1"/>
  <c r="E40" i="4"/>
  <c r="B6288" i="106" s="1"/>
  <c r="D6288" i="106" s="1"/>
  <c r="B6248" i="106"/>
  <c r="D6248" i="106" s="1"/>
  <c r="B7692" i="106"/>
  <c r="D7692" i="106" s="1"/>
  <c r="B6627" i="106"/>
  <c r="D6627" i="106" s="1"/>
  <c r="B6651" i="106"/>
  <c r="D6651" i="106" s="1"/>
  <c r="B5692" i="106"/>
  <c r="D5692" i="106" s="1"/>
  <c r="F252" i="5"/>
  <c r="B6836" i="106" s="1"/>
  <c r="D6836" i="106" s="1"/>
  <c r="B6617" i="106"/>
  <c r="D6617" i="106" s="1"/>
  <c r="B4359" i="106"/>
  <c r="D4359" i="106" s="1"/>
  <c r="B6640" i="106"/>
  <c r="D6640" i="106" s="1"/>
  <c r="B7687" i="106"/>
  <c r="D7687" i="106" s="1"/>
  <c r="B6804" i="106"/>
  <c r="D6804" i="106" s="1"/>
  <c r="B925" i="106"/>
  <c r="D925" i="106" s="1"/>
  <c r="B6244" i="106"/>
  <c r="D6244" i="106" s="1"/>
  <c r="B6345" i="106"/>
  <c r="D6345" i="106" s="1"/>
  <c r="B5101" i="106"/>
  <c r="D5101" i="106" s="1"/>
  <c r="B5114" i="106"/>
  <c r="D5114" i="106" s="1"/>
  <c r="B5609" i="106"/>
  <c r="D5609" i="106" s="1"/>
  <c r="B5922" i="106"/>
  <c r="D5922" i="106" s="1"/>
  <c r="B4877" i="106"/>
  <c r="D4877" i="106" s="1"/>
  <c r="B7065" i="106"/>
  <c r="D7065" i="106" s="1"/>
  <c r="J18" i="5"/>
  <c r="B6306" i="106" s="1"/>
  <c r="D6306" i="106" s="1"/>
  <c r="B6302" i="106"/>
  <c r="D6302" i="106" s="1"/>
  <c r="B6687" i="106"/>
  <c r="D6687" i="106" s="1"/>
  <c r="B5122" i="106"/>
  <c r="D5122" i="106" s="1"/>
  <c r="C114" i="5"/>
  <c r="B6381" i="106"/>
  <c r="D6381" i="106" s="1"/>
  <c r="B965" i="106"/>
  <c r="D965" i="106" s="1"/>
  <c r="F89" i="34"/>
  <c r="B5572" i="106"/>
  <c r="D5572" i="106" s="1"/>
  <c r="B6993" i="106"/>
  <c r="D6993" i="106" s="1"/>
  <c r="K91" i="29"/>
  <c r="B6994" i="106" s="1"/>
  <c r="D6994" i="106" s="1"/>
  <c r="B3641" i="106"/>
  <c r="D3641" i="106" s="1"/>
  <c r="B822" i="106"/>
  <c r="D822" i="106" s="1"/>
  <c r="K269" i="29"/>
  <c r="B1498" i="106" s="1"/>
  <c r="D1498" i="106" s="1"/>
  <c r="B1434" i="106"/>
  <c r="D1434" i="106" s="1"/>
  <c r="B6923" i="106"/>
  <c r="D6923" i="106" s="1"/>
  <c r="B4409" i="106"/>
  <c r="D4409" i="106" s="1"/>
  <c r="B5523" i="106"/>
  <c r="D5523" i="106" s="1"/>
  <c r="B2794" i="106"/>
  <c r="D2794" i="106" s="1"/>
  <c r="B619" i="106"/>
  <c r="D619" i="106" s="1"/>
  <c r="B7168" i="106"/>
  <c r="D7168" i="106" s="1"/>
  <c r="B7814" i="106"/>
  <c r="D7814" i="106" s="1"/>
  <c r="B5077" i="106"/>
  <c r="D5077" i="106" s="1"/>
  <c r="B4191" i="106"/>
  <c r="D4191" i="106" s="1"/>
  <c r="B5989" i="106"/>
  <c r="D5989" i="106" s="1"/>
  <c r="B786" i="106"/>
  <c r="D786" i="106" s="1"/>
  <c r="D47" i="29"/>
  <c r="B789" i="106" s="1"/>
  <c r="D789" i="106" s="1"/>
  <c r="B6909" i="106"/>
  <c r="D6909" i="106" s="1"/>
  <c r="B7699" i="106"/>
  <c r="D7699" i="106" s="1"/>
  <c r="B7811" i="106"/>
  <c r="D7811" i="106" s="1"/>
  <c r="B6787" i="106"/>
  <c r="D6787" i="106" s="1"/>
  <c r="B6935" i="106"/>
  <c r="D6935" i="106" s="1"/>
  <c r="B7170" i="106"/>
  <c r="D7170" i="106" s="1"/>
  <c r="B4181" i="106"/>
  <c r="D4181" i="106" s="1"/>
  <c r="C132" i="5"/>
  <c r="B5133" i="106"/>
  <c r="D5133" i="106" s="1"/>
  <c r="B6249" i="106"/>
  <c r="D6249" i="106" s="1"/>
  <c r="B6933" i="106"/>
  <c r="D6933" i="106" s="1"/>
  <c r="B325" i="106"/>
  <c r="D325" i="106" s="1"/>
  <c r="B6305" i="106"/>
  <c r="D6305" i="106" s="1"/>
  <c r="B1406" i="106"/>
  <c r="D1406" i="106" s="1"/>
  <c r="K221" i="29"/>
  <c r="B7810" i="106"/>
  <c r="D7810" i="106" s="1"/>
  <c r="B996" i="106"/>
  <c r="D996" i="106" s="1"/>
  <c r="B7256" i="106"/>
  <c r="D7256" i="106" s="1"/>
  <c r="B6739" i="106"/>
  <c r="D6739" i="106" s="1"/>
  <c r="B6718" i="106"/>
  <c r="D6718" i="106" s="1"/>
  <c r="G181" i="5"/>
  <c r="B5784" i="106" s="1"/>
  <c r="D5784" i="106" s="1"/>
  <c r="B4810" i="106"/>
  <c r="D4810" i="106" s="1"/>
  <c r="F142" i="34"/>
  <c r="B6690" i="106"/>
  <c r="D6690" i="106" s="1"/>
  <c r="B751" i="106"/>
  <c r="D751" i="106" s="1"/>
  <c r="K71" i="29"/>
  <c r="B6625" i="106"/>
  <c r="D6625" i="106" s="1"/>
  <c r="K143" i="29"/>
  <c r="B1284" i="106" s="1"/>
  <c r="D1284" i="106" s="1"/>
  <c r="B1269" i="106"/>
  <c r="D1269" i="106" s="1"/>
  <c r="B7750" i="106"/>
  <c r="D7750" i="106" s="1"/>
  <c r="J169" i="5"/>
  <c r="B6396" i="106" s="1"/>
  <c r="D6396" i="106" s="1"/>
  <c r="B6373" i="106"/>
  <c r="D6373" i="106" s="1"/>
  <c r="B4344" i="106"/>
  <c r="D4344" i="106" s="1"/>
  <c r="B6861" i="106"/>
  <c r="D6861" i="106" s="1"/>
  <c r="B5093" i="106"/>
  <c r="D5093" i="106" s="1"/>
  <c r="C44" i="4"/>
  <c r="B7748" i="106"/>
  <c r="D7748" i="106" s="1"/>
  <c r="I47" i="4"/>
  <c r="F175" i="5"/>
  <c r="B5655" i="106" s="1"/>
  <c r="D5655" i="106" s="1"/>
  <c r="B5654" i="106"/>
  <c r="D5654" i="106" s="1"/>
  <c r="F85" i="34"/>
  <c r="B5565" i="106"/>
  <c r="D5565" i="106" s="1"/>
  <c r="B6616" i="106"/>
  <c r="D6616" i="106" s="1"/>
  <c r="E252" i="5"/>
  <c r="D71" i="36"/>
  <c r="B5012" i="106"/>
  <c r="D5012" i="106" s="1"/>
  <c r="B4343" i="106"/>
  <c r="D4343" i="106" s="1"/>
  <c r="B5333" i="106"/>
  <c r="D5333" i="106" s="1"/>
  <c r="K252" i="5"/>
  <c r="B6621" i="106"/>
  <c r="D6621" i="106" s="1"/>
  <c r="B5111" i="106"/>
  <c r="D5111" i="106" s="1"/>
  <c r="F100" i="34"/>
  <c r="B1014" i="106"/>
  <c r="D1014" i="106" s="1"/>
  <c r="K98" i="29"/>
  <c r="B7007" i="106" s="1"/>
  <c r="D7007" i="106" s="1"/>
  <c r="B7006" i="106"/>
  <c r="D7006" i="106" s="1"/>
  <c r="B6711" i="106"/>
  <c r="D6711" i="106" s="1"/>
  <c r="B2722" i="106"/>
  <c r="D2722" i="106" s="1"/>
  <c r="B3721" i="106"/>
  <c r="D3721" i="106" s="1"/>
  <c r="K283" i="29"/>
  <c r="B3723" i="106" s="1"/>
  <c r="D3723" i="106" s="1"/>
  <c r="B5555" i="106"/>
  <c r="D5555" i="106" s="1"/>
  <c r="B6856" i="106"/>
  <c r="D6856" i="106" s="1"/>
  <c r="B5126" i="106"/>
  <c r="D5126" i="106" s="1"/>
  <c r="C122" i="5"/>
  <c r="B3058" i="106"/>
  <c r="D3058" i="106" s="1"/>
  <c r="B5075" i="106"/>
  <c r="D5075" i="106" s="1"/>
  <c r="B5615" i="106"/>
  <c r="D5615" i="106" s="1"/>
  <c r="F155" i="5"/>
  <c r="B5618" i="106" s="1"/>
  <c r="D5618" i="106" s="1"/>
  <c r="B7101" i="106"/>
  <c r="D7101" i="106" s="1"/>
  <c r="K190" i="29"/>
  <c r="B3009" i="106" s="1"/>
  <c r="D3009" i="106" s="1"/>
  <c r="B2991" i="106"/>
  <c r="D2991" i="106" s="1"/>
  <c r="B3585" i="106"/>
  <c r="D3585" i="106" s="1"/>
  <c r="B6808" i="106"/>
  <c r="D6808" i="106" s="1"/>
  <c r="B6793" i="106"/>
  <c r="D6793" i="106" s="1"/>
  <c r="F152" i="34"/>
  <c r="B6343" i="106"/>
  <c r="D6343" i="106" s="1"/>
  <c r="B5524" i="106"/>
  <c r="D5524" i="106" s="1"/>
  <c r="K111" i="29"/>
  <c r="B7017" i="106" s="1"/>
  <c r="D7017" i="106" s="1"/>
  <c r="B7016" i="106"/>
  <c r="D7016" i="106" s="1"/>
  <c r="B5785" i="106"/>
  <c r="D5785" i="106" s="1"/>
  <c r="G188" i="5"/>
  <c r="B7146" i="106"/>
  <c r="D7146" i="106" s="1"/>
  <c r="B7793" i="106"/>
  <c r="D7793" i="106" s="1"/>
  <c r="B7237" i="106"/>
  <c r="D7237" i="106" s="1"/>
  <c r="K355" i="29"/>
  <c r="B5152" i="106"/>
  <c r="D5152" i="106" s="1"/>
  <c r="B2725" i="106"/>
  <c r="D2725" i="106" s="1"/>
  <c r="K247" i="29"/>
  <c r="B2726" i="106" s="1"/>
  <c r="D2726" i="106" s="1"/>
  <c r="B6631" i="106"/>
  <c r="D6631" i="106" s="1"/>
  <c r="B5127" i="106"/>
  <c r="D5127" i="106" s="1"/>
  <c r="B5925" i="106"/>
  <c r="D5925" i="106" s="1"/>
  <c r="B7745" i="106"/>
  <c r="D7745" i="106" s="1"/>
  <c r="K364" i="29"/>
  <c r="B7746" i="106" s="1"/>
  <c r="D7746" i="106" s="1"/>
  <c r="K157" i="29"/>
  <c r="H160" i="29"/>
  <c r="B7777" i="106"/>
  <c r="D7777" i="106" s="1"/>
  <c r="B7167" i="106"/>
  <c r="D7167" i="106" s="1"/>
  <c r="B6257" i="106"/>
  <c r="D6257" i="106" s="1"/>
  <c r="B5243" i="106"/>
  <c r="D5243" i="106" s="1"/>
  <c r="B5175" i="106"/>
  <c r="D5175" i="106" s="1"/>
  <c r="C155" i="5"/>
  <c r="B4381" i="106"/>
  <c r="D4381" i="106" s="1"/>
  <c r="B7698" i="106"/>
  <c r="D7698" i="106" s="1"/>
  <c r="K325" i="29"/>
  <c r="B7180" i="106" s="1"/>
  <c r="D7180" i="106" s="1"/>
  <c r="B7172" i="106"/>
  <c r="D7172" i="106" s="1"/>
  <c r="K222" i="29"/>
  <c r="B1471" i="106" s="1"/>
  <c r="D1471" i="106" s="1"/>
  <c r="B1407" i="106"/>
  <c r="D1407" i="106" s="1"/>
  <c r="B6683" i="106"/>
  <c r="D6683" i="106" s="1"/>
  <c r="B6664" i="106"/>
  <c r="D6664" i="106" s="1"/>
  <c r="B2802" i="106"/>
  <c r="D2802" i="106" s="1"/>
  <c r="B951" i="106"/>
  <c r="D951" i="106" s="1"/>
  <c r="K163" i="29"/>
  <c r="H168" i="29"/>
  <c r="B1310" i="106"/>
  <c r="D1310" i="106" s="1"/>
  <c r="B6854" i="106"/>
  <c r="D6854" i="106" s="1"/>
  <c r="B1011" i="106"/>
  <c r="D1011" i="106" s="1"/>
  <c r="H42" i="29"/>
  <c r="B6332" i="106"/>
  <c r="D6332" i="106" s="1"/>
  <c r="B4330" i="106"/>
  <c r="D4330" i="106" s="1"/>
  <c r="B6811" i="106"/>
  <c r="D6811" i="106" s="1"/>
  <c r="B2998" i="106"/>
  <c r="D2998" i="106" s="1"/>
  <c r="D33" i="29"/>
  <c r="B778" i="106" s="1"/>
  <c r="D778" i="106" s="1"/>
  <c r="B763" i="106"/>
  <c r="D763" i="106" s="1"/>
  <c r="B6791" i="106"/>
  <c r="D6791" i="106" s="1"/>
  <c r="B4876" i="106"/>
  <c r="D4876" i="106" s="1"/>
  <c r="B321" i="106"/>
  <c r="D321" i="106" s="1"/>
  <c r="I48" i="4"/>
  <c r="B2106" i="106" s="1"/>
  <c r="D2106" i="106" s="1"/>
  <c r="B6765" i="106"/>
  <c r="D6765" i="106" s="1"/>
  <c r="B4370" i="106"/>
  <c r="D4370" i="106" s="1"/>
  <c r="B4889" i="106"/>
  <c r="D4889" i="106" s="1"/>
  <c r="B3653" i="106"/>
  <c r="D3653" i="106" s="1"/>
  <c r="F109" i="34"/>
  <c r="B4351" i="106"/>
  <c r="D4351" i="106" s="1"/>
  <c r="B6821" i="106"/>
  <c r="D6821" i="106" s="1"/>
  <c r="B6331" i="106"/>
  <c r="D6331" i="106" s="1"/>
  <c r="B6629" i="106"/>
  <c r="D6629" i="106" s="1"/>
  <c r="B6954" i="106"/>
  <c r="D6954" i="106" s="1"/>
  <c r="B4796" i="106"/>
  <c r="D4796" i="106" s="1"/>
  <c r="B4078" i="106"/>
  <c r="D4078" i="106" s="1"/>
  <c r="B5517" i="106"/>
  <c r="D5517" i="106" s="1"/>
  <c r="B5739" i="106"/>
  <c r="D5739" i="106" s="1"/>
  <c r="K30" i="29"/>
  <c r="B6896" i="106"/>
  <c r="D6896" i="106" s="1"/>
  <c r="B5529" i="106"/>
  <c r="D5529" i="106" s="1"/>
  <c r="B848" i="106"/>
  <c r="D848" i="106" s="1"/>
  <c r="E53" i="29"/>
  <c r="B850" i="106" s="1"/>
  <c r="D850" i="106" s="1"/>
  <c r="B2822" i="106"/>
  <c r="D2822" i="106" s="1"/>
  <c r="B500" i="106"/>
  <c r="D500" i="106" s="1"/>
  <c r="B1531" i="106"/>
  <c r="D1531" i="106" s="1"/>
  <c r="E303" i="29"/>
  <c r="C221" i="5"/>
  <c r="B5301" i="106"/>
  <c r="D5301" i="106" s="1"/>
  <c r="F166" i="34"/>
  <c r="B7809" i="106"/>
  <c r="D7809" i="106" s="1"/>
  <c r="B5560" i="106"/>
  <c r="D5560" i="106" s="1"/>
  <c r="B2995" i="106"/>
  <c r="D2995" i="106" s="1"/>
  <c r="H194" i="29"/>
  <c r="B3273" i="106"/>
  <c r="D3273" i="106" s="1"/>
  <c r="B7813" i="106"/>
  <c r="D7813" i="106" s="1"/>
  <c r="F167" i="34"/>
  <c r="B3483" i="106"/>
  <c r="D3483" i="106" s="1"/>
  <c r="B2980" i="106"/>
  <c r="D2980" i="106" s="1"/>
  <c r="B7669" i="106"/>
  <c r="D7669" i="106" s="1"/>
  <c r="F140" i="34"/>
  <c r="B6674" i="106"/>
  <c r="D6674" i="106" s="1"/>
  <c r="B7808" i="106"/>
  <c r="D7808" i="106" s="1"/>
  <c r="B6859" i="106"/>
  <c r="D6859" i="106" s="1"/>
  <c r="B3080" i="106"/>
  <c r="D3080" i="106" s="1"/>
  <c r="B7804" i="106"/>
  <c r="D7804" i="106" s="1"/>
  <c r="K249" i="29"/>
  <c r="B7084" i="106" s="1"/>
  <c r="D7084" i="106" s="1"/>
  <c r="B7083" i="106"/>
  <c r="D7083" i="106" s="1"/>
  <c r="B6716" i="106"/>
  <c r="D6716" i="106" s="1"/>
  <c r="B2798" i="106"/>
  <c r="D2798" i="106" s="1"/>
  <c r="B5604" i="106"/>
  <c r="D5604" i="106" s="1"/>
  <c r="B4878" i="106"/>
  <c r="D4878" i="106" s="1"/>
  <c r="B917" i="106"/>
  <c r="D917" i="106" s="1"/>
  <c r="B6866" i="106"/>
  <c r="D6866" i="106" s="1"/>
  <c r="B1437" i="106"/>
  <c r="D1437" i="106" s="1"/>
  <c r="K272" i="29"/>
  <c r="B1501" i="106" s="1"/>
  <c r="D1501" i="106" s="1"/>
  <c r="D277" i="29"/>
  <c r="B1444" i="106" s="1"/>
  <c r="D1444" i="106" s="1"/>
  <c r="B5255" i="106"/>
  <c r="D5255" i="106" s="1"/>
  <c r="B7701" i="106"/>
  <c r="D7701" i="106" s="1"/>
  <c r="B7194" i="106"/>
  <c r="D7194" i="106" s="1"/>
  <c r="B6672" i="106"/>
  <c r="D6672" i="106" s="1"/>
  <c r="B6714" i="106"/>
  <c r="D6714" i="106" s="1"/>
  <c r="B6677" i="106"/>
  <c r="D6677" i="106" s="1"/>
  <c r="B2817" i="106"/>
  <c r="D2817" i="106" s="1"/>
  <c r="E76" i="4"/>
  <c r="B3276" i="106" s="1"/>
  <c r="D3276" i="106" s="1"/>
  <c r="B2799" i="106"/>
  <c r="D2799" i="106" s="1"/>
  <c r="B7143" i="106"/>
  <c r="D7143" i="106" s="1"/>
  <c r="H51" i="4"/>
  <c r="B3170" i="106" s="1"/>
  <c r="D3170" i="106" s="1"/>
  <c r="B3161" i="106"/>
  <c r="D3161" i="106" s="1"/>
  <c r="B5907" i="106"/>
  <c r="D5907" i="106" s="1"/>
  <c r="H181" i="5"/>
  <c r="B5908" i="106" s="1"/>
  <c r="D5908" i="106" s="1"/>
  <c r="B5084" i="106"/>
  <c r="D5084" i="106" s="1"/>
  <c r="B5561" i="106"/>
  <c r="D5561" i="106" s="1"/>
  <c r="B6309" i="106"/>
  <c r="D6309" i="106" s="1"/>
  <c r="B6663" i="106"/>
  <c r="D6663" i="106" s="1"/>
  <c r="B6254" i="106"/>
  <c r="D6254" i="106" s="1"/>
  <c r="B721" i="106"/>
  <c r="D721" i="106" s="1"/>
  <c r="C42" i="29"/>
  <c r="K36" i="29"/>
  <c r="B5073" i="106"/>
  <c r="D5073" i="106" s="1"/>
  <c r="B891" i="106"/>
  <c r="D891" i="106" s="1"/>
  <c r="B6310" i="106"/>
  <c r="D6310" i="106" s="1"/>
  <c r="B1007" i="106"/>
  <c r="D1007" i="106" s="1"/>
  <c r="B6712" i="106"/>
  <c r="D6712" i="106" s="1"/>
  <c r="F143" i="34"/>
  <c r="B1244" i="106"/>
  <c r="D1244" i="106" s="1"/>
  <c r="H310" i="29"/>
  <c r="B7115" i="106" s="1"/>
  <c r="D7115" i="106" s="1"/>
  <c r="B7106" i="106"/>
  <c r="D7106" i="106" s="1"/>
  <c r="B6311" i="106"/>
  <c r="D6311" i="106" s="1"/>
  <c r="B4165" i="106"/>
  <c r="D4165" i="106" s="1"/>
  <c r="K284" i="29"/>
  <c r="B4166" i="106" s="1"/>
  <c r="D4166" i="106" s="1"/>
  <c r="H303" i="29"/>
  <c r="B1549" i="106"/>
  <c r="D1549" i="106" s="1"/>
  <c r="B794" i="106"/>
  <c r="D794" i="106" s="1"/>
  <c r="B5275" i="106"/>
  <c r="D5275" i="106" s="1"/>
  <c r="J303" i="29"/>
  <c r="B7100" i="106"/>
  <c r="D7100" i="106" s="1"/>
  <c r="B6864" i="106"/>
  <c r="D6864" i="106" s="1"/>
  <c r="B7140" i="106"/>
  <c r="D7140" i="106" s="1"/>
  <c r="J108" i="5"/>
  <c r="B6351" i="106" s="1"/>
  <c r="D6351" i="106" s="1"/>
  <c r="B6319" i="106"/>
  <c r="D6319" i="106" s="1"/>
  <c r="B6722" i="106"/>
  <c r="D6722" i="106" s="1"/>
  <c r="B6855" i="106"/>
  <c r="D6855" i="106" s="1"/>
  <c r="B7059" i="106"/>
  <c r="D7059" i="106" s="1"/>
  <c r="D69" i="36"/>
  <c r="K170" i="29"/>
  <c r="B1315" i="106"/>
  <c r="D1315" i="106" s="1"/>
  <c r="B6862" i="106"/>
  <c r="D6862" i="106" s="1"/>
  <c r="B6237" i="106"/>
  <c r="D6237" i="106" s="1"/>
  <c r="B6307" i="106"/>
  <c r="D6307" i="106" s="1"/>
  <c r="B5525" i="106"/>
  <c r="D5525" i="106" s="1"/>
  <c r="B5361" i="106"/>
  <c r="D5361" i="106" s="1"/>
  <c r="D122" i="5"/>
  <c r="B5367" i="106" s="1"/>
  <c r="D5367" i="106" s="1"/>
  <c r="B5731" i="106"/>
  <c r="D5731" i="106" s="1"/>
  <c r="G67" i="5"/>
  <c r="B5733" i="106" s="1"/>
  <c r="D5733" i="106" s="1"/>
  <c r="E84" i="29"/>
  <c r="B2949" i="106"/>
  <c r="D2949" i="106" s="1"/>
  <c r="K78" i="29"/>
  <c r="B3078" i="106"/>
  <c r="D3078" i="106" s="1"/>
  <c r="K253" i="29"/>
  <c r="B7092" i="106" s="1"/>
  <c r="D7092" i="106" s="1"/>
  <c r="B7091" i="106"/>
  <c r="D7091" i="106" s="1"/>
  <c r="B5877" i="106"/>
  <c r="D5877" i="106" s="1"/>
  <c r="B2993" i="106"/>
  <c r="D2993" i="106" s="1"/>
  <c r="K192" i="29"/>
  <c r="B3011" i="106" s="1"/>
  <c r="D3011" i="106" s="1"/>
  <c r="B6707" i="106"/>
  <c r="D6707" i="106" s="1"/>
  <c r="F18" i="5"/>
  <c r="B5562" i="106" s="1"/>
  <c r="D5562" i="106" s="1"/>
  <c r="B5558" i="106"/>
  <c r="D5558" i="106" s="1"/>
  <c r="B6636" i="106"/>
  <c r="D6636" i="106" s="1"/>
  <c r="B5589" i="106"/>
  <c r="D5589" i="106" s="1"/>
  <c r="F114" i="5"/>
  <c r="B4180" i="106"/>
  <c r="D4180" i="106" s="1"/>
  <c r="B6955" i="106"/>
  <c r="D6955" i="106" s="1"/>
  <c r="B3625" i="106"/>
  <c r="D3625" i="106" s="1"/>
  <c r="K101" i="29"/>
  <c r="B7015" i="106" s="1"/>
  <c r="D7015" i="106" s="1"/>
  <c r="B2947" i="106"/>
  <c r="D2947" i="106" s="1"/>
  <c r="B4192" i="106"/>
  <c r="D4192" i="106" s="1"/>
  <c r="D181" i="5"/>
  <c r="B5425" i="106" s="1"/>
  <c r="D5425" i="106" s="1"/>
  <c r="B5424" i="106"/>
  <c r="D5424" i="106" s="1"/>
  <c r="B6778" i="106"/>
  <c r="D6778" i="106" s="1"/>
  <c r="B5883" i="106"/>
  <c r="D5883" i="106" s="1"/>
  <c r="F22" i="34"/>
  <c r="B6313" i="106"/>
  <c r="D6313" i="106" s="1"/>
  <c r="B6242" i="106"/>
  <c r="D6242" i="106" s="1"/>
  <c r="B4328" i="106"/>
  <c r="D4328" i="106" s="1"/>
  <c r="B6828" i="106"/>
  <c r="D6828" i="106" s="1"/>
  <c r="B4771" i="106"/>
  <c r="D4771" i="106" s="1"/>
  <c r="B979" i="106"/>
  <c r="D979" i="106" s="1"/>
  <c r="B5086" i="106"/>
  <c r="D5086" i="106" s="1"/>
  <c r="B5375" i="106"/>
  <c r="D5375" i="106" s="1"/>
  <c r="B5586" i="106"/>
  <c r="D5586" i="106" s="1"/>
  <c r="B806" i="106"/>
  <c r="D806" i="106" s="1"/>
  <c r="B2801" i="106"/>
  <c r="D2801" i="106" s="1"/>
  <c r="B896" i="106"/>
  <c r="D896" i="106" s="1"/>
  <c r="B16" i="7"/>
  <c r="B5723" i="106"/>
  <c r="D5723" i="106" s="1"/>
  <c r="B6691" i="106"/>
  <c r="D6691" i="106" s="1"/>
  <c r="B5124" i="106"/>
  <c r="D5124" i="106" s="1"/>
  <c r="B5818" i="106"/>
  <c r="D5818" i="106" s="1"/>
  <c r="B6392" i="106"/>
  <c r="D6392" i="106" s="1"/>
  <c r="B6236" i="106"/>
  <c r="D6236" i="106" s="1"/>
  <c r="B2719" i="106"/>
  <c r="D2719" i="106" s="1"/>
  <c r="B5998" i="106"/>
  <c r="D5998" i="106" s="1"/>
  <c r="B738" i="106"/>
  <c r="D738" i="106" s="1"/>
  <c r="K59" i="29"/>
  <c r="C65" i="29"/>
  <c r="B745" i="106" s="1"/>
  <c r="D745" i="106" s="1"/>
  <c r="B6365" i="106"/>
  <c r="D6365" i="106" s="1"/>
  <c r="B6767" i="106"/>
  <c r="D6767" i="106" s="1"/>
  <c r="B7058" i="106"/>
  <c r="D7058" i="106" s="1"/>
  <c r="J184" i="29"/>
  <c r="B7663" i="106"/>
  <c r="D7663" i="106" s="1"/>
  <c r="B7266" i="106"/>
  <c r="B5384" i="106"/>
  <c r="D5384" i="106" s="1"/>
  <c r="B5855" i="106"/>
  <c r="D5855" i="106" s="1"/>
  <c r="B5743" i="106"/>
  <c r="D5743" i="106" s="1"/>
  <c r="G252" i="5"/>
  <c r="B6837" i="106" s="1"/>
  <c r="D6837" i="106" s="1"/>
  <c r="B6618" i="106"/>
  <c r="D6618" i="106" s="1"/>
  <c r="B1026" i="106"/>
  <c r="D1026" i="106" s="1"/>
  <c r="B6754" i="106"/>
  <c r="D6754" i="106" s="1"/>
  <c r="B5619" i="106"/>
  <c r="D5619" i="106" s="1"/>
  <c r="B7232" i="106"/>
  <c r="D7232" i="106" s="1"/>
  <c r="B1013" i="106"/>
  <c r="D1013" i="106" s="1"/>
  <c r="B6378" i="106"/>
  <c r="D6378" i="106" s="1"/>
  <c r="B2766" i="106"/>
  <c r="D2766" i="106" s="1"/>
  <c r="B5060" i="106"/>
  <c r="D5060" i="106" s="1"/>
  <c r="F116" i="34"/>
  <c r="K18" i="5"/>
  <c r="B5992" i="106" s="1"/>
  <c r="D5992" i="106" s="1"/>
  <c r="B5988" i="106"/>
  <c r="D5988" i="106" s="1"/>
  <c r="B3534" i="106"/>
  <c r="D3534" i="106" s="1"/>
  <c r="B7761" i="106"/>
  <c r="D7761" i="106" s="1"/>
  <c r="F158" i="34"/>
  <c r="K248" i="29"/>
  <c r="B7082" i="106" s="1"/>
  <c r="D7082" i="106" s="1"/>
  <c r="B7081" i="106"/>
  <c r="D7081" i="106" s="1"/>
  <c r="B4407" i="106"/>
  <c r="D4407" i="106" s="1"/>
  <c r="B5601" i="106"/>
  <c r="D5601" i="106" s="1"/>
  <c r="B7039" i="106"/>
  <c r="D7039" i="106" s="1"/>
  <c r="B5059" i="106"/>
  <c r="D5059" i="106" s="1"/>
  <c r="C33" i="29"/>
  <c r="B720" i="106" s="1"/>
  <c r="D720" i="106" s="1"/>
  <c r="B705" i="106"/>
  <c r="D705" i="106" s="1"/>
  <c r="K5" i="29"/>
  <c r="B5672" i="106"/>
  <c r="D5672" i="106" s="1"/>
  <c r="B6802" i="106"/>
  <c r="D6802" i="106" s="1"/>
  <c r="B6404" i="106"/>
  <c r="D6404" i="106" s="1"/>
  <c r="B6303" i="106"/>
  <c r="D6303" i="106" s="1"/>
  <c r="B6734" i="106"/>
  <c r="D6734" i="106" s="1"/>
  <c r="B6692" i="106"/>
  <c r="D6692" i="106" s="1"/>
  <c r="B7637" i="106"/>
  <c r="B770" i="106"/>
  <c r="D770" i="106" s="1"/>
  <c r="B6401" i="106"/>
  <c r="D6401" i="106" s="1"/>
  <c r="C198" i="5"/>
  <c r="B2806" i="106"/>
  <c r="D2806" i="106" s="1"/>
  <c r="K93" i="29"/>
  <c r="H100" i="29"/>
  <c r="B7012" i="106" s="1"/>
  <c r="D7012" i="106" s="1"/>
  <c r="B6996" i="106"/>
  <c r="D6996" i="106" s="1"/>
  <c r="B7700" i="106"/>
  <c r="D7700" i="106" s="1"/>
  <c r="B872" i="106"/>
  <c r="D872" i="106" s="1"/>
  <c r="B2981" i="106"/>
  <c r="D2981" i="106" s="1"/>
  <c r="B4919" i="106"/>
  <c r="D4919" i="106" s="1"/>
  <c r="B3253" i="106"/>
  <c r="D3253" i="106" s="1"/>
  <c r="B5196" i="106"/>
  <c r="D5196" i="106" s="1"/>
  <c r="B6250" i="106"/>
  <c r="D6250" i="106" s="1"/>
  <c r="H41" i="4"/>
  <c r="B6289" i="106" s="1"/>
  <c r="D6289" i="106" s="1"/>
  <c r="B6671" i="106"/>
  <c r="D6671" i="106" s="1"/>
  <c r="C75" i="5"/>
  <c r="B6031" i="106"/>
  <c r="D6031" i="106" s="1"/>
  <c r="B5757" i="106"/>
  <c r="D5757" i="106" s="1"/>
  <c r="B2800" i="106"/>
  <c r="D2800" i="106" s="1"/>
  <c r="B7196" i="106"/>
  <c r="D7196" i="106" s="1"/>
  <c r="B2960" i="106"/>
  <c r="D2960" i="106" s="1"/>
  <c r="B7156" i="106"/>
  <c r="D7156" i="106" s="1"/>
  <c r="K206" i="29"/>
  <c r="B4210" i="106"/>
  <c r="D4210" i="106" s="1"/>
  <c r="B846" i="106"/>
  <c r="D846" i="106" s="1"/>
  <c r="B4811" i="106"/>
  <c r="D4811" i="106" s="1"/>
  <c r="B1347" i="106"/>
  <c r="D1347" i="106" s="1"/>
  <c r="G209" i="5"/>
  <c r="B4414" i="106" s="1"/>
  <c r="D4414" i="106" s="1"/>
  <c r="B5799" i="106"/>
  <c r="D5799" i="106" s="1"/>
  <c r="B5463" i="106"/>
  <c r="D5463" i="106" s="1"/>
  <c r="D17" i="171"/>
  <c r="F169" i="34"/>
  <c r="B4362" i="106"/>
  <c r="D4362" i="106" s="1"/>
  <c r="B6673" i="106"/>
  <c r="D6673" i="106" s="1"/>
  <c r="B3251" i="106"/>
  <c r="D3251" i="106" s="1"/>
  <c r="B3698" i="106"/>
  <c r="D3698" i="106" s="1"/>
  <c r="K52" i="4"/>
  <c r="B3055" i="106"/>
  <c r="D3055" i="106" s="1"/>
  <c r="K10" i="29"/>
  <c r="B3062" i="106" s="1"/>
  <c r="D3062" i="106" s="1"/>
  <c r="B6766" i="106"/>
  <c r="D6766" i="106" s="1"/>
  <c r="B844" i="106"/>
  <c r="D844" i="106" s="1"/>
  <c r="E47" i="29"/>
  <c r="B847" i="106" s="1"/>
  <c r="D847" i="106" s="1"/>
  <c r="B6644" i="106"/>
  <c r="D6644" i="106" s="1"/>
  <c r="B903" i="106"/>
  <c r="D903" i="106" s="1"/>
  <c r="K108" i="5"/>
  <c r="B5999" i="106" s="1"/>
  <c r="D5999" i="106" s="1"/>
  <c r="B5996" i="106"/>
  <c r="D5996" i="106" s="1"/>
  <c r="B5108" i="106"/>
  <c r="D5108" i="106" s="1"/>
  <c r="B776" i="106"/>
  <c r="D776" i="106" s="1"/>
  <c r="B839" i="106"/>
  <c r="D839" i="106" s="1"/>
  <c r="B4312" i="106"/>
  <c r="D4312" i="106" s="1"/>
  <c r="K146" i="29"/>
  <c r="B1285" i="106" s="1"/>
  <c r="D1285" i="106" s="1"/>
  <c r="B1270" i="106"/>
  <c r="D1270" i="106" s="1"/>
  <c r="B849" i="106"/>
  <c r="D849" i="106" s="1"/>
  <c r="K233" i="29"/>
  <c r="B1476" i="106" s="1"/>
  <c r="D1476" i="106" s="1"/>
  <c r="B1412" i="106"/>
  <c r="D1412" i="106" s="1"/>
  <c r="B7036" i="106"/>
  <c r="D7036" i="106" s="1"/>
  <c r="B7265" i="106"/>
  <c r="B6724" i="106"/>
  <c r="D6724" i="106" s="1"/>
  <c r="B7667" i="106"/>
  <c r="D7667" i="106" s="1"/>
  <c r="B6824" i="106"/>
  <c r="D6824" i="106" s="1"/>
  <c r="C217" i="5"/>
  <c r="B5286" i="106" s="1"/>
  <c r="D5286" i="106" s="1"/>
  <c r="B5274" i="106"/>
  <c r="D5274" i="106" s="1"/>
  <c r="B1372" i="106"/>
  <c r="D1372" i="106" s="1"/>
  <c r="K200" i="29"/>
  <c r="B1384" i="106" s="1"/>
  <c r="D1384" i="106" s="1"/>
  <c r="F128" i="34"/>
  <c r="B5278" i="106"/>
  <c r="D5278" i="106" s="1"/>
  <c r="B7079" i="106"/>
  <c r="D7079" i="106" s="1"/>
  <c r="K226" i="29"/>
  <c r="B7080" i="106" s="1"/>
  <c r="D7080" i="106" s="1"/>
  <c r="B7134" i="106"/>
  <c r="D7134" i="106" s="1"/>
  <c r="F18" i="34"/>
  <c r="B5564" i="106"/>
  <c r="D5564" i="106" s="1"/>
  <c r="B7659" i="106"/>
  <c r="D7659" i="106" s="1"/>
  <c r="F120" i="34"/>
  <c r="B4329" i="106"/>
  <c r="D4329" i="106" s="1"/>
  <c r="B5024" i="106"/>
  <c r="D5024" i="106" s="1"/>
  <c r="F76" i="4"/>
  <c r="B3254" i="106" s="1"/>
  <c r="D3254" i="106" s="1"/>
  <c r="B5422" i="106"/>
  <c r="D5422" i="106" s="1"/>
  <c r="D175" i="5"/>
  <c r="B5423" i="106" s="1"/>
  <c r="D5423" i="106" s="1"/>
  <c r="B6921" i="106"/>
  <c r="D6921" i="106" s="1"/>
  <c r="C82" i="5"/>
  <c r="B5102" i="106" s="1"/>
  <c r="D5102" i="106" s="1"/>
  <c r="B5097" i="106"/>
  <c r="D5097" i="106" s="1"/>
  <c r="B1426" i="106"/>
  <c r="D1426" i="106" s="1"/>
  <c r="K260" i="29"/>
  <c r="B1490" i="106" s="1"/>
  <c r="D1490" i="106" s="1"/>
  <c r="B7674" i="106"/>
  <c r="D7674" i="106" s="1"/>
  <c r="C93" i="5"/>
  <c r="B5112" i="106" s="1"/>
  <c r="D5112" i="106" s="1"/>
  <c r="F96" i="34"/>
  <c r="B5103" i="106"/>
  <c r="D5103" i="106" s="1"/>
  <c r="B7111" i="106"/>
  <c r="D7111" i="106" s="1"/>
  <c r="B1408" i="106"/>
  <c r="D1408" i="106" s="1"/>
  <c r="K223" i="29"/>
  <c r="B1472" i="106" s="1"/>
  <c r="D1472" i="106" s="1"/>
  <c r="B1002" i="106"/>
  <c r="D1002" i="106" s="1"/>
  <c r="E169" i="5"/>
  <c r="B5537" i="106" s="1"/>
  <c r="D5537" i="106" s="1"/>
  <c r="B6368" i="106"/>
  <c r="D6368" i="106" s="1"/>
  <c r="F108" i="34"/>
  <c r="B5167" i="106"/>
  <c r="D5167" i="106" s="1"/>
  <c r="B6325" i="106"/>
  <c r="D6325" i="106" s="1"/>
  <c r="B6291" i="106"/>
  <c r="D6291" i="106" s="1"/>
  <c r="B5069" i="106"/>
  <c r="D5069" i="106" s="1"/>
  <c r="B7030" i="106"/>
  <c r="D7030" i="106" s="1"/>
  <c r="B4338" i="106"/>
  <c r="D4338" i="106" s="1"/>
  <c r="B6963" i="106"/>
  <c r="D6963" i="106" s="1"/>
  <c r="I72" i="29"/>
  <c r="B6973" i="106" s="1"/>
  <c r="D6973" i="106" s="1"/>
  <c r="K27" i="29"/>
  <c r="B6890" i="106"/>
  <c r="D6890" i="106" s="1"/>
  <c r="B6761" i="106"/>
  <c r="D6761" i="106" s="1"/>
  <c r="F148" i="34"/>
  <c r="B5337" i="106"/>
  <c r="D5337" i="106" s="1"/>
  <c r="H67" i="5"/>
  <c r="B5881" i="106" s="1"/>
  <c r="D5881" i="106" s="1"/>
  <c r="B5879" i="106"/>
  <c r="D5879" i="106" s="1"/>
  <c r="B6369" i="106"/>
  <c r="D6369" i="106" s="1"/>
  <c r="B1251" i="106"/>
  <c r="D1251" i="106" s="1"/>
  <c r="G127" i="29"/>
  <c r="B1256" i="106" s="1"/>
  <c r="D1256" i="106" s="1"/>
  <c r="B6969" i="106"/>
  <c r="D6969" i="106" s="1"/>
  <c r="B1422" i="106"/>
  <c r="D1422" i="106" s="1"/>
  <c r="D257" i="29"/>
  <c r="B1424" i="106" s="1"/>
  <c r="D1424" i="106" s="1"/>
  <c r="K245" i="29"/>
  <c r="B5105" i="106"/>
  <c r="D5105" i="106" s="1"/>
  <c r="B7147" i="106"/>
  <c r="D7147" i="106" s="1"/>
  <c r="B6295" i="106"/>
  <c r="D6295" i="106" s="1"/>
  <c r="B7150" i="106"/>
  <c r="D7150" i="106" s="1"/>
  <c r="B948" i="106"/>
  <c r="D948" i="106" s="1"/>
  <c r="B7137" i="106"/>
  <c r="D7137" i="106" s="1"/>
  <c r="B4410" i="106"/>
  <c r="D4410" i="106" s="1"/>
  <c r="B4356" i="106"/>
  <c r="D4356" i="106" s="1"/>
  <c r="B4355" i="106"/>
  <c r="D4355" i="106" s="1"/>
  <c r="B4875" i="106"/>
  <c r="D4875" i="106" s="1"/>
  <c r="B6813" i="106"/>
  <c r="D6813" i="106" s="1"/>
  <c r="B6698" i="106"/>
  <c r="D6698" i="106" s="1"/>
  <c r="G198" i="5"/>
  <c r="B6409" i="106" s="1"/>
  <c r="D6409" i="106" s="1"/>
  <c r="B6402" i="106"/>
  <c r="D6402" i="106" s="1"/>
  <c r="B6407" i="106"/>
  <c r="D6407" i="106" s="1"/>
  <c r="B3368" i="106"/>
  <c r="D3368" i="106" s="1"/>
  <c r="D141" i="5"/>
  <c r="B5383" i="106" s="1"/>
  <c r="D5383" i="106" s="1"/>
  <c r="B5370" i="106"/>
  <c r="D5370" i="106" s="1"/>
  <c r="B1044" i="106"/>
  <c r="D1044" i="106" s="1"/>
  <c r="B6330" i="106"/>
  <c r="D6330" i="106" s="1"/>
  <c r="B6247" i="106"/>
  <c r="D6247" i="106" s="1"/>
  <c r="B5335" i="106"/>
  <c r="D5335" i="106" s="1"/>
  <c r="D18" i="5"/>
  <c r="B5339" i="106" s="1"/>
  <c r="D5339" i="106" s="1"/>
  <c r="B5354" i="106"/>
  <c r="D5354" i="106" s="1"/>
  <c r="B2829" i="106"/>
  <c r="D2829" i="106" s="1"/>
  <c r="B4342" i="106"/>
  <c r="D4342" i="106" s="1"/>
  <c r="B4393" i="106"/>
  <c r="D4393" i="106" s="1"/>
  <c r="B1016" i="106"/>
  <c r="D1016" i="106" s="1"/>
  <c r="B2721" i="106"/>
  <c r="D2721" i="106" s="1"/>
  <c r="C141" i="5"/>
  <c r="B5161" i="106" s="1"/>
  <c r="D5161" i="106" s="1"/>
  <c r="B5148" i="106"/>
  <c r="D5148" i="106" s="1"/>
  <c r="B960" i="106"/>
  <c r="D960" i="106" s="1"/>
  <c r="G47" i="29"/>
  <c r="B963" i="106" s="1"/>
  <c r="D963" i="106" s="1"/>
  <c r="B864" i="106"/>
  <c r="D864" i="106" s="1"/>
  <c r="B6814" i="106"/>
  <c r="D6814" i="106" s="1"/>
  <c r="B781" i="106"/>
  <c r="D781" i="106" s="1"/>
  <c r="B7155" i="106"/>
  <c r="D7155" i="106" s="1"/>
  <c r="B5117" i="106"/>
  <c r="D5117" i="106" s="1"/>
  <c r="B4420" i="106"/>
  <c r="D4420" i="106" s="1"/>
  <c r="B5135" i="106"/>
  <c r="D5135" i="106" s="1"/>
  <c r="I53" i="29"/>
  <c r="B6942" i="106" s="1"/>
  <c r="D6942" i="106" s="1"/>
  <c r="B6926" i="106"/>
  <c r="D6926" i="106" s="1"/>
  <c r="B1419" i="106"/>
  <c r="D1419" i="106" s="1"/>
  <c r="K241" i="29"/>
  <c r="B1483" i="106" s="1"/>
  <c r="D1483" i="106" s="1"/>
  <c r="B1245" i="106"/>
  <c r="D1245" i="106" s="1"/>
  <c r="B5691" i="106"/>
  <c r="D5691" i="106" s="1"/>
  <c r="F217" i="5"/>
  <c r="B5703" i="106" s="1"/>
  <c r="D5703" i="106" s="1"/>
  <c r="B6639" i="106"/>
  <c r="D6639" i="106" s="1"/>
  <c r="B6780" i="106"/>
  <c r="D6780" i="106" s="1"/>
  <c r="B4793" i="106"/>
  <c r="D4793" i="106" s="1"/>
  <c r="B9" i="7"/>
  <c r="B5871" i="106"/>
  <c r="D5871" i="106" s="1"/>
  <c r="H12" i="5"/>
  <c r="B5873" i="106" s="1"/>
  <c r="D5873" i="106" s="1"/>
  <c r="K328" i="29"/>
  <c r="B7696" i="106" s="1"/>
  <c r="D7696" i="106" s="1"/>
  <c r="B7688" i="106"/>
  <c r="D7688" i="106" s="1"/>
  <c r="B6884" i="106"/>
  <c r="D6884" i="106" s="1"/>
  <c r="K24" i="29"/>
  <c r="B1415" i="106"/>
  <c r="D1415" i="106" s="1"/>
  <c r="K236" i="29"/>
  <c r="B1479" i="106" s="1"/>
  <c r="D1479" i="106" s="1"/>
  <c r="B5485" i="106"/>
  <c r="D5485" i="106" s="1"/>
  <c r="D221" i="5"/>
  <c r="B5488" i="106" s="1"/>
  <c r="D5488" i="106" s="1"/>
  <c r="B6659" i="106"/>
  <c r="D6659" i="106" s="1"/>
  <c r="B1371" i="106"/>
  <c r="D1371" i="106" s="1"/>
  <c r="H204" i="29"/>
  <c r="K199" i="29"/>
  <c r="B6634" i="106"/>
  <c r="D6634" i="106" s="1"/>
  <c r="F135" i="34"/>
  <c r="B6258" i="106"/>
  <c r="D6258" i="106" s="1"/>
  <c r="B5921" i="106"/>
  <c r="D5921" i="106" s="1"/>
  <c r="D229" i="29"/>
  <c r="B1410" i="106" s="1"/>
  <c r="D1410" i="106" s="1"/>
  <c r="B3387" i="106"/>
  <c r="D3387" i="106" s="1"/>
  <c r="K215" i="29"/>
  <c r="B4448" i="106"/>
  <c r="D4448" i="106" s="1"/>
  <c r="K124" i="29"/>
  <c r="B1276" i="106" s="1"/>
  <c r="D1276" i="106" s="1"/>
  <c r="B1221" i="106"/>
  <c r="D1221" i="106" s="1"/>
  <c r="B6362" i="106"/>
  <c r="D6362" i="106" s="1"/>
  <c r="B3373" i="106"/>
  <c r="D3373" i="106" s="1"/>
  <c r="B6936" i="106"/>
  <c r="D6936" i="106" s="1"/>
  <c r="D188" i="5"/>
  <c r="B5426" i="106"/>
  <c r="D5426" i="106" s="1"/>
  <c r="B6735" i="106"/>
  <c r="D6735" i="106" s="1"/>
  <c r="J12" i="5"/>
  <c r="B11" i="7"/>
  <c r="B6298" i="106"/>
  <c r="D6298" i="106" s="1"/>
  <c r="B6633" i="106"/>
  <c r="D6633" i="106" s="1"/>
  <c r="B4332" i="106"/>
  <c r="D4332" i="106" s="1"/>
  <c r="B7165" i="106"/>
  <c r="D7165" i="106" s="1"/>
  <c r="E108" i="5"/>
  <c r="B5526" i="106" s="1"/>
  <c r="D5526" i="106" s="1"/>
  <c r="B5522" i="106"/>
  <c r="D5522" i="106" s="1"/>
  <c r="B6360" i="106"/>
  <c r="D6360" i="106" s="1"/>
  <c r="B7807" i="106"/>
  <c r="D7807" i="106" s="1"/>
  <c r="B7188" i="106"/>
  <c r="D7188" i="106" s="1"/>
  <c r="D12" i="5"/>
  <c r="B5" i="7"/>
  <c r="B5328" i="106"/>
  <c r="D5328" i="106" s="1"/>
  <c r="B6929" i="106"/>
  <c r="D6929" i="106" s="1"/>
  <c r="B3259" i="106"/>
  <c r="D3259" i="106" s="1"/>
  <c r="G76" i="4"/>
  <c r="B3260" i="106" s="1"/>
  <c r="D3260" i="106" s="1"/>
  <c r="B6405" i="106"/>
  <c r="D6405" i="106" s="1"/>
  <c r="B6817" i="106"/>
  <c r="D6817" i="106" s="1"/>
  <c r="F155" i="34"/>
  <c r="B5164" i="106"/>
  <c r="D5164" i="106" s="1"/>
  <c r="B7032" i="106"/>
  <c r="D7032" i="106" s="1"/>
  <c r="G108" i="5"/>
  <c r="B5737" i="106" s="1"/>
  <c r="D5737" i="106" s="1"/>
  <c r="B5734" i="106"/>
  <c r="D5734" i="106" s="1"/>
  <c r="B5014" i="106"/>
  <c r="D5014" i="106" s="1"/>
  <c r="F29" i="34"/>
  <c r="B5387" i="106"/>
  <c r="D5387" i="106" s="1"/>
  <c r="B4949" i="106"/>
  <c r="D4949" i="106" s="1"/>
  <c r="B7768" i="106"/>
  <c r="D7768" i="106" s="1"/>
  <c r="B7226" i="106"/>
  <c r="D7226" i="106" s="1"/>
  <c r="I350" i="29"/>
  <c r="I352" i="29" s="1"/>
  <c r="B5391" i="106"/>
  <c r="D5391" i="106" s="1"/>
  <c r="D155" i="5"/>
  <c r="B5394" i="106" s="1"/>
  <c r="D5394" i="106" s="1"/>
  <c r="B852" i="106"/>
  <c r="D852" i="106" s="1"/>
  <c r="K55" i="29"/>
  <c r="C57" i="29"/>
  <c r="B737" i="106" s="1"/>
  <c r="D737" i="106" s="1"/>
  <c r="B735" i="106"/>
  <c r="D735" i="106" s="1"/>
  <c r="F117" i="34"/>
  <c r="B4915" i="106"/>
  <c r="D4915" i="106" s="1"/>
  <c r="B6785" i="106"/>
  <c r="D6785" i="106" s="1"/>
  <c r="B5142" i="106"/>
  <c r="D5142" i="106" s="1"/>
  <c r="B809" i="106"/>
  <c r="D809" i="106" s="1"/>
  <c r="B856" i="106"/>
  <c r="D856" i="106" s="1"/>
  <c r="B4314" i="106"/>
  <c r="D4314" i="106" s="1"/>
  <c r="B995" i="106"/>
  <c r="D995" i="106" s="1"/>
  <c r="H33" i="29"/>
  <c r="B1010" i="106" s="1"/>
  <c r="D1010" i="106" s="1"/>
  <c r="B2797" i="106"/>
  <c r="D2797" i="106" s="1"/>
  <c r="K130" i="29"/>
  <c r="B4354" i="106"/>
  <c r="D4354" i="106" s="1"/>
  <c r="B6670" i="106"/>
  <c r="D6670" i="106" s="1"/>
  <c r="B4447" i="106"/>
  <c r="D4447" i="106" s="1"/>
  <c r="B2760" i="106"/>
  <c r="D2760" i="106" s="1"/>
  <c r="B1252" i="106"/>
  <c r="D1252" i="106" s="1"/>
  <c r="B954" i="106"/>
  <c r="D954" i="106" s="1"/>
  <c r="B4337" i="106"/>
  <c r="D4337" i="106" s="1"/>
  <c r="B4885" i="106"/>
  <c r="D4885" i="106" s="1"/>
  <c r="B3230" i="106"/>
  <c r="D3230" i="106" s="1"/>
  <c r="B2762" i="106"/>
  <c r="D2762" i="106" s="1"/>
  <c r="B6851" i="106"/>
  <c r="D6851" i="106" s="1"/>
  <c r="B3372" i="106"/>
  <c r="D3372" i="106" s="1"/>
  <c r="B6658" i="106"/>
  <c r="D6658" i="106" s="1"/>
  <c r="B6818" i="106"/>
  <c r="D6818" i="106" s="1"/>
  <c r="K324" i="29"/>
  <c r="B7171" i="106" s="1"/>
  <c r="D7171" i="106" s="1"/>
  <c r="B7163" i="106"/>
  <c r="D7163" i="106" s="1"/>
  <c r="I33" i="29"/>
  <c r="B6844" i="106"/>
  <c r="D6844" i="106" s="1"/>
  <c r="B5566" i="106"/>
  <c r="D5566" i="106" s="1"/>
  <c r="F86" i="34"/>
  <c r="B774" i="106"/>
  <c r="D774" i="106" s="1"/>
  <c r="K39" i="29"/>
  <c r="B1112" i="106" s="1"/>
  <c r="D1112" i="106" s="1"/>
  <c r="B724" i="106"/>
  <c r="D724" i="106" s="1"/>
  <c r="B6725" i="106"/>
  <c r="D6725" i="106" s="1"/>
  <c r="B1416" i="106"/>
  <c r="D1416" i="106" s="1"/>
  <c r="K237" i="29"/>
  <c r="B1480" i="106" s="1"/>
  <c r="D1480" i="106" s="1"/>
  <c r="F115" i="34"/>
  <c r="B5056" i="106"/>
  <c r="D5056" i="106" s="1"/>
  <c r="B6740" i="106"/>
  <c r="D6740" i="106" s="1"/>
  <c r="K195" i="29"/>
  <c r="B2839" i="106" s="1"/>
  <c r="D2839" i="106" s="1"/>
  <c r="B2824" i="106"/>
  <c r="D2824" i="106" s="1"/>
  <c r="B6694" i="106"/>
  <c r="D6694" i="106" s="1"/>
  <c r="B5239" i="106"/>
  <c r="D5239" i="106" s="1"/>
  <c r="B718" i="106"/>
  <c r="D718" i="106" s="1"/>
  <c r="K14" i="29"/>
  <c r="B1106" i="106" s="1"/>
  <c r="D1106" i="106" s="1"/>
  <c r="B6251" i="106"/>
  <c r="D6251" i="106" s="1"/>
  <c r="B906" i="106"/>
  <c r="D906" i="106" s="1"/>
  <c r="F53" i="29"/>
  <c r="B908" i="106" s="1"/>
  <c r="D908" i="106" s="1"/>
  <c r="B7191" i="106"/>
  <c r="D7191" i="106" s="1"/>
  <c r="B7652" i="106"/>
  <c r="D7652" i="106" s="1"/>
  <c r="B6354" i="106"/>
  <c r="D6354" i="106" s="1"/>
  <c r="B5997" i="106"/>
  <c r="D5997" i="106" s="1"/>
  <c r="B7183" i="106"/>
  <c r="D7183" i="106" s="1"/>
  <c r="B7046" i="106"/>
  <c r="D7046" i="106" s="1"/>
  <c r="B6728" i="106"/>
  <c r="D6728" i="106" s="1"/>
  <c r="B7801" i="106"/>
  <c r="D7801" i="106" s="1"/>
  <c r="B6649" i="106"/>
  <c r="D6649" i="106" s="1"/>
  <c r="B7109" i="106"/>
  <c r="D7109" i="106" s="1"/>
  <c r="B7125" i="106"/>
  <c r="D7125" i="106" s="1"/>
  <c r="J330" i="29"/>
  <c r="B6790" i="106"/>
  <c r="D6790" i="106" s="1"/>
  <c r="K263" i="29"/>
  <c r="B1428" i="106"/>
  <c r="D1428" i="106" s="1"/>
  <c r="D270" i="29"/>
  <c r="B1436" i="106" s="1"/>
  <c r="D1436" i="106" s="1"/>
  <c r="K301" i="29"/>
  <c r="B1519" i="106"/>
  <c r="D1519" i="106" s="1"/>
  <c r="C303" i="29"/>
  <c r="B7728" i="106"/>
  <c r="D7728" i="106" s="1"/>
  <c r="B4948" i="106"/>
  <c r="D4948" i="106" s="1"/>
  <c r="B5081" i="106"/>
  <c r="D5081" i="106" s="1"/>
  <c r="B4352" i="106"/>
  <c r="D4352" i="106" s="1"/>
  <c r="B4417" i="106"/>
  <c r="D4417" i="106" s="1"/>
  <c r="B5395" i="106"/>
  <c r="D5395" i="106" s="1"/>
  <c r="B907" i="106"/>
  <c r="D907" i="106" s="1"/>
  <c r="B6646" i="106"/>
  <c r="D6646" i="106" s="1"/>
  <c r="B6920" i="106"/>
  <c r="D6920" i="106" s="1"/>
  <c r="B845" i="106"/>
  <c r="D845" i="106" s="1"/>
  <c r="B7174" i="106"/>
  <c r="D7174" i="106" s="1"/>
  <c r="B7027" i="106"/>
  <c r="D7027" i="106" s="1"/>
  <c r="B5317" i="106"/>
  <c r="D5317" i="106" s="1"/>
  <c r="F163" i="34"/>
  <c r="B5791" i="106"/>
  <c r="D5791" i="106" s="1"/>
  <c r="F23" i="34"/>
  <c r="B5571" i="106"/>
  <c r="D5571" i="106" s="1"/>
  <c r="B6857" i="106"/>
  <c r="D6857" i="106" s="1"/>
  <c r="B838" i="106"/>
  <c r="D838" i="106" s="1"/>
  <c r="F129" i="34"/>
  <c r="B5279" i="106"/>
  <c r="D5279" i="106" s="1"/>
  <c r="B6794" i="106"/>
  <c r="D6794" i="106" s="1"/>
  <c r="B743" i="106"/>
  <c r="D743" i="106" s="1"/>
  <c r="K64" i="29"/>
  <c r="D238" i="29"/>
  <c r="B1411" i="106"/>
  <c r="D1411" i="106" s="1"/>
  <c r="K232" i="29"/>
  <c r="B5728" i="106"/>
  <c r="D5728" i="106" s="1"/>
  <c r="B6812" i="106"/>
  <c r="D6812" i="106" s="1"/>
  <c r="K327" i="29"/>
  <c r="B7198" i="106" s="1"/>
  <c r="D7198" i="106" s="1"/>
  <c r="B7190" i="106"/>
  <c r="D7190" i="106" s="1"/>
  <c r="B6769" i="106"/>
  <c r="D6769" i="106" s="1"/>
  <c r="F149" i="34"/>
  <c r="B5432" i="106"/>
  <c r="D5432" i="106" s="1"/>
  <c r="B6308" i="106"/>
  <c r="D6308" i="106" s="1"/>
  <c r="B5098" i="106"/>
  <c r="D5098" i="106" s="1"/>
  <c r="B2723" i="106"/>
  <c r="D2723" i="106" s="1"/>
  <c r="B6930" i="106"/>
  <c r="D6930" i="106" s="1"/>
  <c r="B4336" i="106"/>
  <c r="D4336" i="106" s="1"/>
  <c r="B1051" i="106"/>
  <c r="D1051" i="106" s="1"/>
  <c r="K109" i="29"/>
  <c r="B1149" i="106" s="1"/>
  <c r="D1149" i="106" s="1"/>
  <c r="B2757" i="106"/>
  <c r="D2757" i="106" s="1"/>
  <c r="D72" i="36"/>
  <c r="B6960" i="106"/>
  <c r="D6960" i="106" s="1"/>
  <c r="B6233" i="106"/>
  <c r="D6233" i="106" s="1"/>
  <c r="B5884" i="106"/>
  <c r="D5884" i="106" s="1"/>
  <c r="B5591" i="106"/>
  <c r="D5591" i="106" s="1"/>
  <c r="F159" i="34"/>
  <c r="B7765" i="106"/>
  <c r="D7765" i="106" s="1"/>
  <c r="B983" i="106"/>
  <c r="D983" i="106" s="1"/>
  <c r="J122" i="5"/>
  <c r="B6353" i="106"/>
  <c r="D6353" i="106" s="1"/>
  <c r="B7657" i="106"/>
  <c r="D7657" i="106" s="1"/>
  <c r="B4797" i="106"/>
  <c r="D4797" i="106" s="1"/>
  <c r="B6317" i="106"/>
  <c r="D6317" i="106" s="1"/>
  <c r="B3581" i="106"/>
  <c r="D3581" i="106" s="1"/>
  <c r="B6819" i="106"/>
  <c r="D6819" i="106" s="1"/>
  <c r="E39" i="4"/>
  <c r="B6287" i="106" s="1"/>
  <c r="D6287" i="106" s="1"/>
  <c r="B6246" i="106"/>
  <c r="D6246" i="106" s="1"/>
  <c r="B5927" i="106"/>
  <c r="D5927" i="106" s="1"/>
  <c r="I108" i="5"/>
  <c r="B5930" i="106" s="1"/>
  <c r="D5930" i="106" s="1"/>
  <c r="B7043" i="106"/>
  <c r="D7043" i="106" s="1"/>
  <c r="B7029" i="106"/>
  <c r="D7029" i="106" s="1"/>
  <c r="B432" i="106"/>
  <c r="D432" i="106" s="1"/>
  <c r="B2989" i="106"/>
  <c r="D2989" i="106" s="1"/>
  <c r="E194" i="29"/>
  <c r="E196" i="29" s="1"/>
  <c r="K188" i="29"/>
  <c r="K126" i="29"/>
  <c r="B1277" i="106" s="1"/>
  <c r="D1277" i="106" s="1"/>
  <c r="B1254" i="106"/>
  <c r="D1254" i="106" s="1"/>
  <c r="B6619" i="106"/>
  <c r="D6619" i="106" s="1"/>
  <c r="H252" i="5"/>
  <c r="B5528" i="106"/>
  <c r="D5528" i="106" s="1"/>
  <c r="E122" i="5"/>
  <c r="F114" i="34"/>
  <c r="B5194" i="106"/>
  <c r="D5194" i="106" s="1"/>
  <c r="B4075" i="106"/>
  <c r="D4075" i="106" s="1"/>
  <c r="B5929" i="106"/>
  <c r="D5929" i="106" s="1"/>
  <c r="B723" i="106"/>
  <c r="D723" i="106" s="1"/>
  <c r="K38" i="29"/>
  <c r="B1111" i="106" s="1"/>
  <c r="D1111" i="106" s="1"/>
  <c r="K181" i="5"/>
  <c r="B6016" i="106" s="1"/>
  <c r="D6016" i="106" s="1"/>
  <c r="B4816" i="106"/>
  <c r="D4816" i="106" s="1"/>
  <c r="B1257" i="106"/>
  <c r="D1257" i="106" s="1"/>
  <c r="B7233" i="106"/>
  <c r="D7233" i="106" s="1"/>
  <c r="K75" i="29"/>
  <c r="B756" i="106"/>
  <c r="D756" i="106" s="1"/>
  <c r="B4215" i="106"/>
  <c r="D4215" i="106" s="1"/>
  <c r="B5625" i="106"/>
  <c r="D5625" i="106" s="1"/>
  <c r="K255" i="29"/>
  <c r="B7096" i="106" s="1"/>
  <c r="D7096" i="106" s="1"/>
  <c r="B7095" i="106"/>
  <c r="D7095" i="106" s="1"/>
  <c r="B7014" i="106"/>
  <c r="D7014" i="106" s="1"/>
  <c r="B6322" i="106"/>
  <c r="D6322" i="106" s="1"/>
  <c r="B7805" i="106"/>
  <c r="D7805" i="106" s="1"/>
  <c r="B5853" i="106"/>
  <c r="D5853" i="106" s="1"/>
  <c r="B6816" i="106"/>
  <c r="D6816" i="106" s="1"/>
  <c r="B6733" i="106"/>
  <c r="D6733" i="106" s="1"/>
  <c r="B7679" i="106"/>
  <c r="D7679" i="106" s="1"/>
  <c r="B6746" i="106"/>
  <c r="D6746" i="106" s="1"/>
  <c r="B7666" i="106"/>
  <c r="D7666" i="106" s="1"/>
  <c r="B6681" i="106"/>
  <c r="D6681" i="106" s="1"/>
  <c r="B5338" i="106"/>
  <c r="D5338" i="106" s="1"/>
  <c r="B6696" i="106"/>
  <c r="D6696" i="106" s="1"/>
  <c r="F33" i="29"/>
  <c r="B879" i="106"/>
  <c r="D879" i="106" s="1"/>
  <c r="B7240" i="106"/>
  <c r="D7240" i="106" s="1"/>
  <c r="K363" i="29"/>
  <c r="B7241" i="106" s="1"/>
  <c r="D7241" i="106" s="1"/>
  <c r="B4865" i="106"/>
  <c r="D4865" i="106" s="1"/>
  <c r="B5823" i="106"/>
  <c r="D5823" i="106" s="1"/>
  <c r="B6970" i="106"/>
  <c r="D6970" i="106" s="1"/>
  <c r="B7660" i="106"/>
  <c r="D7660" i="106" s="1"/>
  <c r="B5602" i="106"/>
  <c r="D5602" i="106" s="1"/>
  <c r="B5116" i="106"/>
  <c r="D5116" i="106" s="1"/>
  <c r="B6979" i="106"/>
  <c r="D6979" i="106" s="1"/>
  <c r="B6355" i="106"/>
  <c r="D6355" i="106" s="1"/>
  <c r="B900" i="106"/>
  <c r="D900" i="106" s="1"/>
  <c r="B7004" i="106"/>
  <c r="D7004" i="106" s="1"/>
  <c r="K97" i="29"/>
  <c r="B7005" i="106" s="1"/>
  <c r="D7005" i="106" s="1"/>
  <c r="K207" i="29"/>
  <c r="B7070" i="106" s="1"/>
  <c r="D7070" i="106" s="1"/>
  <c r="B7069" i="106"/>
  <c r="D7069" i="106" s="1"/>
  <c r="B7675" i="106"/>
  <c r="D7675" i="106" s="1"/>
  <c r="B1019" i="106"/>
  <c r="D1019" i="106" s="1"/>
  <c r="F42" i="29"/>
  <c r="B895" i="106"/>
  <c r="D895" i="106" s="1"/>
  <c r="B6234" i="106"/>
  <c r="D6234" i="106" s="1"/>
  <c r="B6704" i="106"/>
  <c r="D6704" i="106" s="1"/>
  <c r="B1350" i="106"/>
  <c r="D1350" i="106" s="1"/>
  <c r="B6260" i="106"/>
  <c r="D6260" i="106" s="1"/>
  <c r="B4322" i="106"/>
  <c r="D4322" i="106" s="1"/>
  <c r="F141" i="34"/>
  <c r="B6682" i="106"/>
  <c r="D6682" i="106" s="1"/>
  <c r="B7077" i="106"/>
  <c r="D7077" i="106" s="1"/>
  <c r="K220" i="29"/>
  <c r="B6914" i="106"/>
  <c r="D6914" i="106" s="1"/>
  <c r="K144" i="29"/>
  <c r="B2810" i="106" s="1"/>
  <c r="D2810" i="106" s="1"/>
  <c r="B2807" i="106"/>
  <c r="D2807" i="106" s="1"/>
  <c r="B4804" i="106"/>
  <c r="D4804" i="106" s="1"/>
  <c r="F181" i="5"/>
  <c r="B5658" i="106" s="1"/>
  <c r="D5658" i="106" s="1"/>
  <c r="K142" i="29"/>
  <c r="H147" i="29"/>
  <c r="B1268" i="106"/>
  <c r="D1268" i="106" s="1"/>
  <c r="B7691" i="106"/>
  <c r="D7691" i="106" s="1"/>
  <c r="B6801" i="106"/>
  <c r="D6801" i="106" s="1"/>
  <c r="F153" i="34"/>
  <c r="B6667" i="106"/>
  <c r="D6667" i="106" s="1"/>
  <c r="C18" i="5"/>
  <c r="B5071" i="106" s="1"/>
  <c r="D5071" i="106" s="1"/>
  <c r="B5067" i="106"/>
  <c r="D5067" i="106" s="1"/>
  <c r="B1237" i="106"/>
  <c r="D1237" i="106" s="1"/>
  <c r="F108" i="5"/>
  <c r="B5587" i="106" s="1"/>
  <c r="D5587" i="106" s="1"/>
  <c r="B5583" i="106"/>
  <c r="D5583" i="106" s="1"/>
  <c r="B6873" i="106"/>
  <c r="D6873" i="106" s="1"/>
  <c r="B5574" i="106"/>
  <c r="D5574" i="106" s="1"/>
  <c r="F24" i="34"/>
  <c r="B5740" i="106"/>
  <c r="D5740" i="106" s="1"/>
  <c r="B6001" i="106"/>
  <c r="D6001" i="106" s="1"/>
  <c r="F103" i="34"/>
  <c r="B4761" i="106"/>
  <c r="D4761" i="106" s="1"/>
  <c r="B7187" i="106"/>
  <c r="D7187" i="106" s="1"/>
  <c r="B3485" i="106"/>
  <c r="D3485" i="106" s="1"/>
  <c r="B6709" i="106"/>
  <c r="D6709" i="106" s="1"/>
  <c r="B1030" i="106"/>
  <c r="D1030" i="106" s="1"/>
  <c r="B1229" i="106"/>
  <c r="D1229" i="106" s="1"/>
  <c r="B1049" i="106"/>
  <c r="D1049" i="106" s="1"/>
  <c r="K106" i="29"/>
  <c r="B1147" i="106" s="1"/>
  <c r="D1147" i="106" s="1"/>
  <c r="B5358" i="106"/>
  <c r="D5358" i="106" s="1"/>
  <c r="B5559" i="106"/>
  <c r="D5559" i="106" s="1"/>
  <c r="B7247" i="106"/>
  <c r="D7247" i="106" s="1"/>
  <c r="B5330" i="106"/>
  <c r="D5330" i="106" s="1"/>
  <c r="B6693" i="106"/>
  <c r="D6693" i="106" s="1"/>
  <c r="B4" i="7"/>
  <c r="B5061" i="106"/>
  <c r="D5061" i="106" s="1"/>
  <c r="C12" i="5"/>
  <c r="B3064" i="106"/>
  <c r="D3064" i="106" s="1"/>
  <c r="K219" i="29"/>
  <c r="B3065" i="106" s="1"/>
  <c r="D3065" i="106" s="1"/>
  <c r="B6393" i="106"/>
  <c r="D6393" i="106" s="1"/>
  <c r="G53" i="29"/>
  <c r="B966" i="106" s="1"/>
  <c r="D966" i="106" s="1"/>
  <c r="B964" i="106"/>
  <c r="D964" i="106" s="1"/>
  <c r="B3655" i="106"/>
  <c r="D3655" i="106" s="1"/>
  <c r="E37" i="4"/>
  <c r="B6285" i="106" s="1"/>
  <c r="D6285" i="106" s="1"/>
  <c r="H14" i="118"/>
  <c r="H19" i="118"/>
  <c r="B6240" i="106"/>
  <c r="D6240" i="106" s="1"/>
  <c r="K7" i="29"/>
  <c r="B6727" i="106"/>
  <c r="D6727" i="106" s="1"/>
  <c r="B2843" i="106"/>
  <c r="D2843" i="106" s="1"/>
  <c r="K290" i="29"/>
  <c r="B2845" i="106" s="1"/>
  <c r="D2845" i="106" s="1"/>
  <c r="B3056" i="106"/>
  <c r="D3056" i="106" s="1"/>
  <c r="B618" i="106"/>
  <c r="D618" i="106" s="1"/>
  <c r="B6952" i="106"/>
  <c r="D6952" i="106" s="1"/>
  <c r="B6304" i="106"/>
  <c r="D6304" i="106" s="1"/>
  <c r="K107" i="29"/>
  <c r="B2795" i="106" s="1"/>
  <c r="D2795" i="106" s="1"/>
  <c r="B2791" i="106"/>
  <c r="D2791" i="106" s="1"/>
  <c r="B7031" i="106"/>
  <c r="D7031" i="106" s="1"/>
  <c r="K280" i="29"/>
  <c r="F72" i="34" s="1"/>
  <c r="B1447" i="106"/>
  <c r="D1447" i="106" s="1"/>
  <c r="B5695" i="106"/>
  <c r="D5695" i="106" s="1"/>
  <c r="B6981" i="106"/>
  <c r="D6981" i="106" s="1"/>
  <c r="K85" i="29"/>
  <c r="B6982" i="106" s="1"/>
  <c r="D6982" i="106" s="1"/>
  <c r="H92" i="29"/>
  <c r="B6995" i="106" s="1"/>
  <c r="D6995" i="106" s="1"/>
  <c r="F165" i="34"/>
  <c r="B4189" i="106"/>
  <c r="D4189" i="106" s="1"/>
  <c r="B4813" i="106"/>
  <c r="D4813" i="106" s="1"/>
  <c r="B6815" i="106"/>
  <c r="D6815" i="106" s="1"/>
  <c r="B6338" i="106"/>
  <c r="D6338" i="106" s="1"/>
  <c r="B5080" i="106"/>
  <c r="D5080" i="106" s="1"/>
  <c r="F90" i="34"/>
  <c r="B6314" i="106"/>
  <c r="D6314" i="106" s="1"/>
  <c r="B7665" i="106"/>
  <c r="D7665" i="106" s="1"/>
  <c r="B5664" i="106"/>
  <c r="D5664" i="106" s="1"/>
  <c r="F204" i="5"/>
  <c r="B5677" i="106" s="1"/>
  <c r="D5677" i="106" s="1"/>
  <c r="B6810" i="106"/>
  <c r="D6810" i="106" s="1"/>
  <c r="F145" i="34"/>
  <c r="B6729" i="106"/>
  <c r="D6729" i="106" s="1"/>
  <c r="B4944" i="106"/>
  <c r="D4944" i="106" s="1"/>
  <c r="B5590" i="106"/>
  <c r="D5590" i="106" s="1"/>
  <c r="B5708" i="106"/>
  <c r="D5708" i="106" s="1"/>
  <c r="B798" i="106"/>
  <c r="D798" i="106" s="1"/>
  <c r="B3297" i="106"/>
  <c r="D3297" i="106" s="1"/>
  <c r="B7186" i="106"/>
  <c r="D7186" i="106" s="1"/>
  <c r="B6966" i="106"/>
  <c r="D6966" i="106" s="1"/>
  <c r="B6680" i="106"/>
  <c r="D6680" i="106" s="1"/>
  <c r="B6752" i="106"/>
  <c r="D6752" i="106" s="1"/>
  <c r="B5567" i="106"/>
  <c r="D5567" i="106" s="1"/>
  <c r="F19" i="34"/>
  <c r="B5171" i="106"/>
  <c r="D5171" i="106" s="1"/>
  <c r="B1236" i="106"/>
  <c r="D1236" i="106" s="1"/>
  <c r="B1261" i="106"/>
  <c r="D1261" i="106" s="1"/>
  <c r="B6946" i="106"/>
  <c r="D6946" i="106" s="1"/>
  <c r="B800" i="106"/>
  <c r="D800" i="106" s="1"/>
  <c r="B7254" i="106"/>
  <c r="D7254" i="106" s="1"/>
  <c r="B6679" i="106"/>
  <c r="D6679" i="106" s="1"/>
  <c r="B6937" i="106"/>
  <c r="D6937" i="106" s="1"/>
  <c r="K61" i="29"/>
  <c r="B1128" i="106" s="1"/>
  <c r="D1128" i="106" s="1"/>
  <c r="B740" i="106"/>
  <c r="D740" i="106" s="1"/>
  <c r="F101" i="34"/>
  <c r="B5113" i="106"/>
  <c r="D5113" i="106" s="1"/>
  <c r="C108" i="5"/>
  <c r="B5120" i="106" s="1"/>
  <c r="D5120" i="106" s="1"/>
  <c r="B5068" i="106"/>
  <c r="D5068" i="106" s="1"/>
  <c r="B6951" i="106"/>
  <c r="D6951" i="106" s="1"/>
  <c r="J65" i="29"/>
  <c r="B6962" i="106" s="1"/>
  <c r="D6962" i="106" s="1"/>
  <c r="B4874" i="106"/>
  <c r="D4874" i="106" s="1"/>
  <c r="B4391" i="106"/>
  <c r="D4391" i="106" s="1"/>
  <c r="B5986" i="106"/>
  <c r="D5986" i="106" s="1"/>
  <c r="D73" i="36"/>
  <c r="B6290" i="106"/>
  <c r="D6290" i="106" s="1"/>
  <c r="B4887" i="106"/>
  <c r="D4887" i="106" s="1"/>
  <c r="K88" i="29"/>
  <c r="B6988" i="106" s="1"/>
  <c r="D6988" i="106" s="1"/>
  <c r="B6987" i="106"/>
  <c r="D6987" i="106" s="1"/>
  <c r="B7681" i="106"/>
  <c r="D7681" i="106" s="1"/>
  <c r="B5310" i="106"/>
  <c r="D5310" i="106" s="1"/>
  <c r="B899" i="106"/>
  <c r="D899" i="106" s="1"/>
  <c r="B944" i="106"/>
  <c r="D944" i="106" s="1"/>
  <c r="B5058" i="106"/>
  <c r="D5058" i="106" s="1"/>
  <c r="B6798" i="106"/>
  <c r="D6798" i="106" s="1"/>
  <c r="B4345" i="106"/>
  <c r="D4345" i="106" s="1"/>
  <c r="B7085" i="106"/>
  <c r="D7085" i="106" s="1"/>
  <c r="K250" i="29"/>
  <c r="B7086" i="106" s="1"/>
  <c r="D7086" i="106" s="1"/>
  <c r="B6648" i="106"/>
  <c r="D6648" i="106" s="1"/>
  <c r="B5242" i="106"/>
  <c r="D5242" i="106" s="1"/>
  <c r="B6911" i="106"/>
  <c r="D6911" i="106" s="1"/>
  <c r="B2996" i="106"/>
  <c r="D2996" i="106" s="1"/>
  <c r="D184" i="29"/>
  <c r="B4082" i="106"/>
  <c r="D4082" i="106" s="1"/>
  <c r="B6959" i="106"/>
  <c r="D6959" i="106" s="1"/>
  <c r="B7678" i="106"/>
  <c r="D7678" i="106" s="1"/>
  <c r="B1260" i="106"/>
  <c r="D1260" i="106" s="1"/>
  <c r="H127" i="29"/>
  <c r="B1264" i="106" s="1"/>
  <c r="D1264" i="106" s="1"/>
  <c r="B2769" i="106"/>
  <c r="D2769" i="106" s="1"/>
  <c r="B4945" i="106"/>
  <c r="D4945" i="106" s="1"/>
  <c r="B4379" i="106"/>
  <c r="D4379" i="106" s="1"/>
  <c r="B5738" i="106"/>
  <c r="D5738" i="106" s="1"/>
  <c r="G114" i="5"/>
  <c r="B5013" i="106"/>
  <c r="D5013" i="106" s="1"/>
  <c r="B4311" i="106"/>
  <c r="D4311" i="106" s="1"/>
  <c r="B6370" i="106"/>
  <c r="D6370" i="106" s="1"/>
  <c r="B6783" i="106"/>
  <c r="D6783" i="106" s="1"/>
  <c r="B7248" i="106"/>
  <c r="D7248" i="106" s="1"/>
  <c r="B3627" i="106"/>
  <c r="D3627" i="106" s="1"/>
  <c r="B915" i="106"/>
  <c r="D915" i="106" s="1"/>
  <c r="B5876" i="106"/>
  <c r="D5876" i="106" s="1"/>
  <c r="B7040" i="106"/>
  <c r="D7040" i="106" s="1"/>
  <c r="B5082" i="106"/>
  <c r="D5082" i="106" s="1"/>
  <c r="K307" i="29"/>
  <c r="B4099" i="106" s="1"/>
  <c r="D4099" i="106" s="1"/>
  <c r="B7108" i="106"/>
  <c r="D7108" i="106" s="1"/>
  <c r="B5594" i="106"/>
  <c r="D5594" i="106" s="1"/>
  <c r="B6750" i="106"/>
  <c r="D6750" i="106" s="1"/>
  <c r="B4916" i="106"/>
  <c r="D4916" i="106" s="1"/>
  <c r="B7655" i="106"/>
  <c r="D7655" i="106" s="1"/>
  <c r="C175" i="5"/>
  <c r="B5225" i="106" s="1"/>
  <c r="D5225" i="106" s="1"/>
  <c r="B5224" i="106"/>
  <c r="D5224" i="106" s="1"/>
  <c r="B3079" i="106"/>
  <c r="D3079" i="106" s="1"/>
  <c r="B3234" i="106"/>
  <c r="D3234" i="106" s="1"/>
  <c r="B7673" i="106"/>
  <c r="D7673" i="106" s="1"/>
  <c r="B4799" i="106"/>
  <c r="D4799" i="106" s="1"/>
  <c r="B4316" i="106"/>
  <c r="D4316" i="106" s="1"/>
  <c r="B6350" i="106"/>
  <c r="D6350" i="106" s="1"/>
  <c r="B6641" i="106"/>
  <c r="D6641" i="106" s="1"/>
  <c r="B4380" i="106"/>
  <c r="D4380" i="106" s="1"/>
  <c r="B6744" i="106"/>
  <c r="D6744" i="106" s="1"/>
  <c r="B3617" i="106"/>
  <c r="D3617" i="106" s="1"/>
  <c r="C350" i="29"/>
  <c r="B3619" i="106" s="1"/>
  <c r="D3619" i="106" s="1"/>
  <c r="K348" i="29"/>
  <c r="E175" i="5"/>
  <c r="B4364" i="106"/>
  <c r="D4364" i="106" s="1"/>
  <c r="K169" i="5"/>
  <c r="B5000" i="106" s="1"/>
  <c r="D5000" i="106" s="1"/>
  <c r="B6374" i="106"/>
  <c r="D6374" i="106" s="1"/>
  <c r="B7263" i="106"/>
  <c r="K17" i="29"/>
  <c r="B6871" i="106" s="1"/>
  <c r="D6871" i="106" s="1"/>
  <c r="B974" i="106"/>
  <c r="D974" i="106" s="1"/>
  <c r="B5515" i="106"/>
  <c r="D5515" i="106" s="1"/>
  <c r="B910" i="106"/>
  <c r="D910" i="106" s="1"/>
  <c r="B4309" i="106"/>
  <c r="D4309" i="106" s="1"/>
  <c r="K227" i="29"/>
  <c r="B1466" i="106" s="1"/>
  <c r="D1466" i="106" s="1"/>
  <c r="B1402" i="106"/>
  <c r="D1402" i="106" s="1"/>
  <c r="B6799" i="106"/>
  <c r="D6799" i="106" s="1"/>
  <c r="B923" i="106"/>
  <c r="D923" i="106" s="1"/>
  <c r="B1232" i="106"/>
  <c r="D1232" i="106" s="1"/>
  <c r="B1265" i="106"/>
  <c r="D1265" i="106" s="1"/>
  <c r="F102" i="34"/>
  <c r="B5115" i="106"/>
  <c r="D5115" i="106" s="1"/>
  <c r="B7099" i="106"/>
  <c r="D7099" i="106" s="1"/>
  <c r="I303" i="29"/>
  <c r="B6293" i="106"/>
  <c r="D6293" i="106" s="1"/>
  <c r="B5556" i="106"/>
  <c r="D5556" i="106" s="1"/>
  <c r="B4392" i="106"/>
  <c r="D4392" i="106" s="1"/>
  <c r="B1430" i="106"/>
  <c r="D1430" i="106" s="1"/>
  <c r="K265" i="29"/>
  <c r="B1494" i="106" s="1"/>
  <c r="D1494" i="106" s="1"/>
  <c r="B4446" i="106"/>
  <c r="D4446" i="106" s="1"/>
  <c r="B6756" i="106"/>
  <c r="D6756" i="106" s="1"/>
  <c r="B7775" i="106"/>
  <c r="D7775" i="106" s="1"/>
  <c r="H137" i="29"/>
  <c r="H139" i="29" s="1"/>
  <c r="B1267" i="106" s="1"/>
  <c r="D1267" i="106" s="1"/>
  <c r="C40" i="5"/>
  <c r="B5087" i="106" s="1"/>
  <c r="D5087" i="106" s="1"/>
  <c r="B5072" i="106"/>
  <c r="D5072" i="106" s="1"/>
  <c r="B4334" i="106"/>
  <c r="D4334" i="106" s="1"/>
  <c r="B6657" i="106"/>
  <c r="D6657" i="106" s="1"/>
  <c r="B6939" i="106"/>
  <c r="D6939" i="106" s="1"/>
  <c r="B7138" i="106"/>
  <c r="D7138" i="106" s="1"/>
  <c r="B6339" i="106"/>
  <c r="D6339" i="106" s="1"/>
  <c r="K87" i="29"/>
  <c r="B6986" i="106" s="1"/>
  <c r="D6986" i="106" s="1"/>
  <c r="B6985" i="106"/>
  <c r="D6985" i="106" s="1"/>
  <c r="B6800" i="106"/>
  <c r="D6800" i="106" s="1"/>
  <c r="B6348" i="106"/>
  <c r="D6348" i="106" s="1"/>
  <c r="G350" i="29"/>
  <c r="G352" i="29" s="1"/>
  <c r="B3645" i="106"/>
  <c r="D3645" i="106" s="1"/>
  <c r="B7045" i="106"/>
  <c r="D7045" i="106" s="1"/>
  <c r="B5153" i="106"/>
  <c r="D5153" i="106" s="1"/>
  <c r="B7246" i="106"/>
  <c r="D7246" i="106" s="1"/>
  <c r="B1262" i="106"/>
  <c r="D1262" i="106" s="1"/>
  <c r="B12" i="7"/>
  <c r="K12" i="5"/>
  <c r="B5985" i="106"/>
  <c r="D5985" i="106" s="1"/>
  <c r="B6294" i="106"/>
  <c r="D6294" i="106" s="1"/>
  <c r="B3577" i="106"/>
  <c r="D3577" i="106" s="1"/>
  <c r="B5617" i="106"/>
  <c r="D5617" i="106" s="1"/>
  <c r="B854" i="106"/>
  <c r="D854" i="106" s="1"/>
  <c r="E65" i="29"/>
  <c r="B861" i="106" s="1"/>
  <c r="D861" i="106" s="1"/>
  <c r="B6770" i="106"/>
  <c r="D6770" i="106" s="1"/>
  <c r="B5581" i="106"/>
  <c r="D5581" i="106" s="1"/>
  <c r="K267" i="29"/>
  <c r="B1496" i="106" s="1"/>
  <c r="D1496" i="106" s="1"/>
  <c r="B1432" i="106"/>
  <c r="D1432" i="106" s="1"/>
  <c r="E57" i="29"/>
  <c r="B853" i="106" s="1"/>
  <c r="D853" i="106" s="1"/>
  <c r="B851" i="106"/>
  <c r="D851" i="106" s="1"/>
  <c r="K276" i="29"/>
  <c r="B1506" i="106" s="1"/>
  <c r="D1506" i="106" s="1"/>
  <c r="B1442" i="106"/>
  <c r="D1442" i="106" s="1"/>
  <c r="B7000" i="106"/>
  <c r="D7000" i="106" s="1"/>
  <c r="K95" i="29"/>
  <c r="B7001" i="106" s="1"/>
  <c r="D7001" i="106" s="1"/>
  <c r="B6719" i="106"/>
  <c r="D6719" i="106" s="1"/>
  <c r="B6875" i="106"/>
  <c r="D6875" i="106" s="1"/>
  <c r="B6699" i="106"/>
  <c r="D6699" i="106" s="1"/>
  <c r="B6797" i="106"/>
  <c r="D6797" i="106" s="1"/>
  <c r="B6255" i="106"/>
  <c r="D6255" i="106" s="1"/>
  <c r="B832" i="106"/>
  <c r="D832" i="106" s="1"/>
  <c r="B7695" i="106"/>
  <c r="D7695" i="106" s="1"/>
  <c r="F168" i="34"/>
  <c r="B4358" i="106"/>
  <c r="D4358" i="106" s="1"/>
  <c r="B5027" i="106"/>
  <c r="D5027" i="106" s="1"/>
  <c r="F67" i="5"/>
  <c r="B5582" i="106" s="1"/>
  <c r="D5582" i="106" s="1"/>
  <c r="B5580" i="106"/>
  <c r="D5580" i="106" s="1"/>
  <c r="B4853" i="106"/>
  <c r="D4853" i="106" s="1"/>
  <c r="B1220" i="106"/>
  <c r="D1220" i="106" s="1"/>
  <c r="K123" i="29"/>
  <c r="B1275" i="106" s="1"/>
  <c r="D1275" i="106" s="1"/>
  <c r="B6823" i="106"/>
  <c r="D6823" i="106" s="1"/>
  <c r="B7022" i="106"/>
  <c r="D7022" i="106" s="1"/>
  <c r="G330" i="29"/>
  <c r="B7122" i="106"/>
  <c r="D7122" i="106" s="1"/>
  <c r="B7166" i="106"/>
  <c r="D7166" i="106" s="1"/>
  <c r="B867" i="106"/>
  <c r="D867" i="106" s="1"/>
  <c r="B4346" i="106"/>
  <c r="D4346" i="106" s="1"/>
  <c r="B5920" i="106"/>
  <c r="D5920" i="106" s="1"/>
  <c r="B2720" i="106"/>
  <c r="D2720" i="106" s="1"/>
  <c r="B5315" i="106"/>
  <c r="D5315" i="106" s="1"/>
  <c r="F162" i="34"/>
  <c r="B4353" i="106"/>
  <c r="D4353" i="106" s="1"/>
  <c r="K96" i="29"/>
  <c r="B7003" i="106" s="1"/>
  <c r="D7003" i="106" s="1"/>
  <c r="B7002" i="106"/>
  <c r="D7002" i="106" s="1"/>
  <c r="B814" i="106"/>
  <c r="D814" i="106" s="1"/>
  <c r="B788" i="106"/>
  <c r="D788" i="106" s="1"/>
  <c r="B5343" i="106"/>
  <c r="D5343" i="106" s="1"/>
  <c r="D82" i="5"/>
  <c r="B5348" i="106" s="1"/>
  <c r="D5348" i="106" s="1"/>
  <c r="B6336" i="106"/>
  <c r="D6336" i="106" s="1"/>
  <c r="C188" i="5"/>
  <c r="B5233" i="106"/>
  <c r="D5233" i="106" s="1"/>
  <c r="B6363" i="106"/>
  <c r="D6363" i="106" s="1"/>
  <c r="I67" i="5"/>
  <c r="B5926" i="106" s="1"/>
  <c r="D5926" i="106" s="1"/>
  <c r="B5924" i="106"/>
  <c r="D5924" i="106" s="1"/>
  <c r="B4416" i="106"/>
  <c r="D4416" i="106" s="1"/>
  <c r="D217" i="5"/>
  <c r="B5470" i="106" s="1"/>
  <c r="D5470" i="106" s="1"/>
  <c r="F31" i="34"/>
  <c r="B5458" i="106"/>
  <c r="D5458" i="106" s="1"/>
  <c r="B6822" i="106"/>
  <c r="D6822" i="106" s="1"/>
  <c r="B4360" i="106"/>
  <c r="D4360" i="106" s="1"/>
  <c r="B1409" i="106"/>
  <c r="D1409" i="106" s="1"/>
  <c r="K224" i="29"/>
  <c r="F71" i="34" s="1"/>
  <c r="B4179" i="106"/>
  <c r="D4179" i="106" s="1"/>
  <c r="B7193" i="106"/>
  <c r="D7193" i="106" s="1"/>
  <c r="B6654" i="106"/>
  <c r="D6654" i="106" s="1"/>
  <c r="B7769" i="106"/>
  <c r="D7769" i="106" s="1"/>
  <c r="B6344" i="106"/>
  <c r="D6344" i="106" s="1"/>
  <c r="B6645" i="106"/>
  <c r="D6645" i="106" s="1"/>
  <c r="B5885" i="106"/>
  <c r="D5885" i="106" s="1"/>
  <c r="H53" i="29"/>
  <c r="B1024" i="106" s="1"/>
  <c r="D1024" i="106" s="1"/>
  <c r="B1022" i="106"/>
  <c r="D1022" i="106" s="1"/>
  <c r="I127" i="29"/>
  <c r="B7033" i="106" s="1"/>
  <c r="D7033" i="106" s="1"/>
  <c r="B7024" i="106"/>
  <c r="D7024" i="106" s="1"/>
  <c r="B4377" i="106"/>
  <c r="D4377" i="106" s="1"/>
  <c r="B3059" i="106"/>
  <c r="D3059" i="106" s="1"/>
  <c r="B5627" i="106"/>
  <c r="D5627" i="106" s="1"/>
  <c r="B6341" i="106"/>
  <c r="D6341" i="106" s="1"/>
  <c r="B7023" i="106"/>
  <c r="D7023" i="106" s="1"/>
  <c r="J129" i="29"/>
  <c r="B5496" i="106"/>
  <c r="D5496" i="106" s="1"/>
  <c r="B1307" i="106"/>
  <c r="D1307" i="106" s="1"/>
  <c r="E172" i="29"/>
  <c r="K171" i="29"/>
  <c r="B1330" i="106" s="1"/>
  <c r="D1330" i="106" s="1"/>
  <c r="B722" i="106"/>
  <c r="D722" i="106" s="1"/>
  <c r="K37" i="29"/>
  <c r="B1110" i="106" s="1"/>
  <c r="D1110" i="106" s="1"/>
  <c r="B7636" i="106"/>
  <c r="B6647" i="106"/>
  <c r="D6647" i="106" s="1"/>
  <c r="B6706" i="106"/>
  <c r="D6706" i="106" s="1"/>
  <c r="B6760" i="106"/>
  <c r="D6760" i="106" s="1"/>
  <c r="B5349" i="106"/>
  <c r="D5349" i="106" s="1"/>
  <c r="D108" i="5"/>
  <c r="B5355" i="106" s="1"/>
  <c r="D5355" i="106" s="1"/>
  <c r="B7159" i="106"/>
  <c r="D7159" i="106" s="1"/>
  <c r="B5393" i="106"/>
  <c r="D5393" i="106" s="1"/>
  <c r="B7130" i="106"/>
  <c r="D7130" i="106" s="1"/>
  <c r="B4200" i="106"/>
  <c r="D4200" i="106" s="1"/>
  <c r="K135" i="29"/>
  <c r="B2987" i="106" s="1"/>
  <c r="D2987" i="106" s="1"/>
  <c r="B7177" i="106"/>
  <c r="D7177" i="106" s="1"/>
  <c r="B7268" i="106"/>
  <c r="C204" i="5"/>
  <c r="B5247" i="106"/>
  <c r="D5247" i="106" s="1"/>
  <c r="B1316" i="106"/>
  <c r="D1316" i="106" s="1"/>
  <c r="B812" i="106"/>
  <c r="D812" i="106" s="1"/>
  <c r="F144" i="34"/>
  <c r="B6720" i="106"/>
  <c r="D6720" i="106" s="1"/>
  <c r="B6665" i="106"/>
  <c r="D6665" i="106" s="1"/>
  <c r="B6831" i="106"/>
  <c r="D6831" i="106" s="1"/>
  <c r="B912" i="106"/>
  <c r="D912" i="106" s="1"/>
  <c r="F65" i="29"/>
  <c r="B919" i="106" s="1"/>
  <c r="D919" i="106" s="1"/>
  <c r="B3646" i="106"/>
  <c r="D3646" i="106" s="1"/>
  <c r="B4947" i="106"/>
  <c r="D4947" i="106" s="1"/>
  <c r="B2997" i="106"/>
  <c r="D2997" i="106" s="1"/>
  <c r="B7670" i="106"/>
  <c r="D7670" i="106" s="1"/>
  <c r="H110" i="29"/>
  <c r="K105" i="29"/>
  <c r="B1048" i="106"/>
  <c r="D1048" i="106" s="1"/>
  <c r="K175" i="5"/>
  <c r="B4951" i="106" s="1"/>
  <c r="D4951" i="106" s="1"/>
  <c r="B4368" i="106"/>
  <c r="D4368" i="106" s="1"/>
  <c r="B6747" i="106"/>
  <c r="D6747" i="106" s="1"/>
  <c r="G221" i="5"/>
  <c r="B5847" i="106" s="1"/>
  <c r="D5847" i="106" s="1"/>
  <c r="B5844" i="106"/>
  <c r="D5844" i="106" s="1"/>
  <c r="B2758" i="106"/>
  <c r="D2758" i="106" s="1"/>
  <c r="B968" i="106"/>
  <c r="D968" i="106" s="1"/>
  <c r="B834" i="106"/>
  <c r="D834" i="106" s="1"/>
  <c r="B5134" i="106"/>
  <c r="D5134" i="106" s="1"/>
  <c r="B5063" i="106"/>
  <c r="D5063" i="106" s="1"/>
  <c r="B14" i="7"/>
  <c r="B6684" i="106"/>
  <c r="D6684" i="106" s="1"/>
  <c r="B4382" i="106"/>
  <c r="D4382" i="106" s="1"/>
  <c r="B1312" i="106"/>
  <c r="D1312" i="106" s="1"/>
  <c r="K169" i="29"/>
  <c r="B1326" i="106" s="1"/>
  <c r="D1326" i="106" s="1"/>
  <c r="B4378" i="106"/>
  <c r="D4378" i="106" s="1"/>
  <c r="B5765" i="106"/>
  <c r="D5765" i="106" s="1"/>
  <c r="B1366" i="106"/>
  <c r="D1366" i="106" s="1"/>
  <c r="B1028" i="106"/>
  <c r="D1028" i="106" s="1"/>
  <c r="H65" i="29"/>
  <c r="B1035" i="106" s="1"/>
  <c r="D1035" i="106" s="1"/>
  <c r="B5880" i="106"/>
  <c r="D5880" i="106" s="1"/>
  <c r="B6758" i="106"/>
  <c r="D6758" i="106" s="1"/>
  <c r="B3484" i="106"/>
  <c r="D3484" i="106" s="1"/>
  <c r="B6863" i="106"/>
  <c r="D6863" i="106" s="1"/>
  <c r="K13" i="29"/>
  <c r="B1105" i="106" s="1"/>
  <c r="D1105" i="106" s="1"/>
  <c r="B717" i="106"/>
  <c r="D717" i="106" s="1"/>
  <c r="B1015" i="106"/>
  <c r="D1015" i="106" s="1"/>
  <c r="B7803" i="106"/>
  <c r="D7803" i="106" s="1"/>
  <c r="B6245" i="106"/>
  <c r="D6245" i="106" s="1"/>
  <c r="B804" i="106"/>
  <c r="D804" i="106" s="1"/>
  <c r="D72" i="29"/>
  <c r="B811" i="106" s="1"/>
  <c r="D811" i="106" s="1"/>
  <c r="B5511" i="106"/>
  <c r="D5511" i="106" s="1"/>
  <c r="B6958" i="106"/>
  <c r="D6958" i="106" s="1"/>
  <c r="B6775" i="106"/>
  <c r="D6775" i="106" s="1"/>
  <c r="B5917" i="106"/>
  <c r="D5917" i="106" s="1"/>
  <c r="B3370" i="106"/>
  <c r="D3370" i="106" s="1"/>
  <c r="B6259" i="106"/>
  <c r="D6259" i="106" s="1"/>
  <c r="D209" i="5"/>
  <c r="B4412" i="106" s="1"/>
  <c r="D4412" i="106" s="1"/>
  <c r="B5440" i="106"/>
  <c r="D5440" i="106" s="1"/>
  <c r="B5092" i="106"/>
  <c r="D5092" i="106" s="1"/>
  <c r="B7661" i="106"/>
  <c r="D7661" i="106" s="1"/>
  <c r="B7252" i="106"/>
  <c r="D7252" i="106" s="1"/>
  <c r="B913" i="106"/>
  <c r="D913" i="106" s="1"/>
  <c r="B5585" i="106"/>
  <c r="D5585" i="106" s="1"/>
  <c r="B5705" i="106"/>
  <c r="D5705" i="106" s="1"/>
  <c r="B6868" i="106"/>
  <c r="D6868" i="106" s="1"/>
  <c r="B7128" i="106"/>
  <c r="D7128" i="106" s="1"/>
  <c r="B6827" i="106"/>
  <c r="D6827" i="106" s="1"/>
  <c r="B783" i="106"/>
  <c r="D783" i="106" s="1"/>
  <c r="B863" i="106"/>
  <c r="D863" i="106" s="1"/>
  <c r="B7779" i="106"/>
  <c r="D7779" i="106" s="1"/>
  <c r="K158" i="29"/>
  <c r="B7780" i="106" s="1"/>
  <c r="D7780" i="106" s="1"/>
  <c r="B6922" i="106"/>
  <c r="D6922" i="106" s="1"/>
  <c r="B3579" i="106"/>
  <c r="D3579" i="106" s="1"/>
  <c r="B3482" i="106"/>
  <c r="D3482" i="106" s="1"/>
  <c r="K125" i="29"/>
  <c r="B3488" i="106" s="1"/>
  <c r="D3488" i="106" s="1"/>
  <c r="B961" i="106"/>
  <c r="D961" i="106" s="1"/>
  <c r="B5606" i="106"/>
  <c r="D5606" i="106" s="1"/>
  <c r="B6919" i="106"/>
  <c r="D6919" i="106" s="1"/>
  <c r="J47" i="29"/>
  <c r="B6925" i="106" s="1"/>
  <c r="D6925" i="106" s="1"/>
  <c r="B1311" i="106"/>
  <c r="D1311" i="106" s="1"/>
  <c r="K164" i="29"/>
  <c r="B1325" i="106" s="1"/>
  <c r="D1325" i="106" s="1"/>
  <c r="G44" i="4"/>
  <c r="B7752" i="106"/>
  <c r="D7752" i="106" s="1"/>
  <c r="B5494" i="106"/>
  <c r="D5494" i="106" s="1"/>
  <c r="F33" i="34"/>
  <c r="B2840" i="106"/>
  <c r="D2840" i="106" s="1"/>
  <c r="K256" i="29"/>
  <c r="B7098" i="106" s="1"/>
  <c r="D7098" i="106" s="1"/>
  <c r="B7097" i="106"/>
  <c r="D7097" i="106" s="1"/>
  <c r="B5727" i="106"/>
  <c r="D5727" i="106" s="1"/>
  <c r="B6394" i="106"/>
  <c r="D6394" i="106" s="1"/>
  <c r="K128" i="29"/>
  <c r="B1280" i="106" s="1"/>
  <c r="D1280" i="106" s="1"/>
  <c r="B1224" i="106"/>
  <c r="D1224" i="106" s="1"/>
  <c r="B972" i="106"/>
  <c r="D972" i="106" s="1"/>
  <c r="E100" i="29"/>
  <c r="B7011" i="106" s="1"/>
  <c r="D7011" i="106" s="1"/>
  <c r="B7008" i="106"/>
  <c r="D7008" i="106" s="1"/>
  <c r="K99" i="29"/>
  <c r="B7010" i="106" s="1"/>
  <c r="D7010" i="106" s="1"/>
  <c r="B805" i="106"/>
  <c r="D805" i="106" s="1"/>
  <c r="B4868" i="106"/>
  <c r="D4868" i="106" s="1"/>
  <c r="B4228" i="106"/>
  <c r="D4228" i="106" s="1"/>
  <c r="B7685" i="106"/>
  <c r="D7685" i="106" s="1"/>
  <c r="B4808" i="106"/>
  <c r="D4808" i="106" s="1"/>
  <c r="B6908" i="106"/>
  <c r="D6908" i="106" s="1"/>
  <c r="B3580" i="106"/>
  <c r="D3580" i="106" s="1"/>
  <c r="B5798" i="106"/>
  <c r="D5798" i="106" s="1"/>
  <c r="B3375" i="106"/>
  <c r="D3375" i="106" s="1"/>
  <c r="B7176" i="106"/>
  <c r="D7176" i="106" s="1"/>
  <c r="B1029" i="106"/>
  <c r="D1029" i="106" s="1"/>
  <c r="B6795" i="106"/>
  <c r="D6795" i="106" s="1"/>
  <c r="B7182" i="106"/>
  <c r="D7182" i="106" s="1"/>
  <c r="B7802" i="106"/>
  <c r="D7802" i="106" s="1"/>
  <c r="B5064" i="106"/>
  <c r="D5064" i="106" s="1"/>
  <c r="B17" i="7"/>
  <c r="B7173" i="106"/>
  <c r="D7173" i="106" s="1"/>
  <c r="B6390" i="106"/>
  <c r="D6390" i="106" s="1"/>
  <c r="B6340" i="106"/>
  <c r="D6340" i="106" s="1"/>
  <c r="B18" i="7"/>
  <c r="B4103" i="106" s="1"/>
  <c r="D4103" i="106" s="1"/>
  <c r="B5065" i="106"/>
  <c r="D5065" i="106" s="1"/>
  <c r="D132" i="5"/>
  <c r="B5368" i="106"/>
  <c r="D5368" i="106" s="1"/>
  <c r="F72" i="29"/>
  <c r="B927" i="106" s="1"/>
  <c r="D927" i="106" s="1"/>
  <c r="B920" i="106"/>
  <c r="D920" i="106" s="1"/>
  <c r="K23" i="29"/>
  <c r="B6882" i="106"/>
  <c r="D6882" i="106" s="1"/>
  <c r="B6830" i="106"/>
  <c r="D6830" i="106" s="1"/>
  <c r="B749" i="106"/>
  <c r="D749" i="106" s="1"/>
  <c r="K70" i="29"/>
  <c r="B4421" i="106"/>
  <c r="D4421" i="106" s="1"/>
  <c r="B3376" i="106"/>
  <c r="D3376" i="106" s="1"/>
  <c r="B6904" i="106"/>
  <c r="D6904" i="106" s="1"/>
  <c r="I42" i="29"/>
  <c r="H72" i="29"/>
  <c r="B1043" i="106" s="1"/>
  <c r="D1043" i="106" s="1"/>
  <c r="B1036" i="106"/>
  <c r="D1036" i="106" s="1"/>
  <c r="B3082" i="106"/>
  <c r="D3082" i="106" s="1"/>
  <c r="B3624" i="106"/>
  <c r="D3624" i="106" s="1"/>
  <c r="D350" i="29"/>
  <c r="B937" i="106"/>
  <c r="D937" i="106" s="1"/>
  <c r="G33" i="29"/>
  <c r="B952" i="106" s="1"/>
  <c r="D952" i="106" s="1"/>
  <c r="B6364" i="106"/>
  <c r="D6364" i="106" s="1"/>
  <c r="B5099" i="106"/>
  <c r="D5099" i="106" s="1"/>
  <c r="B3634" i="106"/>
  <c r="D3634" i="106" s="1"/>
  <c r="K320" i="29"/>
  <c r="B7135" i="106" s="1"/>
  <c r="D7135" i="106" s="1"/>
  <c r="B7127" i="106"/>
  <c r="D7127" i="106" s="1"/>
  <c r="B324" i="106"/>
  <c r="D324" i="106" s="1"/>
  <c r="B1009" i="106"/>
  <c r="D1009" i="106" s="1"/>
  <c r="K182" i="29"/>
  <c r="B1377" i="106" s="1"/>
  <c r="D1377" i="106" s="1"/>
  <c r="B1335" i="106"/>
  <c r="D1335" i="106" s="1"/>
  <c r="B1552" i="106"/>
  <c r="D1552" i="106" s="1"/>
  <c r="B7664" i="106"/>
  <c r="D7664" i="106" s="1"/>
  <c r="B6705" i="106"/>
  <c r="D6705" i="106" s="1"/>
  <c r="B7228" i="106"/>
  <c r="D7228" i="106" s="1"/>
  <c r="B3632" i="106"/>
  <c r="D3632" i="106" s="1"/>
  <c r="B6784" i="106"/>
  <c r="D6784" i="106" s="1"/>
  <c r="B6372" i="106"/>
  <c r="D6372" i="106" s="1"/>
  <c r="I169" i="5"/>
  <c r="B4363" i="106" s="1"/>
  <c r="D4363" i="106" s="1"/>
  <c r="B5230" i="106"/>
  <c r="D5230" i="106" s="1"/>
  <c r="C181" i="5"/>
  <c r="F122" i="34"/>
  <c r="B6967" i="106"/>
  <c r="D6967" i="106" s="1"/>
  <c r="B5070" i="106"/>
  <c r="D5070" i="106" s="1"/>
  <c r="B7139" i="106"/>
  <c r="D7139" i="106" s="1"/>
  <c r="B6231" i="106"/>
  <c r="D6231" i="106" s="1"/>
  <c r="B6252" i="106"/>
  <c r="D6252" i="106" s="1"/>
  <c r="B7179" i="106"/>
  <c r="D7179" i="106" s="1"/>
  <c r="B6652" i="106"/>
  <c r="D6652" i="106" s="1"/>
  <c r="B5575" i="106"/>
  <c r="D5575" i="106" s="1"/>
  <c r="F92" i="34"/>
  <c r="F156" i="34"/>
  <c r="B6825" i="106"/>
  <c r="D6825" i="106" s="1"/>
  <c r="B5248" i="106"/>
  <c r="D5248" i="106" s="1"/>
  <c r="B7184" i="106"/>
  <c r="D7184" i="106" s="1"/>
  <c r="D65" i="29"/>
  <c r="B803" i="106" s="1"/>
  <c r="D803" i="106" s="1"/>
  <c r="B796" i="106"/>
  <c r="D796" i="106" s="1"/>
  <c r="B6623" i="106"/>
  <c r="D6623" i="106" s="1"/>
  <c r="B7682" i="106"/>
  <c r="D7682" i="106" s="1"/>
  <c r="B6655" i="106"/>
  <c r="D6655" i="106" s="1"/>
  <c r="H57" i="29"/>
  <c r="B1027" i="106" s="1"/>
  <c r="D1027" i="106" s="1"/>
  <c r="B1025" i="106"/>
  <c r="D1025" i="106" s="1"/>
  <c r="H350" i="29"/>
  <c r="B3654" i="106" s="1"/>
  <c r="D3654" i="106" s="1"/>
  <c r="B3652" i="106"/>
  <c r="D3652" i="106" s="1"/>
  <c r="B986" i="106"/>
  <c r="D986" i="106" s="1"/>
  <c r="B858" i="106"/>
  <c r="D858" i="106" s="1"/>
  <c r="B7258" i="106"/>
  <c r="D7258" i="106" s="1"/>
  <c r="B6748" i="106"/>
  <c r="D6748" i="106" s="1"/>
  <c r="B7816" i="106"/>
  <c r="D7816" i="106" s="1"/>
  <c r="B859" i="106"/>
  <c r="D859" i="106" s="1"/>
  <c r="B5331" i="106"/>
  <c r="D5331" i="106" s="1"/>
  <c r="B6789" i="106"/>
  <c r="D6789" i="106" s="1"/>
  <c r="D285" i="29"/>
  <c r="B3722" i="106" s="1"/>
  <c r="D3722" i="106" s="1"/>
  <c r="K282" i="29"/>
  <c r="B7783" i="106"/>
  <c r="D7783" i="106" s="1"/>
  <c r="B775" i="106"/>
  <c r="D775" i="106" s="1"/>
  <c r="B7253" i="106"/>
  <c r="D7253" i="106" s="1"/>
  <c r="B5584" i="106"/>
  <c r="D5584" i="106" s="1"/>
  <c r="B7262" i="106"/>
  <c r="D7262" i="106" s="1"/>
  <c r="B6796" i="106"/>
  <c r="D6796" i="106" s="1"/>
  <c r="B1032" i="106"/>
  <c r="D1032" i="106" s="1"/>
  <c r="B651" i="106"/>
  <c r="D651" i="106" s="1"/>
  <c r="B3295" i="106"/>
  <c r="D3295" i="106" s="1"/>
  <c r="C145" i="5"/>
  <c r="B5163" i="106"/>
  <c r="D5163" i="106" s="1"/>
  <c r="B1546" i="106"/>
  <c r="D1546" i="106" s="1"/>
  <c r="F119" i="34"/>
  <c r="B4317" i="106"/>
  <c r="D4317" i="106" s="1"/>
  <c r="K322" i="29"/>
  <c r="B7153" i="106" s="1"/>
  <c r="D7153" i="106" s="1"/>
  <c r="B7145" i="106"/>
  <c r="D7145" i="106" s="1"/>
  <c r="B5241" i="106"/>
  <c r="D5241" i="106" s="1"/>
  <c r="B6809" i="106"/>
  <c r="D6809" i="106" s="1"/>
  <c r="F154" i="34"/>
  <c r="B973" i="106"/>
  <c r="D973" i="106" s="1"/>
  <c r="B2772" i="106"/>
  <c r="D2772" i="106" s="1"/>
  <c r="I44" i="4"/>
  <c r="B3317" i="106" s="1"/>
  <c r="D3317" i="106" s="1"/>
  <c r="C184" i="29"/>
  <c r="K180" i="29"/>
  <c r="B4081" i="106"/>
  <c r="D4081" i="106" s="1"/>
  <c r="B3492" i="106"/>
  <c r="D3492" i="106" s="1"/>
  <c r="B6324" i="106"/>
  <c r="D6324" i="106" s="1"/>
  <c r="K41" i="29"/>
  <c r="B1114" i="106" s="1"/>
  <c r="D1114" i="106" s="1"/>
  <c r="B726" i="106"/>
  <c r="D726" i="106" s="1"/>
  <c r="F97" i="34"/>
  <c r="B5106" i="106"/>
  <c r="D5106" i="106" s="1"/>
  <c r="B6956" i="106"/>
  <c r="D6956" i="106" s="1"/>
  <c r="B7035" i="106"/>
  <c r="D7035" i="106" s="1"/>
  <c r="B4883" i="106"/>
  <c r="D4883" i="106" s="1"/>
  <c r="B5336" i="106"/>
  <c r="D5336" i="106" s="1"/>
  <c r="B5990" i="106"/>
  <c r="D5990" i="106" s="1"/>
  <c r="B6377" i="106"/>
  <c r="D6377" i="106" s="1"/>
  <c r="B6869" i="106"/>
  <c r="D6869" i="106" s="1"/>
  <c r="B6968" i="106"/>
  <c r="D6968" i="106" s="1"/>
  <c r="B5721" i="106"/>
  <c r="D5721" i="106" s="1"/>
  <c r="G12" i="5"/>
  <c r="B8" i="7"/>
  <c r="B1748" i="106" s="1"/>
  <c r="D1748" i="106" s="1"/>
  <c r="B1039" i="106"/>
  <c r="D1039" i="106" s="1"/>
  <c r="B2821" i="106"/>
  <c r="D2821" i="106" s="1"/>
  <c r="B6910" i="106"/>
  <c r="D6910" i="106" s="1"/>
  <c r="B10" i="7"/>
  <c r="B5916" i="106"/>
  <c r="D5916" i="106" s="1"/>
  <c r="I12" i="5"/>
  <c r="B4318" i="106"/>
  <c r="D4318" i="106" s="1"/>
  <c r="B7812" i="106"/>
  <c r="D7812" i="106" s="1"/>
  <c r="B780" i="106"/>
  <c r="D780" i="106" s="1"/>
  <c r="K252" i="29"/>
  <c r="B7090" i="106" s="1"/>
  <c r="D7090" i="106" s="1"/>
  <c r="B7089" i="106"/>
  <c r="D7089" i="106" s="1"/>
  <c r="B7148" i="106"/>
  <c r="D7148" i="106" s="1"/>
  <c r="F147" i="34"/>
  <c r="B6753" i="106"/>
  <c r="D6753" i="106" s="1"/>
  <c r="B6375" i="106"/>
  <c r="D6375" i="106" s="1"/>
  <c r="B7028" i="106"/>
  <c r="D7028" i="106" s="1"/>
  <c r="E184" i="29"/>
  <c r="B1351" i="106" s="1"/>
  <c r="D1351" i="106" s="1"/>
  <c r="B4083" i="106"/>
  <c r="D4083" i="106" s="1"/>
  <c r="B6975" i="106"/>
  <c r="D6975" i="106" s="1"/>
  <c r="B5763" i="106"/>
  <c r="D5763" i="106" s="1"/>
  <c r="B5462" i="106"/>
  <c r="D5462" i="106" s="1"/>
  <c r="B6726" i="106"/>
  <c r="D6726" i="106" s="1"/>
  <c r="B6398" i="106"/>
  <c r="D6398" i="106" s="1"/>
  <c r="J175" i="5"/>
  <c r="B6400" i="106" s="1"/>
  <c r="D6400" i="106" s="1"/>
  <c r="B6713" i="106"/>
  <c r="D6713" i="106" s="1"/>
  <c r="D44" i="4"/>
  <c r="B7749" i="106"/>
  <c r="D7749" i="106" s="1"/>
  <c r="K50" i="29"/>
  <c r="B733" i="106"/>
  <c r="D733" i="106" s="1"/>
  <c r="B6701" i="106"/>
  <c r="D6701" i="106" s="1"/>
  <c r="B2848" i="106"/>
  <c r="D2848" i="106" s="1"/>
  <c r="H76" i="4"/>
  <c r="B3298" i="106" s="1"/>
  <c r="D3298" i="106" s="1"/>
  <c r="E72" i="29"/>
  <c r="B869" i="106" s="1"/>
  <c r="D869" i="106" s="1"/>
  <c r="B862" i="106"/>
  <c r="D862" i="106" s="1"/>
  <c r="B7132" i="106"/>
  <c r="D7132" i="106" s="1"/>
  <c r="B5083" i="106"/>
  <c r="D5083" i="106" s="1"/>
  <c r="B4327" i="106"/>
  <c r="D4327" i="106" s="1"/>
  <c r="B6316" i="106"/>
  <c r="D6316" i="106" s="1"/>
  <c r="J67" i="5"/>
  <c r="B6318" i="106" s="1"/>
  <c r="D6318" i="106" s="1"/>
  <c r="B6944" i="106"/>
  <c r="D6944" i="106" s="1"/>
  <c r="I57" i="29"/>
  <c r="B6948" i="106" s="1"/>
  <c r="D6948" i="106" s="1"/>
  <c r="B6807" i="106"/>
  <c r="D6807" i="106" s="1"/>
  <c r="B886" i="106"/>
  <c r="D886" i="106" s="1"/>
  <c r="B5754" i="106"/>
  <c r="D5754" i="106" s="1"/>
  <c r="G145" i="5"/>
  <c r="B5756" i="106" s="1"/>
  <c r="D5756" i="106" s="1"/>
  <c r="B7066" i="106"/>
  <c r="D7066" i="106" s="1"/>
  <c r="B6628" i="106"/>
  <c r="D6628" i="106" s="1"/>
  <c r="B5735" i="106"/>
  <c r="D5735" i="106" s="1"/>
  <c r="B6771" i="106"/>
  <c r="D6771" i="106" s="1"/>
  <c r="B957" i="106"/>
  <c r="D957" i="106" s="1"/>
  <c r="B6643" i="106"/>
  <c r="D6643" i="106" s="1"/>
  <c r="B3366" i="106"/>
  <c r="D3366" i="106" s="1"/>
  <c r="K8" i="29"/>
  <c r="B3380" i="106" s="1"/>
  <c r="D3380" i="106" s="1"/>
  <c r="B6710" i="106"/>
  <c r="D6710" i="106" s="1"/>
  <c r="F21" i="34"/>
  <c r="B5569" i="106"/>
  <c r="D5569" i="106" s="1"/>
  <c r="B6905" i="106"/>
  <c r="D6905" i="106" s="1"/>
  <c r="J42" i="29"/>
  <c r="B6700" i="106"/>
  <c r="D6700" i="106" s="1"/>
  <c r="B791" i="106"/>
  <c r="D791" i="106" s="1"/>
  <c r="B2955" i="106"/>
  <c r="D2955" i="106" s="1"/>
  <c r="H84" i="29"/>
  <c r="B6894" i="106"/>
  <c r="D6894" i="106" s="1"/>
  <c r="K29" i="29"/>
  <c r="B6366" i="106"/>
  <c r="D6366" i="106" s="1"/>
  <c r="B5057" i="106"/>
  <c r="D5057" i="106" s="1"/>
  <c r="B1438" i="106"/>
  <c r="D1438" i="106" s="1"/>
  <c r="K273" i="29"/>
  <c r="B1502" i="106" s="1"/>
  <c r="D1502" i="106" s="1"/>
  <c r="B949" i="106"/>
  <c r="D949" i="106" s="1"/>
  <c r="B7806" i="106"/>
  <c r="D7806" i="106" s="1"/>
  <c r="B5341" i="106"/>
  <c r="D5341" i="106" s="1"/>
  <c r="B6326" i="106"/>
  <c r="D6326" i="106" s="1"/>
  <c r="B5994" i="106"/>
  <c r="D5994" i="106" s="1"/>
  <c r="B6934" i="106"/>
  <c r="D6934" i="106" s="1"/>
  <c r="B4886" i="106"/>
  <c r="D4886" i="106" s="1"/>
  <c r="G65" i="29"/>
  <c r="B977" i="106" s="1"/>
  <c r="D977" i="106" s="1"/>
  <c r="B970" i="106"/>
  <c r="D970" i="106" s="1"/>
  <c r="B7067" i="106"/>
  <c r="D7067" i="106" s="1"/>
  <c r="K205" i="29"/>
  <c r="B7068" i="106" s="1"/>
  <c r="D7068" i="106" s="1"/>
  <c r="B6668" i="106"/>
  <c r="D6668" i="106" s="1"/>
  <c r="B3367" i="106"/>
  <c r="D3367" i="106" s="1"/>
  <c r="K19" i="29"/>
  <c r="B3381" i="106" s="1"/>
  <c r="D3381" i="106" s="1"/>
  <c r="B7105" i="106"/>
  <c r="D7105" i="106" s="1"/>
  <c r="E310" i="29"/>
  <c r="B7114" i="106" s="1"/>
  <c r="D7114" i="106" s="1"/>
  <c r="K306" i="29"/>
  <c r="B741" i="106"/>
  <c r="D741" i="106" s="1"/>
  <c r="K62" i="29"/>
  <c r="K235" i="29"/>
  <c r="B1478" i="106" s="1"/>
  <c r="D1478" i="106" s="1"/>
  <c r="B1414" i="106"/>
  <c r="D1414" i="106" s="1"/>
  <c r="B2952" i="106"/>
  <c r="D2952" i="106" s="1"/>
  <c r="K81" i="29"/>
  <c r="B2976" i="106" s="1"/>
  <c r="D2976" i="106" s="1"/>
  <c r="B6403" i="106"/>
  <c r="D6403" i="106" s="1"/>
  <c r="F122" i="5"/>
  <c r="B5593" i="106"/>
  <c r="D5593" i="106" s="1"/>
  <c r="K234" i="29"/>
  <c r="B1477" i="106" s="1"/>
  <c r="D1477" i="106" s="1"/>
  <c r="B1413" i="106"/>
  <c r="D1413" i="106" s="1"/>
  <c r="K22" i="29"/>
  <c r="F41" i="34" s="1"/>
  <c r="B6880" i="106"/>
  <c r="D6880" i="106" s="1"/>
  <c r="K53" i="4"/>
  <c r="B3703" i="106" s="1"/>
  <c r="D3703" i="106" s="1"/>
  <c r="B3699" i="106"/>
  <c r="D3699" i="106" s="1"/>
  <c r="B7044" i="106"/>
  <c r="D7044" i="106" s="1"/>
  <c r="B3583" i="106"/>
  <c r="B6689" i="106"/>
  <c r="D6689" i="106" s="1"/>
  <c r="B5431" i="106"/>
  <c r="D5431" i="106" s="1"/>
  <c r="D204" i="5"/>
  <c r="B5444" i="106" s="1"/>
  <c r="D5444" i="106" s="1"/>
  <c r="B6774" i="106"/>
  <c r="D6774" i="106" s="1"/>
  <c r="B6620" i="106"/>
  <c r="D6620" i="106" s="1"/>
  <c r="J252" i="5"/>
  <c r="B6772" i="106"/>
  <c r="D6772" i="106" s="1"/>
  <c r="B1046" i="106"/>
  <c r="D1046" i="106" s="1"/>
  <c r="B6380" i="106"/>
  <c r="D6380" i="106" s="1"/>
  <c r="G155" i="5"/>
  <c r="B4357" i="106" s="1"/>
  <c r="D4357" i="106" s="1"/>
  <c r="B7192" i="106"/>
  <c r="D7192" i="106" s="1"/>
  <c r="B1037" i="106"/>
  <c r="D1037" i="106" s="1"/>
  <c r="B6786" i="106"/>
  <c r="D6786" i="106" s="1"/>
  <c r="B6347" i="106"/>
  <c r="D6347" i="106" s="1"/>
  <c r="K108" i="29"/>
  <c r="B2796" i="106" s="1"/>
  <c r="D2796" i="106" s="1"/>
  <c r="B2792" i="106"/>
  <c r="D2792" i="106" s="1"/>
  <c r="B7141" i="106"/>
  <c r="D7141" i="106" s="1"/>
  <c r="B6662" i="106"/>
  <c r="D6662" i="106" s="1"/>
  <c r="B6874" i="106"/>
  <c r="D6874" i="106" s="1"/>
  <c r="B4331" i="106"/>
  <c r="D4331" i="106" s="1"/>
  <c r="B6779" i="106"/>
  <c r="D6779" i="106" s="1"/>
  <c r="B5822" i="106"/>
  <c r="D5822" i="106" s="1"/>
  <c r="B6806" i="106"/>
  <c r="D6806" i="106" s="1"/>
  <c r="K6" i="29"/>
  <c r="B7763" i="106" s="1"/>
  <c r="D7763" i="106" s="1"/>
  <c r="B7762" i="106"/>
  <c r="D7762" i="106" s="1"/>
  <c r="B7639" i="106"/>
  <c r="B5520" i="106"/>
  <c r="D5520" i="106" s="1"/>
  <c r="B971" i="106"/>
  <c r="D971" i="106" s="1"/>
  <c r="C76" i="4"/>
  <c r="B3231" i="106" s="1"/>
  <c r="D3231" i="106" s="1"/>
  <c r="B5022" i="106"/>
  <c r="D5022" i="106" s="1"/>
  <c r="K21" i="29"/>
  <c r="B6879" i="106" s="1"/>
  <c r="D6879" i="106" s="1"/>
  <c r="B6878" i="106"/>
  <c r="D6878" i="106" s="1"/>
  <c r="F131" i="34"/>
  <c r="B4340" i="106"/>
  <c r="D4340" i="106" s="1"/>
  <c r="B4086" i="106"/>
  <c r="D4086" i="106" s="1"/>
  <c r="H184" i="29"/>
  <c r="B1370" i="106" s="1"/>
  <c r="D1370" i="106" s="1"/>
  <c r="C127" i="29"/>
  <c r="B1223" i="106" s="1"/>
  <c r="D1223" i="106" s="1"/>
  <c r="K122" i="29"/>
  <c r="B1219" i="106"/>
  <c r="D1219" i="106" s="1"/>
  <c r="B6742" i="106"/>
  <c r="D6742" i="106" s="1"/>
  <c r="B4217" i="106"/>
  <c r="D4217" i="106" s="1"/>
  <c r="B4879" i="106"/>
  <c r="D4879" i="106" s="1"/>
  <c r="B6805" i="106"/>
  <c r="D6805" i="106" s="1"/>
  <c r="K80" i="29"/>
  <c r="B2975" i="106" s="1"/>
  <c r="D2975" i="106" s="1"/>
  <c r="B2951" i="106"/>
  <c r="D2951" i="106" s="1"/>
  <c r="B4855" i="106"/>
  <c r="D4855" i="106" s="1"/>
  <c r="B1038" i="106"/>
  <c r="D1038" i="106" s="1"/>
  <c r="B7185" i="106"/>
  <c r="D7185" i="106" s="1"/>
  <c r="B5340" i="106"/>
  <c r="D5340" i="106" s="1"/>
  <c r="D67" i="5"/>
  <c r="B5342" i="106" s="1"/>
  <c r="D5342" i="106" s="1"/>
  <c r="B6820" i="106"/>
  <c r="D6820" i="106" s="1"/>
  <c r="B7671" i="106"/>
  <c r="D7671" i="106" s="1"/>
  <c r="B865" i="106"/>
  <c r="D865" i="106" s="1"/>
  <c r="B6829" i="106"/>
  <c r="D6829" i="106" s="1"/>
  <c r="B742" i="106"/>
  <c r="D742" i="106" s="1"/>
  <c r="K63" i="29"/>
  <c r="B5498" i="106"/>
  <c r="D5498" i="106" s="1"/>
  <c r="B6755" i="106"/>
  <c r="D6755" i="106" s="1"/>
  <c r="B1439" i="106"/>
  <c r="D1439" i="106" s="1"/>
  <c r="K274" i="29"/>
  <c r="B1503" i="106" s="1"/>
  <c r="D1503" i="106" s="1"/>
  <c r="K218" i="29"/>
  <c r="F68" i="34" s="1"/>
  <c r="B7075" i="106"/>
  <c r="D7075" i="106" s="1"/>
  <c r="K360" i="29"/>
  <c r="K362" i="29" s="1"/>
  <c r="B3657" i="106"/>
  <c r="D3657" i="106" s="1"/>
  <c r="H362" i="29"/>
  <c r="B3658" i="106" s="1"/>
  <c r="D3658" i="106" s="1"/>
  <c r="B6945" i="106"/>
  <c r="D6945" i="106" s="1"/>
  <c r="J57" i="29"/>
  <c r="B6949" i="106" s="1"/>
  <c r="D6949" i="106" s="1"/>
  <c r="B6656" i="106"/>
  <c r="D6656" i="106" s="1"/>
  <c r="B928" i="106"/>
  <c r="D928" i="106" s="1"/>
  <c r="B4806" i="106"/>
  <c r="D4806" i="106" s="1"/>
  <c r="K11" i="29"/>
  <c r="B6858" i="106" s="1"/>
  <c r="D6858" i="106" s="1"/>
  <c r="B7257" i="106"/>
  <c r="D7257" i="106" s="1"/>
  <c r="B7787" i="106"/>
  <c r="D7787" i="106" s="1"/>
  <c r="K333" i="29"/>
  <c r="B7788" i="106" s="1"/>
  <c r="D7788" i="106" s="1"/>
  <c r="K46" i="29"/>
  <c r="B1118" i="106" s="1"/>
  <c r="D1118" i="106" s="1"/>
  <c r="B730" i="106"/>
  <c r="D730" i="106" s="1"/>
  <c r="B6346" i="106"/>
  <c r="D6346" i="106" s="1"/>
  <c r="B6971" i="106"/>
  <c r="D6971" i="106" s="1"/>
  <c r="B902" i="106"/>
  <c r="D902" i="106" s="1"/>
  <c r="F47" i="29"/>
  <c r="B905" i="106" s="1"/>
  <c r="D905" i="106" s="1"/>
  <c r="B6950" i="106"/>
  <c r="D6950" i="106" s="1"/>
  <c r="I65" i="29"/>
  <c r="B6961" i="106" s="1"/>
  <c r="D6961" i="106" s="1"/>
  <c r="B6792" i="106"/>
  <c r="D6792" i="106" s="1"/>
  <c r="B6763" i="106"/>
  <c r="D6763" i="106" s="1"/>
  <c r="B5459" i="106"/>
  <c r="D5459" i="106" s="1"/>
  <c r="F32" i="34"/>
  <c r="B1012" i="106"/>
  <c r="D1012" i="106" s="1"/>
  <c r="B893" i="106"/>
  <c r="D893" i="106" s="1"/>
  <c r="B7178" i="106"/>
  <c r="D7178" i="106" s="1"/>
  <c r="K191" i="29"/>
  <c r="B3010" i="106" s="1"/>
  <c r="D3010" i="106" s="1"/>
  <c r="B2992" i="106"/>
  <c r="D2992" i="106" s="1"/>
  <c r="B5577" i="106"/>
  <c r="D5577" i="106" s="1"/>
  <c r="F26" i="34"/>
  <c r="B7110" i="106"/>
  <c r="D7110" i="106" s="1"/>
  <c r="K308" i="29"/>
  <c r="B4100" i="106" s="1"/>
  <c r="D4100" i="106" s="1"/>
  <c r="B6865" i="106"/>
  <c r="D6865" i="106" s="1"/>
  <c r="K136" i="29"/>
  <c r="B2988" i="106" s="1"/>
  <c r="D2988" i="106" s="1"/>
  <c r="B4201" i="106"/>
  <c r="D4201" i="106" s="1"/>
  <c r="B4801" i="106"/>
  <c r="D4801" i="106" s="1"/>
  <c r="B6743" i="106"/>
  <c r="D6743" i="106" s="1"/>
  <c r="B6675" i="106"/>
  <c r="D6675" i="106" s="1"/>
  <c r="B930" i="106"/>
  <c r="D930" i="106" s="1"/>
  <c r="B5079" i="106"/>
  <c r="D5079" i="106" s="1"/>
  <c r="B6912" i="106"/>
  <c r="D6912" i="106" s="1"/>
  <c r="B1363" i="106"/>
  <c r="D1363" i="106" s="1"/>
  <c r="B6847" i="106"/>
  <c r="D6847" i="106" s="1"/>
  <c r="B6359" i="106"/>
  <c r="D6359" i="106" s="1"/>
  <c r="B706" i="106"/>
  <c r="D706" i="106" s="1"/>
  <c r="K16" i="29"/>
  <c r="B1094" i="106" s="1"/>
  <c r="D1094" i="106" s="1"/>
  <c r="B837" i="106"/>
  <c r="D837" i="106" s="1"/>
  <c r="E42" i="29"/>
  <c r="B1313" i="106"/>
  <c r="D1313" i="106" s="1"/>
  <c r="K167" i="29"/>
  <c r="B1327" i="106" s="1"/>
  <c r="D1327" i="106" s="1"/>
  <c r="D252" i="5"/>
  <c r="B6834" i="106" s="1"/>
  <c r="D6834" i="106" s="1"/>
  <c r="B6615" i="106"/>
  <c r="D6615" i="106" s="1"/>
  <c r="B6723" i="106"/>
  <c r="D6723" i="106" s="1"/>
  <c r="B4394" i="106"/>
  <c r="D4394" i="106" s="1"/>
  <c r="B4230" i="106"/>
  <c r="D4230" i="106" s="1"/>
  <c r="B1431" i="106"/>
  <c r="D1431" i="106" s="1"/>
  <c r="K266" i="29"/>
  <c r="B1495" i="106" s="1"/>
  <c r="D1495" i="106" s="1"/>
  <c r="B914" i="106"/>
  <c r="D914" i="106" s="1"/>
  <c r="B6860" i="106"/>
  <c r="D6860" i="106" s="1"/>
  <c r="B6660" i="106"/>
  <c r="D6660" i="106" s="1"/>
  <c r="B2813" i="106"/>
  <c r="D2813" i="106" s="1"/>
  <c r="K166" i="29"/>
  <c r="B2819" i="106" s="1"/>
  <c r="D2819" i="106" s="1"/>
  <c r="B5168" i="106"/>
  <c r="D5168" i="106" s="1"/>
  <c r="F110" i="34"/>
  <c r="F136" i="34"/>
  <c r="B6642" i="106"/>
  <c r="D6642" i="106" s="1"/>
  <c r="B2979" i="106"/>
  <c r="D2979" i="106" s="1"/>
  <c r="E38" i="4"/>
  <c r="B6286" i="106" s="1"/>
  <c r="D6286" i="106" s="1"/>
  <c r="B6243" i="106"/>
  <c r="D6243" i="106" s="1"/>
  <c r="B6900" i="106"/>
  <c r="D6900" i="106" s="1"/>
  <c r="K32" i="29"/>
  <c r="B7164" i="106"/>
  <c r="D7164" i="106" s="1"/>
  <c r="B962" i="106"/>
  <c r="D962" i="106" s="1"/>
  <c r="K45" i="29"/>
  <c r="B1117" i="106" s="1"/>
  <c r="D1117" i="106" s="1"/>
  <c r="B729" i="106"/>
  <c r="D729" i="106" s="1"/>
  <c r="B5353" i="106"/>
  <c r="D5353" i="106" s="1"/>
  <c r="F184" i="29"/>
  <c r="B4084" i="106"/>
  <c r="D4084" i="106" s="1"/>
  <c r="J53" i="29"/>
  <c r="B6943" i="106" s="1"/>
  <c r="D6943" i="106" s="1"/>
  <c r="B6927" i="106"/>
  <c r="D6927" i="106" s="1"/>
  <c r="K51" i="29"/>
  <c r="B2718" i="106"/>
  <c r="D2718" i="106" s="1"/>
  <c r="B6661" i="106"/>
  <c r="D6661" i="106" s="1"/>
  <c r="B7129" i="106"/>
  <c r="D7129" i="106" s="1"/>
  <c r="B6907" i="106"/>
  <c r="D6907" i="106" s="1"/>
  <c r="B3530" i="106"/>
  <c r="D3530" i="106" s="1"/>
  <c r="B7227" i="106"/>
  <c r="D7227" i="106" s="1"/>
  <c r="J350" i="29"/>
  <c r="B6321" i="106"/>
  <c r="D6321" i="106" s="1"/>
  <c r="B6637" i="106"/>
  <c r="D6637" i="106" s="1"/>
  <c r="B1369" i="106"/>
  <c r="D1369" i="106" s="1"/>
  <c r="K246" i="29"/>
  <c r="B1487" i="106" s="1"/>
  <c r="D1487" i="106" s="1"/>
  <c r="B1423" i="106"/>
  <c r="D1423" i="106" s="1"/>
  <c r="B7785" i="106"/>
  <c r="D7785" i="106" s="1"/>
  <c r="K332" i="29"/>
  <c r="H334" i="29"/>
  <c r="B7789" i="106" s="1"/>
  <c r="D7789" i="106" s="1"/>
  <c r="B6337" i="106"/>
  <c r="D6337" i="106" s="1"/>
  <c r="K44" i="4"/>
  <c r="B3584" i="106" s="1"/>
  <c r="D3584" i="106" s="1"/>
  <c r="B7755" i="106"/>
  <c r="D7755" i="106" s="1"/>
  <c r="B5119" i="106"/>
  <c r="D5119" i="106" s="1"/>
  <c r="B736" i="106"/>
  <c r="D736" i="106" s="1"/>
  <c r="K56" i="29"/>
  <c r="B3631" i="106"/>
  <c r="D3631" i="106" s="1"/>
  <c r="E350" i="29"/>
  <c r="B3633" i="106" s="1"/>
  <c r="D3633" i="106" s="1"/>
  <c r="B1522" i="106"/>
  <c r="D1522" i="106" s="1"/>
  <c r="K302" i="29"/>
  <c r="B1558" i="106" s="1"/>
  <c r="D1558" i="106" s="1"/>
  <c r="K67" i="5"/>
  <c r="B5995" i="106" s="1"/>
  <c r="D5995" i="106" s="1"/>
  <c r="B5993" i="106"/>
  <c r="D5993" i="106" s="1"/>
  <c r="B1248" i="106"/>
  <c r="D1248" i="106" s="1"/>
  <c r="B6389" i="106"/>
  <c r="D6389" i="106" s="1"/>
  <c r="B4805" i="106"/>
  <c r="D4805" i="106" s="1"/>
  <c r="B6721" i="106"/>
  <c r="D6721" i="106" s="1"/>
  <c r="B6630" i="106"/>
  <c r="D6630" i="106" s="1"/>
  <c r="K31" i="29"/>
  <c r="B6898" i="106"/>
  <c r="D6898" i="106" s="1"/>
  <c r="B7249" i="106"/>
  <c r="D7249" i="106" s="1"/>
  <c r="B7157" i="106"/>
  <c r="D7157" i="106" s="1"/>
  <c r="B3228" i="106"/>
  <c r="D3228" i="106" s="1"/>
  <c r="B921" i="106"/>
  <c r="D921" i="106" s="1"/>
  <c r="B5177" i="106"/>
  <c r="D5177" i="106" s="1"/>
  <c r="B7753" i="106"/>
  <c r="D7753" i="106" s="1"/>
  <c r="B7112" i="106"/>
  <c r="D7112" i="106" s="1"/>
  <c r="K309" i="29"/>
  <c r="B3717" i="106" s="1"/>
  <c r="D3717" i="106" s="1"/>
  <c r="B7654" i="106"/>
  <c r="D7654" i="106" s="1"/>
  <c r="B4361" i="106"/>
  <c r="D4361" i="106" s="1"/>
  <c r="B980" i="106"/>
  <c r="D980" i="106" s="1"/>
  <c r="B5509" i="106"/>
  <c r="D5509" i="106" s="1"/>
  <c r="B6" i="7"/>
  <c r="E12" i="5"/>
  <c r="B6751" i="106"/>
  <c r="D6751" i="106" s="1"/>
  <c r="B7638" i="106"/>
  <c r="B2999" i="106"/>
  <c r="D2999" i="106" s="1"/>
  <c r="B6676" i="106"/>
  <c r="D6676" i="106" s="1"/>
  <c r="B5095" i="106"/>
  <c r="D5095" i="106" s="1"/>
  <c r="B5697" i="106"/>
  <c r="D5697" i="106" s="1"/>
  <c r="D261" i="29"/>
  <c r="B1427" i="106" s="1"/>
  <c r="D1427" i="106" s="1"/>
  <c r="K259" i="29"/>
  <c r="B1425" i="106"/>
  <c r="D1425" i="106" s="1"/>
  <c r="K89" i="29"/>
  <c r="B6990" i="106" s="1"/>
  <c r="D6990" i="106" s="1"/>
  <c r="B6989" i="106"/>
  <c r="D6989" i="106" s="1"/>
  <c r="B7259" i="106"/>
  <c r="D7259" i="106" s="1"/>
  <c r="K216" i="29"/>
  <c r="B7073" i="106"/>
  <c r="D7073" i="106" s="1"/>
  <c r="B716" i="106"/>
  <c r="D716" i="106" s="1"/>
  <c r="K12" i="29"/>
  <c r="B1033" i="106"/>
  <c r="D1033" i="106" s="1"/>
  <c r="B5312" i="106"/>
  <c r="D5312" i="106" s="1"/>
  <c r="F160" i="34"/>
  <c r="B6991" i="106"/>
  <c r="D6991" i="106" s="1"/>
  <c r="K90" i="29"/>
  <c r="B6992" i="106" s="1"/>
  <c r="D6992" i="106" s="1"/>
  <c r="B3578" i="106"/>
  <c r="D3578" i="106" s="1"/>
  <c r="B7731" i="106"/>
  <c r="D7731" i="106" s="1"/>
  <c r="B6749" i="106"/>
  <c r="D6749" i="106" s="1"/>
  <c r="B4366" i="106"/>
  <c r="D4366" i="106" s="1"/>
  <c r="I175" i="5"/>
  <c r="B3275" i="106"/>
  <c r="D3275" i="106" s="1"/>
  <c r="B6406" i="106"/>
  <c r="D6406" i="106" s="1"/>
  <c r="K9" i="29"/>
  <c r="B7251" i="106"/>
  <c r="D7251" i="106" s="1"/>
  <c r="B6788" i="106"/>
  <c r="D6788" i="106" s="1"/>
  <c r="B7093" i="106"/>
  <c r="D7093" i="106" s="1"/>
  <c r="K254" i="29"/>
  <c r="B7094" i="106" s="1"/>
  <c r="D7094" i="106" s="1"/>
  <c r="I47" i="29"/>
  <c r="B6924" i="106" s="1"/>
  <c r="D6924" i="106" s="1"/>
  <c r="B6918" i="106"/>
  <c r="D6918" i="106" s="1"/>
  <c r="B7026" i="106"/>
  <c r="D7026" i="106" s="1"/>
  <c r="B4335" i="106"/>
  <c r="D4335" i="106" s="1"/>
  <c r="D330" i="29"/>
  <c r="B7119" i="106"/>
  <c r="D7119" i="106" s="1"/>
  <c r="B5726" i="106"/>
  <c r="D5726" i="106" s="1"/>
  <c r="G18" i="5"/>
  <c r="B5730" i="106" s="1"/>
  <c r="D5730" i="106" s="1"/>
  <c r="K148" i="29"/>
  <c r="B7050" i="106" s="1"/>
  <c r="D7050" i="106" s="1"/>
  <c r="B7049" i="106"/>
  <c r="D7049" i="106" s="1"/>
  <c r="B7152" i="106"/>
  <c r="D7152" i="106" s="1"/>
  <c r="B4918" i="106"/>
  <c r="D4918" i="106" s="1"/>
  <c r="B956" i="106"/>
  <c r="D956" i="106" s="1"/>
  <c r="D12" i="171"/>
  <c r="B5123" i="106"/>
  <c r="D5123" i="106" s="1"/>
  <c r="B6697" i="106"/>
  <c r="D6697" i="106" s="1"/>
  <c r="B3486" i="106"/>
  <c r="D3486" i="106" s="1"/>
  <c r="B1228" i="106"/>
  <c r="D1228" i="106" s="1"/>
  <c r="B6241" i="106"/>
  <c r="D6241" i="106" s="1"/>
  <c r="B6367" i="106"/>
  <c r="D6367" i="106" s="1"/>
  <c r="B967" i="106"/>
  <c r="D967" i="106" s="1"/>
  <c r="G57" i="29"/>
  <c r="B969" i="106" s="1"/>
  <c r="D969" i="106" s="1"/>
  <c r="B7255" i="106"/>
  <c r="D7255" i="106" s="1"/>
  <c r="B833" i="106"/>
  <c r="D833" i="106" s="1"/>
  <c r="B2954" i="106"/>
  <c r="D2954" i="106" s="1"/>
  <c r="K83" i="29"/>
  <c r="B2978" i="106" s="1"/>
  <c r="D2978" i="106" s="1"/>
  <c r="B6678" i="106"/>
  <c r="D6678" i="106" s="1"/>
  <c r="K351" i="29"/>
  <c r="B3671" i="106" s="1"/>
  <c r="D3671" i="106" s="1"/>
  <c r="B3620" i="106"/>
  <c r="D3620" i="106" s="1"/>
  <c r="B5888" i="106"/>
  <c r="D5888" i="106" s="1"/>
  <c r="B784" i="106"/>
  <c r="D784" i="106" s="1"/>
  <c r="B2825" i="106"/>
  <c r="D2825" i="106" s="1"/>
  <c r="F27" i="34"/>
  <c r="B5578" i="106"/>
  <c r="D5578" i="106" s="1"/>
  <c r="B5352" i="106"/>
  <c r="D5352" i="106" s="1"/>
  <c r="B6915" i="106"/>
  <c r="D6915" i="106" s="1"/>
  <c r="K94" i="29"/>
  <c r="B6999" i="106" s="1"/>
  <c r="D6999" i="106" s="1"/>
  <c r="B6998" i="106"/>
  <c r="D6998" i="106" s="1"/>
  <c r="B897" i="106"/>
  <c r="D897" i="106" s="1"/>
  <c r="B6703" i="106"/>
  <c r="D6703" i="106" s="1"/>
  <c r="B5860" i="106"/>
  <c r="D5860" i="106" s="1"/>
  <c r="B6622" i="106"/>
  <c r="D6622" i="106" s="1"/>
  <c r="F133" i="34"/>
  <c r="B857" i="106"/>
  <c r="D857" i="106" s="1"/>
  <c r="B6715" i="106"/>
  <c r="D6715" i="106" s="1"/>
  <c r="B7009" i="106"/>
  <c r="D7009" i="106" s="1"/>
  <c r="B5729" i="106"/>
  <c r="D5729" i="106" s="1"/>
  <c r="B6320" i="106"/>
  <c r="D6320" i="106" s="1"/>
  <c r="B6239" i="106"/>
  <c r="D6239" i="106" s="1"/>
  <c r="J76" i="4"/>
  <c r="B6261" i="106" s="1"/>
  <c r="D6261" i="106" s="1"/>
  <c r="D76" i="4"/>
  <c r="B3237" i="106" s="1"/>
  <c r="D3237" i="106" s="1"/>
  <c r="B5023" i="106"/>
  <c r="D5023" i="106" s="1"/>
  <c r="B7158" i="106"/>
  <c r="D7158" i="106" s="1"/>
  <c r="B7151" i="106"/>
  <c r="D7151" i="106" s="1"/>
  <c r="B6669" i="106"/>
  <c r="D6669" i="106" s="1"/>
  <c r="K240" i="29"/>
  <c r="B1418" i="106"/>
  <c r="D1418" i="106" s="1"/>
  <c r="D243" i="29"/>
  <c r="B1421" i="106" s="1"/>
  <c r="D1421" i="106" s="1"/>
  <c r="B3374" i="106"/>
  <c r="D3374" i="106" s="1"/>
  <c r="B916" i="106"/>
  <c r="D916" i="106" s="1"/>
  <c r="E127" i="29"/>
  <c r="B1235" i="106"/>
  <c r="D1235" i="106" s="1"/>
  <c r="B7181" i="106"/>
  <c r="D7181" i="106" s="1"/>
  <c r="K326" i="29"/>
  <c r="B7189" i="106" s="1"/>
  <c r="D7189" i="106" s="1"/>
  <c r="B2956" i="106"/>
  <c r="D2956" i="106" s="1"/>
  <c r="B6376" i="106"/>
  <c r="D6376" i="106" s="1"/>
  <c r="K86" i="29"/>
  <c r="B6984" i="106" s="1"/>
  <c r="D6984" i="106" s="1"/>
  <c r="B6983" i="106"/>
  <c r="D6983" i="106" s="1"/>
  <c r="B5875" i="106"/>
  <c r="D5875" i="106" s="1"/>
  <c r="B3057" i="106"/>
  <c r="D3057" i="106" s="1"/>
  <c r="B620" i="106"/>
  <c r="D620" i="106" s="1"/>
  <c r="I184" i="29"/>
  <c r="B7063" i="106" s="1"/>
  <c r="D7063" i="106" s="1"/>
  <c r="B7057" i="106"/>
  <c r="D7057" i="106" s="1"/>
  <c r="K321" i="29"/>
  <c r="B7144" i="106" s="1"/>
  <c r="D7144" i="106" s="1"/>
  <c r="B7136" i="106"/>
  <c r="D7136" i="106" s="1"/>
  <c r="B4920" i="106"/>
  <c r="D4920" i="106" s="1"/>
  <c r="B1031" i="106"/>
  <c r="D1031" i="106" s="1"/>
  <c r="B4419" i="106"/>
  <c r="D4419" i="106" s="1"/>
  <c r="B6972" i="106"/>
  <c r="D6972" i="106" s="1"/>
  <c r="B3084" i="106"/>
  <c r="D3084" i="106" s="1"/>
  <c r="B5696" i="106"/>
  <c r="D5696" i="106" s="1"/>
  <c r="F104" i="34"/>
  <c r="B5118" i="106"/>
  <c r="D5118" i="106" s="1"/>
  <c r="B6300" i="106"/>
  <c r="D6300" i="106" s="1"/>
  <c r="B1354" i="106"/>
  <c r="D1354" i="106" s="1"/>
  <c r="B4802" i="106"/>
  <c r="D4802" i="106" s="1"/>
  <c r="B7704" i="106"/>
  <c r="D7704" i="106" s="1"/>
  <c r="B7142" i="106"/>
  <c r="D7142" i="106" s="1"/>
  <c r="B5344" i="106"/>
  <c r="D5344" i="106" s="1"/>
  <c r="B7260" i="106"/>
  <c r="D7260" i="106" s="1"/>
  <c r="B6356" i="106"/>
  <c r="D6356" i="106" s="1"/>
  <c r="F161" i="34"/>
  <c r="B4415" i="106"/>
  <c r="D4415" i="106" s="1"/>
  <c r="B6335" i="106"/>
  <c r="D6335" i="106" s="1"/>
  <c r="B6349" i="106"/>
  <c r="D6349" i="106" s="1"/>
  <c r="B5026" i="106"/>
  <c r="D5026" i="106" s="1"/>
  <c r="B13" i="7"/>
  <c r="B7651" i="106"/>
  <c r="D7651" i="106" s="1"/>
  <c r="F209" i="5"/>
  <c r="B4413" i="106" s="1"/>
  <c r="D4413" i="106" s="1"/>
  <c r="B5673" i="106"/>
  <c r="D5673" i="106" s="1"/>
  <c r="B7195" i="106"/>
  <c r="D7195" i="106" s="1"/>
  <c r="B5464" i="106"/>
  <c r="D5464" i="106" s="1"/>
  <c r="B787" i="106"/>
  <c r="D787" i="106" s="1"/>
  <c r="B6965" i="106"/>
  <c r="D6965" i="106" s="1"/>
  <c r="B2092" i="106"/>
  <c r="D2092" i="106" s="1"/>
  <c r="B15" i="7"/>
  <c r="B5332" i="106"/>
  <c r="D5332" i="106" s="1"/>
  <c r="K145" i="29"/>
  <c r="B2811" i="106" s="1"/>
  <c r="D2811" i="106" s="1"/>
  <c r="B2808" i="106"/>
  <c r="D2808" i="106" s="1"/>
  <c r="B938" i="106"/>
  <c r="D938" i="106" s="1"/>
  <c r="B3236" i="106"/>
  <c r="D3236" i="106" s="1"/>
  <c r="B7686" i="106"/>
  <c r="D7686" i="106" s="1"/>
  <c r="B6870" i="106"/>
  <c r="D6870" i="106" s="1"/>
  <c r="B5256" i="106"/>
  <c r="D5256" i="106" s="1"/>
  <c r="C209" i="5"/>
  <c r="B4411" i="106" s="1"/>
  <c r="D4411" i="106" s="1"/>
  <c r="B5347" i="106"/>
  <c r="D5347" i="106" s="1"/>
  <c r="K20" i="29"/>
  <c r="B6876" i="106"/>
  <c r="D6876" i="106" s="1"/>
  <c r="B501" i="106"/>
  <c r="D501" i="106" s="1"/>
  <c r="B6379" i="106"/>
  <c r="D6379" i="106" s="1"/>
  <c r="B880" i="106"/>
  <c r="D880" i="106" s="1"/>
  <c r="B4864" i="106"/>
  <c r="D4864" i="106" s="1"/>
  <c r="B7680" i="106"/>
  <c r="D7680" i="106" s="1"/>
  <c r="B7668" i="106"/>
  <c r="D7668" i="106" s="1"/>
  <c r="B6358" i="106"/>
  <c r="D6358" i="106" s="1"/>
  <c r="F134" i="34"/>
  <c r="B6626" i="106"/>
  <c r="D6626" i="106" s="1"/>
  <c r="G204" i="5"/>
  <c r="B5803" i="106" s="1"/>
  <c r="D5803" i="106" s="1"/>
  <c r="B5790" i="106"/>
  <c r="D5790" i="106" s="1"/>
  <c r="B975" i="106"/>
  <c r="D975" i="106" s="1"/>
  <c r="B3533" i="106"/>
  <c r="D3533" i="106" s="1"/>
  <c r="K329" i="29"/>
  <c r="B7705" i="106" s="1"/>
  <c r="D7705" i="106" s="1"/>
  <c r="B7697" i="106"/>
  <c r="D7697" i="106" s="1"/>
  <c r="B7751" i="106"/>
  <c r="D7751" i="106" s="1"/>
  <c r="F44" i="4"/>
  <c r="B7061" i="106"/>
  <c r="D7061" i="106" s="1"/>
  <c r="B2763" i="106"/>
  <c r="D2763" i="106" s="1"/>
  <c r="B4227" i="106"/>
  <c r="D4227" i="106" s="1"/>
  <c r="B5821" i="106"/>
  <c r="D5821" i="106" s="1"/>
  <c r="B5076" i="106"/>
  <c r="D5076" i="106" s="1"/>
  <c r="B7120" i="106"/>
  <c r="D7120" i="106" s="1"/>
  <c r="E330" i="29"/>
  <c r="F330" i="29"/>
  <c r="B7121" i="106"/>
  <c r="D7121" i="106" s="1"/>
  <c r="B7169" i="106"/>
  <c r="D7169" i="106" s="1"/>
  <c r="B4321" i="106"/>
  <c r="D4321" i="106" s="1"/>
  <c r="B1227" i="106"/>
  <c r="D1227" i="106" s="1"/>
  <c r="D127" i="29"/>
  <c r="B1231" i="106" s="1"/>
  <c r="D1231" i="106" s="1"/>
  <c r="B1020" i="106"/>
  <c r="D1020" i="106" s="1"/>
  <c r="B799" i="106"/>
  <c r="D799" i="106" s="1"/>
  <c r="B6928" i="106"/>
  <c r="D6928" i="106" s="1"/>
  <c r="B6852" i="106"/>
  <c r="D6852" i="106" s="1"/>
  <c r="K165" i="29"/>
  <c r="B2818" i="106" s="1"/>
  <c r="D2818" i="106" s="1"/>
  <c r="B2812" i="106"/>
  <c r="D2812" i="106" s="1"/>
  <c r="B3371" i="106"/>
  <c r="D3371" i="106" s="1"/>
  <c r="B7229" i="106"/>
  <c r="D7229" i="106" s="1"/>
  <c r="B4076" i="106"/>
  <c r="D4076" i="106" s="1"/>
  <c r="B1344" i="106"/>
  <c r="D1344" i="106" s="1"/>
  <c r="B5742" i="106"/>
  <c r="D5742" i="106" s="1"/>
  <c r="G122" i="5"/>
  <c r="B5748" i="106" s="1"/>
  <c r="D5748" i="106" s="1"/>
  <c r="B7160" i="106"/>
  <c r="D7160" i="106" s="1"/>
  <c r="B4339" i="106"/>
  <c r="D4339" i="106" s="1"/>
  <c r="B2950" i="106"/>
  <c r="D2950" i="106" s="1"/>
  <c r="K79" i="29"/>
  <c r="B2974" i="106" s="1"/>
  <c r="D2974" i="106" s="1"/>
  <c r="B719" i="106"/>
  <c r="D719" i="106" s="1"/>
  <c r="K15" i="29"/>
  <c r="F38" i="34" s="1"/>
  <c r="B5887" i="106"/>
  <c r="D5887" i="106" s="1"/>
  <c r="H122" i="5"/>
  <c r="B821" i="106"/>
  <c r="D821" i="106" s="1"/>
  <c r="E33" i="29"/>
  <c r="B836" i="106" s="1"/>
  <c r="D836" i="106" s="1"/>
  <c r="B828" i="106"/>
  <c r="D828" i="106" s="1"/>
  <c r="B4315" i="106"/>
  <c r="D4315" i="106" s="1"/>
  <c r="B4795" i="106"/>
  <c r="D4795" i="106" s="1"/>
  <c r="B6957" i="106"/>
  <c r="D6957" i="106" s="1"/>
  <c r="B1008" i="106"/>
  <c r="D1008" i="106" s="1"/>
  <c r="B1360" i="106"/>
  <c r="D1360" i="106" s="1"/>
  <c r="B6776" i="106"/>
  <c r="D6776" i="106" s="1"/>
  <c r="I330" i="29"/>
  <c r="B7124" i="106"/>
  <c r="D7124" i="106" s="1"/>
  <c r="K225" i="29"/>
  <c r="B1460" i="106" s="1"/>
  <c r="D1460" i="106" s="1"/>
  <c r="B1396" i="106"/>
  <c r="D1396" i="106" s="1"/>
  <c r="B754" i="106"/>
  <c r="D754" i="106" s="1"/>
  <c r="K73" i="29"/>
  <c r="K242" i="29"/>
  <c r="B1484" i="106" s="1"/>
  <c r="D1484" i="106" s="1"/>
  <c r="B1420" i="106"/>
  <c r="D1420" i="106" s="1"/>
  <c r="B7690" i="106"/>
  <c r="D7690" i="106" s="1"/>
  <c r="B5516" i="106"/>
  <c r="D5516" i="106" s="1"/>
  <c r="B5732" i="106"/>
  <c r="D5732" i="106" s="1"/>
  <c r="B5374" i="106"/>
  <c r="D5374" i="106" s="1"/>
  <c r="B7683" i="106"/>
  <c r="D7683" i="106" s="1"/>
  <c r="C67" i="5"/>
  <c r="B5090" i="106" s="1"/>
  <c r="D5090" i="106" s="1"/>
  <c r="B5088" i="106"/>
  <c r="D5088" i="106" s="1"/>
  <c r="B4882" i="106"/>
  <c r="D4882" i="106" s="1"/>
  <c r="B2957" i="106"/>
  <c r="D2957" i="106" s="1"/>
  <c r="B6953" i="106"/>
  <c r="D6953" i="106" s="1"/>
  <c r="K356" i="29"/>
  <c r="B5139" i="106"/>
  <c r="D5139" i="106" s="1"/>
  <c r="B5724" i="106"/>
  <c r="D5724" i="106" s="1"/>
  <c r="B5137" i="106"/>
  <c r="D5137" i="106" s="1"/>
  <c r="K319" i="29"/>
  <c r="B7118" i="106"/>
  <c r="D7118" i="106" s="1"/>
  <c r="C330" i="29"/>
  <c r="B7199" i="106" s="1"/>
  <c r="D7199" i="106" s="1"/>
  <c r="B6764" i="106"/>
  <c r="D6764" i="106" s="1"/>
  <c r="B5362" i="106"/>
  <c r="D5362" i="106" s="1"/>
  <c r="D53" i="29"/>
  <c r="B792" i="106" s="1"/>
  <c r="D792" i="106" s="1"/>
  <c r="B790" i="106"/>
  <c r="D790" i="106" s="1"/>
  <c r="B6826" i="106"/>
  <c r="D6826" i="106" s="1"/>
  <c r="B6736" i="106"/>
  <c r="D6736" i="106" s="1"/>
  <c r="B5872" i="106"/>
  <c r="D5872" i="106" s="1"/>
  <c r="B5104" i="106"/>
  <c r="D5104" i="106" s="1"/>
  <c r="B892" i="106"/>
  <c r="D892" i="106" s="1"/>
  <c r="B6773" i="106"/>
  <c r="D6773" i="106" s="1"/>
  <c r="B3085" i="106"/>
  <c r="D3085" i="106" s="1"/>
  <c r="B7208" i="106"/>
  <c r="D7208" i="106" s="1"/>
  <c r="K337" i="29"/>
  <c r="B7209" i="106" s="1"/>
  <c r="D7209" i="106" s="1"/>
  <c r="H340" i="29"/>
  <c r="B7214" i="106" s="1"/>
  <c r="D7214" i="106" s="1"/>
  <c r="B4079" i="106"/>
  <c r="D4079" i="106" s="1"/>
  <c r="B6408" i="106"/>
  <c r="D6408" i="106" s="1"/>
  <c r="K185" i="29"/>
  <c r="B2836" i="106" s="1"/>
  <c r="D2836" i="106" s="1"/>
  <c r="B2820" i="106"/>
  <c r="D2820" i="106" s="1"/>
  <c r="B6323" i="106"/>
  <c r="D6323" i="106" s="1"/>
  <c r="B1445" i="106"/>
  <c r="D1445" i="106" s="1"/>
  <c r="K278" i="29"/>
  <c r="B1509" i="106" s="1"/>
  <c r="D1509" i="106" s="1"/>
  <c r="B4946" i="106"/>
  <c r="D4946" i="106" s="1"/>
  <c r="F164" i="34"/>
  <c r="B4418" i="106"/>
  <c r="D4418" i="106" s="1"/>
  <c r="B7676" i="106"/>
  <c r="D7676" i="106" s="1"/>
  <c r="B7131" i="106"/>
  <c r="D7131" i="106" s="1"/>
  <c r="B7703" i="106"/>
  <c r="D7703" i="106" s="1"/>
  <c r="B953" i="106"/>
  <c r="D953" i="106" s="1"/>
  <c r="G42" i="29"/>
  <c r="K159" i="29"/>
  <c r="B7782" i="106" s="1"/>
  <c r="D7782" i="106" s="1"/>
  <c r="B7781" i="106"/>
  <c r="D7781" i="106" s="1"/>
  <c r="H293" i="29"/>
  <c r="H295" i="29" s="1"/>
  <c r="B1454" i="106" s="1"/>
  <c r="D1454" i="106" s="1"/>
  <c r="K288" i="29"/>
  <c r="B1449" i="106"/>
  <c r="D1449" i="106" s="1"/>
  <c r="B6650" i="106"/>
  <c r="D6650" i="106" s="1"/>
  <c r="F137" i="34"/>
  <c r="F88" i="34"/>
  <c r="B5570" i="106"/>
  <c r="D5570" i="106" s="1"/>
  <c r="B7662" i="106"/>
  <c r="D7662" i="106" s="1"/>
  <c r="F84" i="34"/>
  <c r="B5563" i="106"/>
  <c r="D5563" i="106" s="1"/>
  <c r="F63" i="5"/>
  <c r="B5579" i="106" s="1"/>
  <c r="D5579" i="106" s="1"/>
  <c r="B1041" i="106"/>
  <c r="D1041" i="106" s="1"/>
  <c r="B748" i="106"/>
  <c r="D748" i="106" s="1"/>
  <c r="K69" i="29"/>
  <c r="G35" i="108" s="1"/>
  <c r="B653" i="106"/>
  <c r="D653" i="106" s="1"/>
  <c r="B5240" i="106"/>
  <c r="D5240" i="106" s="1"/>
  <c r="B5665" i="106"/>
  <c r="D5665" i="106" s="1"/>
  <c r="B5350" i="106"/>
  <c r="D5350" i="106" s="1"/>
  <c r="F303" i="29"/>
  <c r="B1541" i="106" s="1"/>
  <c r="D1541" i="106" s="1"/>
  <c r="B1537" i="106"/>
  <c r="D1537" i="106" s="1"/>
  <c r="F99" i="34"/>
  <c r="B5110" i="106"/>
  <c r="D5110" i="106" s="1"/>
  <c r="B5858" i="106"/>
  <c r="D5858" i="106" s="1"/>
  <c r="B4884" i="106"/>
  <c r="D4884" i="106" s="1"/>
  <c r="B5401" i="106"/>
  <c r="D5401" i="106" s="1"/>
  <c r="B6632" i="106"/>
  <c r="D6632" i="106" s="1"/>
  <c r="B6695" i="106"/>
  <c r="D6695" i="106" s="1"/>
  <c r="B6931" i="106"/>
  <c r="D6931" i="106" s="1"/>
  <c r="B5094" i="106"/>
  <c r="D5094" i="106" s="1"/>
  <c r="B3490" i="106"/>
  <c r="D3490" i="106" s="1"/>
  <c r="B6849" i="106"/>
  <c r="D6849" i="106" s="1"/>
  <c r="B764" i="106"/>
  <c r="D764" i="106" s="1"/>
  <c r="B6708" i="106"/>
  <c r="D6708" i="106" s="1"/>
  <c r="B5091" i="106"/>
  <c r="D5091" i="106" s="1"/>
  <c r="B5089" i="106"/>
  <c r="D5089" i="106" s="1"/>
  <c r="K68" i="29"/>
  <c r="B747" i="106"/>
  <c r="D747" i="106" s="1"/>
  <c r="B7707" i="106"/>
  <c r="D7707" i="106" s="1"/>
  <c r="F118" i="34"/>
  <c r="B6388" i="106"/>
  <c r="D6388" i="106" s="1"/>
  <c r="K268" i="29"/>
  <c r="B1497" i="106" s="1"/>
  <c r="D1497" i="106" s="1"/>
  <c r="B1433" i="106"/>
  <c r="D1433" i="106" s="1"/>
  <c r="B7684" i="106"/>
  <c r="D7684" i="106" s="1"/>
  <c r="B6777" i="106"/>
  <c r="D6777" i="106" s="1"/>
  <c r="F150" i="34"/>
  <c r="B1338" i="106"/>
  <c r="D1338" i="106" s="1"/>
  <c r="K183" i="29"/>
  <c r="B1380" i="106" s="1"/>
  <c r="D1380" i="106" s="1"/>
  <c r="B1341" i="106"/>
  <c r="D1341" i="106" s="1"/>
  <c r="B6731" i="106"/>
  <c r="D6731" i="106" s="1"/>
  <c r="B7197" i="106"/>
  <c r="D7197" i="106" s="1"/>
  <c r="B6888" i="106"/>
  <c r="D6888" i="106" s="1"/>
  <c r="K26" i="29"/>
  <c r="B5100" i="106"/>
  <c r="D5100" i="106" s="1"/>
  <c r="B6762" i="106"/>
  <c r="D6762" i="106" s="1"/>
  <c r="B3639" i="106"/>
  <c r="D3639" i="106" s="1"/>
  <c r="B6232" i="106"/>
  <c r="D6232" i="106" s="1"/>
  <c r="B7102" i="106"/>
  <c r="D7102" i="106" s="1"/>
  <c r="B5074" i="106"/>
  <c r="D5074" i="106" s="1"/>
  <c r="B841" i="106"/>
  <c r="D841" i="106" s="1"/>
  <c r="B1023" i="106"/>
  <c r="D1023" i="106" s="1"/>
  <c r="B6717" i="106"/>
  <c r="D6717" i="106" s="1"/>
  <c r="B6732" i="106"/>
  <c r="D6732" i="106" s="1"/>
  <c r="B1540" i="106"/>
  <c r="D1540" i="106" s="1"/>
  <c r="B5512" i="106"/>
  <c r="D5512" i="106" s="1"/>
  <c r="B5439" i="106"/>
  <c r="D5439" i="106" s="1"/>
  <c r="D68" i="36"/>
  <c r="B323" i="106"/>
  <c r="D323" i="106" s="1"/>
  <c r="B6932" i="106"/>
  <c r="D6932" i="106" s="1"/>
  <c r="K52" i="29"/>
  <c r="B6940" i="106" s="1"/>
  <c r="D6940" i="106" s="1"/>
  <c r="B7210" i="106"/>
  <c r="D7210" i="106" s="1"/>
  <c r="K338" i="29"/>
  <c r="B7211" i="106" s="1"/>
  <c r="D7211" i="106" s="1"/>
  <c r="K217" i="29"/>
  <c r="B3391" i="106" s="1"/>
  <c r="D3391" i="106" s="1"/>
  <c r="B3388" i="106"/>
  <c r="D3388" i="106" s="1"/>
  <c r="B1534" i="106"/>
  <c r="D1534" i="106" s="1"/>
  <c r="B6768" i="106"/>
  <c r="D6768" i="106" s="1"/>
  <c r="B2826" i="106"/>
  <c r="D2826" i="106" s="1"/>
  <c r="F98" i="34"/>
  <c r="B5107" i="106"/>
  <c r="D5107" i="106" s="1"/>
  <c r="F28" i="34"/>
  <c r="B6315" i="106"/>
  <c r="D6315" i="106" s="1"/>
  <c r="B6292" i="106"/>
  <c r="D6292" i="106" s="1"/>
  <c r="B7123" i="106"/>
  <c r="D7123" i="106" s="1"/>
  <c r="H330" i="29"/>
  <c r="H342" i="29" s="1"/>
  <c r="B7221" i="106" s="1"/>
  <c r="D7221" i="106" s="1"/>
  <c r="B5874" i="106"/>
  <c r="D5874" i="106" s="1"/>
  <c r="H18" i="5"/>
  <c r="B5878" i="106" s="1"/>
  <c r="D5878" i="106" s="1"/>
  <c r="B835" i="106"/>
  <c r="D835" i="106" s="1"/>
  <c r="B1528" i="106"/>
  <c r="D1528" i="106" s="1"/>
  <c r="F129" i="29"/>
  <c r="B4077" i="106"/>
  <c r="D4077" i="106" s="1"/>
  <c r="B3369" i="106"/>
  <c r="D3369" i="106" s="1"/>
  <c r="B782" i="106"/>
  <c r="D782" i="106" s="1"/>
  <c r="B5919" i="106"/>
  <c r="D5919" i="106" s="1"/>
  <c r="I18" i="5"/>
  <c r="B5923" i="106" s="1"/>
  <c r="D5923" i="106" s="1"/>
  <c r="B870" i="106"/>
  <c r="D870" i="106" s="1"/>
  <c r="B2827" i="106"/>
  <c r="D2827" i="106" s="1"/>
  <c r="B1253" i="106"/>
  <c r="D1253" i="106" s="1"/>
  <c r="K133" i="29"/>
  <c r="B7774" i="106"/>
  <c r="D7774" i="106" s="1"/>
  <c r="E137" i="29"/>
  <c r="E139" i="29" s="1"/>
  <c r="B2831" i="106"/>
  <c r="D2831" i="106" s="1"/>
  <c r="K201" i="29"/>
  <c r="B2841" i="106" s="1"/>
  <c r="D2841" i="106" s="1"/>
  <c r="B6886" i="106"/>
  <c r="D6886" i="106" s="1"/>
  <c r="K25" i="29"/>
  <c r="F44" i="34" s="1"/>
  <c r="B5359" i="106"/>
  <c r="D5359" i="106" s="1"/>
  <c r="B4408" i="106"/>
  <c r="D4408" i="106" s="1"/>
  <c r="B6296" i="106"/>
  <c r="D6296" i="106" s="1"/>
  <c r="B6253" i="106"/>
  <c r="D6253" i="106" s="1"/>
  <c r="B4333" i="106"/>
  <c r="D4333" i="106" s="1"/>
  <c r="B712" i="106"/>
  <c r="D712" i="106" s="1"/>
  <c r="K18" i="29"/>
  <c r="B1100" i="106" s="1"/>
  <c r="D1100" i="106" s="1"/>
  <c r="B732" i="106"/>
  <c r="D732" i="106" s="1"/>
  <c r="K49" i="29"/>
  <c r="C53" i="29"/>
  <c r="B734" i="106" s="1"/>
  <c r="D734" i="106" s="1"/>
  <c r="B5882" i="106"/>
  <c r="D5882" i="106" s="1"/>
  <c r="H108" i="5"/>
  <c r="B5886" i="106" s="1"/>
  <c r="D5886" i="106" s="1"/>
  <c r="K67" i="29"/>
  <c r="B746" i="106"/>
  <c r="D746" i="106" s="1"/>
  <c r="C72" i="29"/>
  <c r="B753" i="106" s="1"/>
  <c r="D753" i="106" s="1"/>
  <c r="K44" i="29"/>
  <c r="B1116" i="106" s="1"/>
  <c r="D1116" i="106" s="1"/>
  <c r="B728" i="106"/>
  <c r="D728" i="106" s="1"/>
  <c r="C47" i="29"/>
  <c r="B731" i="106" s="1"/>
  <c r="D731" i="106" s="1"/>
  <c r="B6757" i="106"/>
  <c r="D6757" i="106" s="1"/>
  <c r="K323" i="29"/>
  <c r="B7162" i="106" s="1"/>
  <c r="D7162" i="106" s="1"/>
  <c r="B7154" i="106"/>
  <c r="D7154" i="106" s="1"/>
  <c r="K47" i="29"/>
  <c r="I210" i="29"/>
  <c r="B5369" i="106"/>
  <c r="D5369" i="106" s="1"/>
  <c r="D18" i="7"/>
  <c r="B4105" i="106" s="1"/>
  <c r="D4105" i="106" s="1"/>
  <c r="F36" i="34"/>
  <c r="B3675" i="106"/>
  <c r="D3675" i="106" s="1"/>
  <c r="B7076" i="106"/>
  <c r="D7076" i="106" s="1"/>
  <c r="B1053" i="106"/>
  <c r="D1053" i="106" s="1"/>
  <c r="H112" i="29"/>
  <c r="B7018" i="106" s="1"/>
  <c r="D7018" i="106" s="1"/>
  <c r="B6881" i="106"/>
  <c r="D6881" i="106" s="1"/>
  <c r="D8" i="7"/>
  <c r="B1764" i="106" s="1"/>
  <c r="D1764" i="106" s="1"/>
  <c r="C352" i="29"/>
  <c r="B7230" i="106"/>
  <c r="D7230" i="106" s="1"/>
  <c r="F43" i="34"/>
  <c r="B6885" i="106"/>
  <c r="D6885" i="106" s="1"/>
  <c r="B6838" i="106"/>
  <c r="D6838" i="106" s="1"/>
  <c r="H266" i="5"/>
  <c r="B2823" i="106"/>
  <c r="D2823" i="106" s="1"/>
  <c r="B7778" i="106"/>
  <c r="D7778" i="106" s="1"/>
  <c r="B1547" i="106"/>
  <c r="D1547" i="106" s="1"/>
  <c r="G312" i="29"/>
  <c r="B1548" i="106" s="1"/>
  <c r="D1548" i="106" s="1"/>
  <c r="B1529" i="106"/>
  <c r="D1529" i="106" s="1"/>
  <c r="D312" i="29"/>
  <c r="B1530" i="106" s="1"/>
  <c r="D1530" i="106" s="1"/>
  <c r="C129" i="29"/>
  <c r="B7204" i="106"/>
  <c r="D7204" i="106" s="1"/>
  <c r="I170" i="5"/>
  <c r="B1473" i="106"/>
  <c r="D1473" i="106" s="1"/>
  <c r="F28" i="108"/>
  <c r="G14" i="4"/>
  <c r="B2609" i="106" s="1"/>
  <c r="D2609" i="106" s="1"/>
  <c r="B1511" i="106"/>
  <c r="D1511" i="106" s="1"/>
  <c r="B1744" i="106"/>
  <c r="D1744" i="106" s="1"/>
  <c r="D4" i="7"/>
  <c r="B1760" i="106" s="1"/>
  <c r="D1760" i="106" s="1"/>
  <c r="B5147" i="106"/>
  <c r="D5147" i="106" s="1"/>
  <c r="D16" i="7"/>
  <c r="B3447" i="106" s="1"/>
  <c r="D3447" i="106" s="1"/>
  <c r="B3446" i="106"/>
  <c r="D3446" i="106" s="1"/>
  <c r="B2789" i="106"/>
  <c r="D2789" i="106" s="1"/>
  <c r="H196" i="29"/>
  <c r="B2830" i="106" s="1"/>
  <c r="D2830" i="106" s="1"/>
  <c r="B2828" i="106"/>
  <c r="D2828" i="106" s="1"/>
  <c r="B2105" i="106"/>
  <c r="D2105" i="106" s="1"/>
  <c r="K277" i="29"/>
  <c r="B1508" i="106" s="1"/>
  <c r="D1508" i="106" s="1"/>
  <c r="H352" i="29"/>
  <c r="F40" i="34"/>
  <c r="G342" i="29"/>
  <c r="B7220" i="106" s="1"/>
  <c r="D7220" i="106" s="1"/>
  <c r="B7203" i="106"/>
  <c r="D7203" i="106" s="1"/>
  <c r="B2091" i="106"/>
  <c r="D2091" i="106" s="1"/>
  <c r="B5741" i="106"/>
  <c r="D5741" i="106" s="1"/>
  <c r="G5" i="4"/>
  <c r="B3409" i="106" s="1"/>
  <c r="D3409" i="106" s="1"/>
  <c r="K92" i="29"/>
  <c r="B2089" i="106" s="1"/>
  <c r="D2089" i="106" s="1"/>
  <c r="J342" i="29"/>
  <c r="B7223" i="106" s="1"/>
  <c r="D7223" i="106" s="1"/>
  <c r="B7206" i="106"/>
  <c r="D7206" i="106" s="1"/>
  <c r="B727" i="106"/>
  <c r="D727" i="106" s="1"/>
  <c r="F132" i="34"/>
  <c r="B5304" i="106"/>
  <c r="D5304" i="106" s="1"/>
  <c r="B6840" i="106"/>
  <c r="D6840" i="106" s="1"/>
  <c r="K266" i="5"/>
  <c r="C342" i="29"/>
  <c r="B7216" i="106" s="1"/>
  <c r="D7216" i="106" s="1"/>
  <c r="B1107" i="106"/>
  <c r="D1107" i="106" s="1"/>
  <c r="E352" i="29"/>
  <c r="E367" i="29" s="1"/>
  <c r="B3636" i="106" s="1"/>
  <c r="D3636" i="106" s="1"/>
  <c r="H365" i="29"/>
  <c r="B7242" i="106" s="1"/>
  <c r="D7242" i="106" s="1"/>
  <c r="B7107" i="106"/>
  <c r="D7107" i="106" s="1"/>
  <c r="B3647" i="106"/>
  <c r="D3647" i="106" s="1"/>
  <c r="B6301" i="106"/>
  <c r="D6301" i="106" s="1"/>
  <c r="B6891" i="106"/>
  <c r="D6891" i="106" s="1"/>
  <c r="F46" i="34"/>
  <c r="B4211" i="106"/>
  <c r="D4211" i="106" s="1"/>
  <c r="F64" i="34"/>
  <c r="J170" i="5"/>
  <c r="B6357" i="106"/>
  <c r="D6357" i="106" s="1"/>
  <c r="B1555" i="106"/>
  <c r="D1555" i="106" s="1"/>
  <c r="B1535" i="106"/>
  <c r="D1535" i="106" s="1"/>
  <c r="K170" i="5"/>
  <c r="B5360" i="106"/>
  <c r="D5360" i="106" s="1"/>
  <c r="F95" i="34"/>
  <c r="A7264" i="106"/>
  <c r="D7263" i="106"/>
  <c r="B4202" i="106" l="1"/>
  <c r="D4202" i="106" s="1"/>
  <c r="D74" i="29"/>
  <c r="F62" i="34"/>
  <c r="H109" i="5"/>
  <c r="F312" i="29"/>
  <c r="B1542" i="106" s="1"/>
  <c r="D1542" i="106" s="1"/>
  <c r="B6887" i="106"/>
  <c r="D6887" i="106" s="1"/>
  <c r="B1452" i="106"/>
  <c r="D1452" i="106" s="1"/>
  <c r="E35" i="108"/>
  <c r="K340" i="29"/>
  <c r="F127" i="34"/>
  <c r="F14" i="4"/>
  <c r="B2597" i="106" s="1"/>
  <c r="D2597" i="106" s="1"/>
  <c r="D169" i="5"/>
  <c r="F157" i="34"/>
  <c r="K303" i="29"/>
  <c r="J109" i="5"/>
  <c r="E312" i="29"/>
  <c r="B1536" i="106" s="1"/>
  <c r="D1536" i="106" s="1"/>
  <c r="B1136" i="106"/>
  <c r="D1136" i="106" s="1"/>
  <c r="C74" i="29"/>
  <c r="B755" i="106" s="1"/>
  <c r="D755" i="106" s="1"/>
  <c r="K310" i="29"/>
  <c r="I76" i="4"/>
  <c r="B3318" i="106" s="1"/>
  <c r="D3318" i="106" s="1"/>
  <c r="B1142" i="106"/>
  <c r="D1142" i="106" s="1"/>
  <c r="E38" i="108"/>
  <c r="G38" i="108"/>
  <c r="B3252" i="106"/>
  <c r="D3252" i="106" s="1"/>
  <c r="F77" i="4"/>
  <c r="B3255" i="106" s="1"/>
  <c r="D3255" i="106" s="1"/>
  <c r="B6877" i="106"/>
  <c r="D6877" i="106" s="1"/>
  <c r="F39" i="34"/>
  <c r="E129" i="29"/>
  <c r="B1241" i="106" s="1"/>
  <c r="D1241" i="106" s="1"/>
  <c r="B1239" i="106"/>
  <c r="D1239" i="106" s="1"/>
  <c r="B7200" i="106"/>
  <c r="D7200" i="106" s="1"/>
  <c r="D342" i="29"/>
  <c r="B7217" i="106" s="1"/>
  <c r="D7217" i="106" s="1"/>
  <c r="K261" i="29"/>
  <c r="B1491" i="106" s="1"/>
  <c r="D1491" i="106" s="1"/>
  <c r="B1489" i="106"/>
  <c r="D1489" i="106" s="1"/>
  <c r="B5513" i="106"/>
  <c r="D5513" i="106" s="1"/>
  <c r="E109" i="5"/>
  <c r="E14" i="145"/>
  <c r="G14" i="145" s="1"/>
  <c r="B1124" i="106"/>
  <c r="D1124" i="106" s="1"/>
  <c r="J352" i="29"/>
  <c r="B7231" i="106"/>
  <c r="D7231" i="106" s="1"/>
  <c r="B6916" i="106"/>
  <c r="D6916" i="106" s="1"/>
  <c r="I74" i="29"/>
  <c r="B6977" i="106" s="1"/>
  <c r="D6977" i="106" s="1"/>
  <c r="F36" i="108"/>
  <c r="D36" i="108"/>
  <c r="B1137" i="106"/>
  <c r="D1137" i="106" s="1"/>
  <c r="B6883" i="106"/>
  <c r="D6883" i="106" s="1"/>
  <c r="F42" i="34"/>
  <c r="B4102" i="106"/>
  <c r="D4102" i="106" s="1"/>
  <c r="D17" i="7"/>
  <c r="B4104" i="106" s="1"/>
  <c r="D4104" i="106" s="1"/>
  <c r="G77" i="4"/>
  <c r="B3261" i="106" s="1"/>
  <c r="D3261" i="106" s="1"/>
  <c r="B3258" i="106"/>
  <c r="D3258" i="106" s="1"/>
  <c r="D14" i="7"/>
  <c r="B1770" i="106" s="1"/>
  <c r="D1770" i="106" s="1"/>
  <c r="B1754" i="106"/>
  <c r="D1754" i="106" s="1"/>
  <c r="B4395" i="106"/>
  <c r="D4395" i="106" s="1"/>
  <c r="C266" i="5"/>
  <c r="F124" i="34"/>
  <c r="B1753" i="106"/>
  <c r="D1753" i="106" s="1"/>
  <c r="D12" i="7"/>
  <c r="B1769" i="106" s="1"/>
  <c r="D1769" i="106" s="1"/>
  <c r="B4372" i="106"/>
  <c r="D4372" i="106" s="1"/>
  <c r="B6848" i="106"/>
  <c r="D6848" i="106" s="1"/>
  <c r="F34" i="34"/>
  <c r="B901" i="106"/>
  <c r="D901" i="106" s="1"/>
  <c r="F74" i="29"/>
  <c r="B929" i="106" s="1"/>
  <c r="D929" i="106" s="1"/>
  <c r="B7776" i="106"/>
  <c r="D7776" i="106" s="1"/>
  <c r="K137" i="29"/>
  <c r="B7202" i="106"/>
  <c r="D7202" i="106" s="1"/>
  <c r="F342" i="29"/>
  <c r="B7219" i="106" s="1"/>
  <c r="D7219" i="106" s="1"/>
  <c r="B3725" i="106"/>
  <c r="D3725" i="106" s="1"/>
  <c r="D13" i="7"/>
  <c r="B3726" i="106" s="1"/>
  <c r="D3726" i="106" s="1"/>
  <c r="B4373" i="106"/>
  <c r="D4373" i="106" s="1"/>
  <c r="I267" i="5"/>
  <c r="F37" i="34"/>
  <c r="B1104" i="106"/>
  <c r="D1104" i="106" s="1"/>
  <c r="B6899" i="106"/>
  <c r="D6899" i="106" s="1"/>
  <c r="F50" i="34"/>
  <c r="B843" i="106"/>
  <c r="D843" i="106" s="1"/>
  <c r="E74" i="29"/>
  <c r="B5599" i="106"/>
  <c r="D5599" i="106" s="1"/>
  <c r="B1129" i="106"/>
  <c r="D1129" i="106" s="1"/>
  <c r="E29" i="108"/>
  <c r="G29" i="108"/>
  <c r="B5725" i="106"/>
  <c r="D5725" i="106" s="1"/>
  <c r="G109" i="5"/>
  <c r="C210" i="29"/>
  <c r="B1340" i="106" s="1"/>
  <c r="D1340" i="106" s="1"/>
  <c r="B1339" i="106"/>
  <c r="D1339" i="106" s="1"/>
  <c r="B5232" i="106"/>
  <c r="D5232" i="106" s="1"/>
  <c r="F123" i="34"/>
  <c r="K110" i="29"/>
  <c r="B1146" i="106"/>
  <c r="D1146" i="106" s="1"/>
  <c r="E174" i="29"/>
  <c r="B1309" i="106" s="1"/>
  <c r="D1309" i="106" s="1"/>
  <c r="B1308" i="106"/>
  <c r="D1308" i="106" s="1"/>
  <c r="B1283" i="106"/>
  <c r="D1283" i="106" s="1"/>
  <c r="K147" i="29"/>
  <c r="F69" i="34"/>
  <c r="B7078" i="106"/>
  <c r="D7078" i="106" s="1"/>
  <c r="D31" i="108"/>
  <c r="B1131" i="106"/>
  <c r="D1131" i="106" s="1"/>
  <c r="E16" i="145"/>
  <c r="G16" i="145" s="1"/>
  <c r="F31" i="108"/>
  <c r="B1523" i="106"/>
  <c r="D1523" i="106" s="1"/>
  <c r="C312" i="29"/>
  <c r="B1524" i="106" s="1"/>
  <c r="D1524" i="106" s="1"/>
  <c r="B6902" i="106"/>
  <c r="D6902" i="106" s="1"/>
  <c r="I114" i="29"/>
  <c r="B1123" i="106"/>
  <c r="D1123" i="106" s="1"/>
  <c r="K57" i="29"/>
  <c r="B1745" i="106"/>
  <c r="D1745" i="106" s="1"/>
  <c r="D5" i="7"/>
  <c r="B1761" i="106" s="1"/>
  <c r="D1761" i="106" s="1"/>
  <c r="B3390" i="106"/>
  <c r="D3390" i="106" s="1"/>
  <c r="K229" i="29"/>
  <c r="B4156" i="106"/>
  <c r="D4156" i="106" s="1"/>
  <c r="H208" i="29"/>
  <c r="B1486" i="106"/>
  <c r="D1486" i="106" s="1"/>
  <c r="K257" i="29"/>
  <c r="B1488" i="106" s="1"/>
  <c r="D1488" i="106" s="1"/>
  <c r="F94" i="34"/>
  <c r="B5096" i="106"/>
  <c r="D5096" i="106" s="1"/>
  <c r="B6997" i="106"/>
  <c r="D6997" i="106" s="1"/>
  <c r="K100" i="29"/>
  <c r="B7013" i="106" s="1"/>
  <c r="D7013" i="106" s="1"/>
  <c r="B5246" i="106"/>
  <c r="D5246" i="106" s="1"/>
  <c r="F125" i="34"/>
  <c r="K33" i="29"/>
  <c r="B1093" i="106"/>
  <c r="D1093" i="106" s="1"/>
  <c r="J210" i="29"/>
  <c r="B7072" i="106" s="1"/>
  <c r="D7072" i="106" s="1"/>
  <c r="B7064" i="106"/>
  <c r="D7064" i="106" s="1"/>
  <c r="B1109" i="106"/>
  <c r="D1109" i="106" s="1"/>
  <c r="K42" i="29"/>
  <c r="F49" i="34"/>
  <c r="B6897" i="106"/>
  <c r="D6897" i="106" s="1"/>
  <c r="B1017" i="106"/>
  <c r="D1017" i="106" s="1"/>
  <c r="H74" i="29"/>
  <c r="B1045" i="106" s="1"/>
  <c r="D1045" i="106" s="1"/>
  <c r="H172" i="29"/>
  <c r="B1314" i="106"/>
  <c r="D1314" i="106" s="1"/>
  <c r="B5178" i="106"/>
  <c r="D5178" i="106" s="1"/>
  <c r="F111" i="34"/>
  <c r="B7794" i="106"/>
  <c r="D7794" i="106" s="1"/>
  <c r="B3674" i="106"/>
  <c r="D3674" i="106" s="1"/>
  <c r="B4398" i="106"/>
  <c r="D4398" i="106" s="1"/>
  <c r="G266" i="5"/>
  <c r="B5863" i="106" s="1"/>
  <c r="D5863" i="106" s="1"/>
  <c r="B6835" i="106"/>
  <c r="D6835" i="106" s="1"/>
  <c r="E266" i="5"/>
  <c r="B7747" i="106" s="1"/>
  <c r="D7747" i="106" s="1"/>
  <c r="B3229" i="106"/>
  <c r="D3229" i="106" s="1"/>
  <c r="C77" i="4"/>
  <c r="B3232" i="106" s="1"/>
  <c r="D3232" i="106" s="1"/>
  <c r="E44" i="4"/>
  <c r="F70" i="34"/>
  <c r="B1470" i="106"/>
  <c r="D1470" i="106" s="1"/>
  <c r="F266" i="5"/>
  <c r="B4397" i="106"/>
  <c r="D4397" i="106" s="1"/>
  <c r="B5614" i="106"/>
  <c r="D5614" i="106" s="1"/>
  <c r="F169" i="5"/>
  <c r="B5644" i="106" s="1"/>
  <c r="D5644" i="106" s="1"/>
  <c r="F352" i="29"/>
  <c r="B3640" i="106"/>
  <c r="D3640" i="106" s="1"/>
  <c r="B4080" i="106"/>
  <c r="D4080" i="106" s="1"/>
  <c r="K357" i="29"/>
  <c r="K15" i="4" s="1"/>
  <c r="B3573" i="106" s="1"/>
  <c r="D3573" i="106" s="1"/>
  <c r="B3673" i="106"/>
  <c r="D3673" i="106" s="1"/>
  <c r="B7792" i="106"/>
  <c r="D7792" i="106" s="1"/>
  <c r="F27" i="108"/>
  <c r="B1127" i="106"/>
  <c r="D1127" i="106" s="1"/>
  <c r="D27" i="108"/>
  <c r="D7" i="7"/>
  <c r="B1763" i="106" s="1"/>
  <c r="D1763" i="106" s="1"/>
  <c r="B1747" i="106"/>
  <c r="D1747" i="106" s="1"/>
  <c r="I129" i="29"/>
  <c r="I151" i="29" s="1"/>
  <c r="K65" i="29"/>
  <c r="B1133" i="106" s="1"/>
  <c r="D1133" i="106" s="1"/>
  <c r="E102" i="29"/>
  <c r="B2790" i="106" s="1"/>
  <c r="D2790" i="106" s="1"/>
  <c r="F105" i="34"/>
  <c r="E28" i="108"/>
  <c r="K160" i="29"/>
  <c r="E15" i="4" s="1"/>
  <c r="B2633" i="106" s="1"/>
  <c r="D2633" i="106" s="1"/>
  <c r="F106" i="34"/>
  <c r="E17" i="145"/>
  <c r="G17" i="145" s="1"/>
  <c r="B1134" i="106"/>
  <c r="D1134" i="106" s="1"/>
  <c r="K72" i="29"/>
  <c r="B1141" i="106" s="1"/>
  <c r="D1141" i="106" s="1"/>
  <c r="G33" i="108"/>
  <c r="E33" i="108"/>
  <c r="B1120" i="106"/>
  <c r="D1120" i="106" s="1"/>
  <c r="K53" i="29"/>
  <c r="F151" i="29"/>
  <c r="B1250" i="106" s="1"/>
  <c r="D1250" i="106" s="1"/>
  <c r="B1249" i="106"/>
  <c r="D1249" i="106" s="1"/>
  <c r="B6889" i="106"/>
  <c r="D6889" i="106" s="1"/>
  <c r="F45" i="34"/>
  <c r="B1135" i="106"/>
  <c r="D1135" i="106" s="1"/>
  <c r="G34" i="108"/>
  <c r="E34" i="108"/>
  <c r="B1512" i="106"/>
  <c r="D1512" i="106" s="1"/>
  <c r="K293" i="29"/>
  <c r="B959" i="106"/>
  <c r="D959" i="106" s="1"/>
  <c r="G74" i="29"/>
  <c r="H129" i="29"/>
  <c r="B1266" i="106" s="1"/>
  <c r="D1266" i="106" s="1"/>
  <c r="B7126" i="106"/>
  <c r="D7126" i="106" s="1"/>
  <c r="K330" i="29"/>
  <c r="I342" i="29"/>
  <c r="B7222" i="106" s="1"/>
  <c r="D7222" i="106" s="1"/>
  <c r="B7205" i="106"/>
  <c r="D7205" i="106" s="1"/>
  <c r="H170" i="5"/>
  <c r="B5893" i="106"/>
  <c r="D5893" i="106" s="1"/>
  <c r="E342" i="29"/>
  <c r="B7218" i="106" s="1"/>
  <c r="D7218" i="106" s="1"/>
  <c r="B7201" i="106"/>
  <c r="D7201" i="106" s="1"/>
  <c r="B1756" i="106"/>
  <c r="D1756" i="106" s="1"/>
  <c r="D15" i="7"/>
  <c r="B1772" i="106" s="1"/>
  <c r="D1772" i="106" s="1"/>
  <c r="B1482" i="106"/>
  <c r="D1482" i="106" s="1"/>
  <c r="K243" i="29"/>
  <c r="B1485" i="106" s="1"/>
  <c r="D1485" i="106" s="1"/>
  <c r="B6853" i="106"/>
  <c r="D6853" i="106" s="1"/>
  <c r="F35" i="34"/>
  <c r="B7074" i="106"/>
  <c r="D7074" i="106" s="1"/>
  <c r="F67" i="34"/>
  <c r="B1746" i="106"/>
  <c r="D1746" i="106" s="1"/>
  <c r="D6" i="7"/>
  <c r="B1762" i="106" s="1"/>
  <c r="D1762" i="106" s="1"/>
  <c r="H44" i="4"/>
  <c r="K334" i="29"/>
  <c r="B7786" i="106"/>
  <c r="D7786" i="106" s="1"/>
  <c r="B2724" i="106"/>
  <c r="D2724" i="106" s="1"/>
  <c r="E13" i="145"/>
  <c r="G13" i="145" s="1"/>
  <c r="B1358" i="106"/>
  <c r="D1358" i="106" s="1"/>
  <c r="F210" i="29"/>
  <c r="B1359" i="106" s="1"/>
  <c r="D1359" i="106" s="1"/>
  <c r="B6901" i="106"/>
  <c r="D6901" i="106" s="1"/>
  <c r="F51" i="34"/>
  <c r="G30" i="108"/>
  <c r="B1130" i="106"/>
  <c r="D1130" i="106" s="1"/>
  <c r="E30" i="108"/>
  <c r="G26" i="108"/>
  <c r="F15" i="145"/>
  <c r="F19" i="145" s="1"/>
  <c r="B1274" i="106"/>
  <c r="D1274" i="106" s="1"/>
  <c r="K127" i="29"/>
  <c r="B1279" i="106" s="1"/>
  <c r="D1279" i="106" s="1"/>
  <c r="E26" i="108"/>
  <c r="B6839" i="106"/>
  <c r="D6839" i="106" s="1"/>
  <c r="J266" i="5"/>
  <c r="D3583" i="106"/>
  <c r="B3635" i="106"/>
  <c r="D3635" i="106" s="1"/>
  <c r="F48" i="34"/>
  <c r="B6895" i="106"/>
  <c r="D6895" i="106" s="1"/>
  <c r="H102" i="29"/>
  <c r="B1047" i="106" s="1"/>
  <c r="D1047" i="106" s="1"/>
  <c r="B2081" i="106"/>
  <c r="D2081" i="106" s="1"/>
  <c r="B6917" i="106"/>
  <c r="D6917" i="106" s="1"/>
  <c r="J74" i="29"/>
  <c r="B6978" i="106" s="1"/>
  <c r="D6978" i="106" s="1"/>
  <c r="E12" i="145"/>
  <c r="B1121" i="106"/>
  <c r="D1121" i="106" s="1"/>
  <c r="B3235" i="106"/>
  <c r="D3235" i="106" s="1"/>
  <c r="D77" i="4"/>
  <c r="B3238" i="106" s="1"/>
  <c r="D3238" i="106" s="1"/>
  <c r="B5918" i="106"/>
  <c r="D5918" i="106" s="1"/>
  <c r="I109" i="5"/>
  <c r="B1749" i="106"/>
  <c r="D1749" i="106" s="1"/>
  <c r="D10" i="7"/>
  <c r="B1765" i="106" s="1"/>
  <c r="D1765" i="106" s="1"/>
  <c r="B4087" i="106"/>
  <c r="D4087" i="106" s="1"/>
  <c r="K184" i="29"/>
  <c r="B5165" i="106"/>
  <c r="D5165" i="106" s="1"/>
  <c r="F107" i="34"/>
  <c r="B7784" i="106"/>
  <c r="D7784" i="106" s="1"/>
  <c r="K285" i="29"/>
  <c r="D352" i="29"/>
  <c r="B3626" i="106"/>
  <c r="D3626" i="106" s="1"/>
  <c r="B5260" i="106"/>
  <c r="D5260" i="106" s="1"/>
  <c r="F126" i="34"/>
  <c r="B7038" i="106"/>
  <c r="D7038" i="106" s="1"/>
  <c r="J151" i="29"/>
  <c r="B7052" i="106" s="1"/>
  <c r="D7052" i="106" s="1"/>
  <c r="B5987" i="106"/>
  <c r="D5987" i="106" s="1"/>
  <c r="K109" i="5"/>
  <c r="B7103" i="106"/>
  <c r="D7103" i="106" s="1"/>
  <c r="I312" i="29"/>
  <c r="B7116" i="106" s="1"/>
  <c r="D7116" i="106" s="1"/>
  <c r="B3668" i="106"/>
  <c r="D3668" i="106" s="1"/>
  <c r="K350" i="29"/>
  <c r="B1345" i="106"/>
  <c r="D1345" i="106" s="1"/>
  <c r="D210" i="29"/>
  <c r="B1346" i="106" s="1"/>
  <c r="D1346" i="106" s="1"/>
  <c r="B5066" i="106"/>
  <c r="D5066" i="106" s="1"/>
  <c r="C109" i="5"/>
  <c r="B19" i="7"/>
  <c r="B1759" i="106" s="1"/>
  <c r="D1759" i="106" s="1"/>
  <c r="B7047" i="106"/>
  <c r="D7047" i="106" s="1"/>
  <c r="H149" i="29"/>
  <c r="B1272" i="106" s="1"/>
  <c r="D1272" i="106" s="1"/>
  <c r="B894" i="106"/>
  <c r="D894" i="106" s="1"/>
  <c r="F52" i="34"/>
  <c r="C14" i="4"/>
  <c r="B2558" i="106" s="1"/>
  <c r="D2558" i="106" s="1"/>
  <c r="G39" i="108"/>
  <c r="E39" i="108"/>
  <c r="B1144" i="106"/>
  <c r="D1144" i="106" s="1"/>
  <c r="D129" i="29"/>
  <c r="B5534" i="106"/>
  <c r="D5534" i="106" s="1"/>
  <c r="E170" i="5"/>
  <c r="B3007" i="106"/>
  <c r="D3007" i="106" s="1"/>
  <c r="K194" i="29"/>
  <c r="B1475" i="106"/>
  <c r="D1475" i="106" s="1"/>
  <c r="K238" i="29"/>
  <c r="B1417" i="106"/>
  <c r="D1417" i="106" s="1"/>
  <c r="D279" i="29"/>
  <c r="B1492" i="106"/>
  <c r="D1492" i="106" s="1"/>
  <c r="K270" i="29"/>
  <c r="B1500" i="106" s="1"/>
  <c r="D1500" i="106" s="1"/>
  <c r="B2805" i="106"/>
  <c r="D2805" i="106" s="1"/>
  <c r="F56" i="34"/>
  <c r="D14" i="4"/>
  <c r="B2570" i="106" s="1"/>
  <c r="D2570" i="106" s="1"/>
  <c r="B5334" i="106"/>
  <c r="D5334" i="106" s="1"/>
  <c r="D109" i="5"/>
  <c r="B1752" i="106"/>
  <c r="D1752" i="106" s="1"/>
  <c r="D11" i="7"/>
  <c r="B1768" i="106" s="1"/>
  <c r="D1768" i="106" s="1"/>
  <c r="B4396" i="106"/>
  <c r="D4396" i="106" s="1"/>
  <c r="D266" i="5"/>
  <c r="B1383" i="106"/>
  <c r="D1383" i="106" s="1"/>
  <c r="K204" i="29"/>
  <c r="D9" i="7"/>
  <c r="B1767" i="106" s="1"/>
  <c r="D1767" i="106" s="1"/>
  <c r="B1751" i="106"/>
  <c r="D1751" i="106" s="1"/>
  <c r="B3702" i="106"/>
  <c r="D3702" i="106" s="1"/>
  <c r="K76" i="4"/>
  <c r="B3586" i="106" s="1"/>
  <c r="D3586" i="106" s="1"/>
  <c r="B1126" i="106"/>
  <c r="D1126" i="106" s="1"/>
  <c r="E15" i="145"/>
  <c r="G15" i="145" s="1"/>
  <c r="F26" i="108"/>
  <c r="D26" i="108"/>
  <c r="F5" i="4"/>
  <c r="B3408" i="106" s="1"/>
  <c r="D3408" i="106" s="1"/>
  <c r="B5592" i="106"/>
  <c r="D5592" i="106" s="1"/>
  <c r="B2973" i="106"/>
  <c r="D2973" i="106" s="1"/>
  <c r="K84" i="29"/>
  <c r="B2088" i="106" s="1"/>
  <c r="D2088" i="106" s="1"/>
  <c r="F61" i="34"/>
  <c r="B1329" i="106"/>
  <c r="D1329" i="106" s="1"/>
  <c r="B7104" i="106"/>
  <c r="D7104" i="106" s="1"/>
  <c r="J312" i="29"/>
  <c r="B7117" i="106" s="1"/>
  <c r="D7117" i="106" s="1"/>
  <c r="H312" i="29"/>
  <c r="B1554" i="106" s="1"/>
  <c r="D1554" i="106" s="1"/>
  <c r="B1553" i="106"/>
  <c r="D1553" i="106" s="1"/>
  <c r="G129" i="29"/>
  <c r="B1324" i="106"/>
  <c r="D1324" i="106" s="1"/>
  <c r="K168" i="29"/>
  <c r="B5132" i="106"/>
  <c r="D5132" i="106" s="1"/>
  <c r="B1139" i="106"/>
  <c r="D1139" i="106" s="1"/>
  <c r="D37" i="108"/>
  <c r="F37" i="108"/>
  <c r="C169" i="5"/>
  <c r="B5214" i="106" s="1"/>
  <c r="D5214" i="106" s="1"/>
  <c r="B5125" i="106"/>
  <c r="D5125" i="106" s="1"/>
  <c r="C5" i="4"/>
  <c r="B3405" i="106" s="1"/>
  <c r="D3405" i="106" s="1"/>
  <c r="B5752" i="106"/>
  <c r="D5752" i="106" s="1"/>
  <c r="G169" i="5"/>
  <c r="F47" i="34"/>
  <c r="B6893" i="106"/>
  <c r="D6893" i="106" s="1"/>
  <c r="B6238" i="106"/>
  <c r="D6238" i="106" s="1"/>
  <c r="J77" i="4"/>
  <c r="B6262" i="106" s="1"/>
  <c r="D6262" i="106" s="1"/>
  <c r="B5557" i="106"/>
  <c r="D5557" i="106" s="1"/>
  <c r="F109" i="5"/>
  <c r="B6903" i="106"/>
  <c r="D6903" i="106" s="1"/>
  <c r="J114" i="29"/>
  <c r="B7021" i="106" s="1"/>
  <c r="D7021" i="106" s="1"/>
  <c r="B1364" i="106"/>
  <c r="D1364" i="106" s="1"/>
  <c r="G210" i="29"/>
  <c r="K6" i="4"/>
  <c r="B6014" i="106"/>
  <c r="D6014" i="106" s="1"/>
  <c r="B6025" i="106"/>
  <c r="D6025" i="106" s="1"/>
  <c r="H4" i="4"/>
  <c r="B2655" i="106" s="1"/>
  <c r="D2655" i="106" s="1"/>
  <c r="I77" i="4"/>
  <c r="B3319" i="106" s="1"/>
  <c r="D3319" i="106" s="1"/>
  <c r="H267" i="5"/>
  <c r="B4441" i="106"/>
  <c r="D4441" i="106" s="1"/>
  <c r="B1119" i="106"/>
  <c r="D1119" i="106" s="1"/>
  <c r="G22" i="108"/>
  <c r="E22" i="108"/>
  <c r="B7037" i="106"/>
  <c r="D7037" i="106" s="1"/>
  <c r="B1559" i="106"/>
  <c r="D1559" i="106" s="1"/>
  <c r="J4" i="4"/>
  <c r="B6220" i="106" s="1"/>
  <c r="D6220" i="106" s="1"/>
  <c r="B6352" i="106"/>
  <c r="D6352" i="106" s="1"/>
  <c r="B2102" i="106"/>
  <c r="D2102" i="106" s="1"/>
  <c r="H15" i="4"/>
  <c r="B2660" i="106" s="1"/>
  <c r="D2660" i="106" s="1"/>
  <c r="B4203" i="106"/>
  <c r="D4203" i="106" s="1"/>
  <c r="B4442" i="106"/>
  <c r="D4442" i="106" s="1"/>
  <c r="K267" i="5"/>
  <c r="C114" i="29"/>
  <c r="B757" i="106" s="1"/>
  <c r="D757" i="106" s="1"/>
  <c r="J16" i="4"/>
  <c r="B7215" i="106"/>
  <c r="D7215" i="106" s="1"/>
  <c r="K342" i="29"/>
  <c r="B1352" i="106"/>
  <c r="D1352" i="106" s="1"/>
  <c r="E210" i="29"/>
  <c r="B1353" i="106" s="1"/>
  <c r="D1353" i="106" s="1"/>
  <c r="D170" i="5"/>
  <c r="B5412" i="106"/>
  <c r="D5412" i="106" s="1"/>
  <c r="C367" i="29"/>
  <c r="B3622" i="106" s="1"/>
  <c r="D3622" i="106" s="1"/>
  <c r="B3621" i="106"/>
  <c r="D3621" i="106" s="1"/>
  <c r="J6" i="4"/>
  <c r="B6221" i="106" s="1"/>
  <c r="D6221" i="106" s="1"/>
  <c r="B6397" i="106"/>
  <c r="D6397" i="106" s="1"/>
  <c r="G367" i="29"/>
  <c r="B3650" i="106" s="1"/>
  <c r="D3650" i="106" s="1"/>
  <c r="B3649" i="106"/>
  <c r="D3649" i="106" s="1"/>
  <c r="H367" i="29"/>
  <c r="B3660" i="106" s="1"/>
  <c r="D3660" i="106" s="1"/>
  <c r="B3656" i="106"/>
  <c r="D3656" i="106" s="1"/>
  <c r="D114" i="29"/>
  <c r="B815" i="106" s="1"/>
  <c r="D815" i="106" s="1"/>
  <c r="B813" i="106"/>
  <c r="D813" i="106" s="1"/>
  <c r="I6" i="4"/>
  <c r="B5011" i="106" s="1"/>
  <c r="D5011" i="106" s="1"/>
  <c r="B4216" i="106"/>
  <c r="D4216" i="106" s="1"/>
  <c r="C151" i="29"/>
  <c r="B1226" i="106" s="1"/>
  <c r="D1226" i="106" s="1"/>
  <c r="B1225" i="106"/>
  <c r="D1225" i="106" s="1"/>
  <c r="F60" i="34"/>
  <c r="I367" i="29"/>
  <c r="B7244" i="106" s="1"/>
  <c r="D7244" i="106" s="1"/>
  <c r="B7234" i="106"/>
  <c r="D7234" i="106" s="1"/>
  <c r="K365" i="29"/>
  <c r="B3676" i="106"/>
  <c r="D3676" i="106" s="1"/>
  <c r="B7071" i="106"/>
  <c r="D7071" i="106" s="1"/>
  <c r="F66" i="34"/>
  <c r="A7265" i="106"/>
  <c r="D7264" i="106"/>
  <c r="F174" i="34" l="1"/>
  <c r="H151" i="29"/>
  <c r="B1273" i="106" s="1"/>
  <c r="D1273" i="106" s="1"/>
  <c r="H114" i="29"/>
  <c r="B1054" i="106" s="1"/>
  <c r="D1054" i="106" s="1"/>
  <c r="K268" i="5"/>
  <c r="B6023" i="106" s="1"/>
  <c r="D6023" i="106" s="1"/>
  <c r="K74" i="29"/>
  <c r="K312" i="29"/>
  <c r="B1560" i="106" s="1"/>
  <c r="D1560" i="106" s="1"/>
  <c r="D41" i="108"/>
  <c r="E43" i="108" s="1"/>
  <c r="E151" i="29"/>
  <c r="B1242" i="106" s="1"/>
  <c r="D1242" i="106" s="1"/>
  <c r="H13" i="4"/>
  <c r="K102" i="29"/>
  <c r="F114" i="29"/>
  <c r="B931" i="106" s="1"/>
  <c r="D931" i="106" s="1"/>
  <c r="G267" i="5"/>
  <c r="B4157" i="106"/>
  <c r="D4157" i="106" s="1"/>
  <c r="K208" i="29"/>
  <c r="D267" i="5"/>
  <c r="B5501" i="106"/>
  <c r="D5501" i="106" s="1"/>
  <c r="D4" i="4"/>
  <c r="B2564" i="106" s="1"/>
  <c r="D2564" i="106" s="1"/>
  <c r="B5356" i="106"/>
  <c r="D5356" i="106" s="1"/>
  <c r="F65" i="34"/>
  <c r="B1365" i="106"/>
  <c r="D1365" i="106" s="1"/>
  <c r="B5588" i="106"/>
  <c r="D5588" i="106" s="1"/>
  <c r="F4" i="4"/>
  <c r="B2591" i="106" s="1"/>
  <c r="D2591" i="106" s="1"/>
  <c r="G170" i="5"/>
  <c r="B5770" i="106"/>
  <c r="D5770" i="106" s="1"/>
  <c r="C170" i="5"/>
  <c r="B1328" i="106"/>
  <c r="D1328" i="106" s="1"/>
  <c r="K172" i="29"/>
  <c r="B1258" i="106"/>
  <c r="D1258" i="106" s="1"/>
  <c r="G151" i="29"/>
  <c r="F41" i="108"/>
  <c r="G43" i="108" s="1"/>
  <c r="D295" i="29"/>
  <c r="B1448" i="106" s="1"/>
  <c r="D1448" i="106" s="1"/>
  <c r="B1446" i="106"/>
  <c r="D1446" i="106" s="1"/>
  <c r="B1481" i="106"/>
  <c r="D1481" i="106" s="1"/>
  <c r="K279" i="29"/>
  <c r="K196" i="29"/>
  <c r="B2837" i="106"/>
  <c r="D2837" i="106" s="1"/>
  <c r="E6" i="4"/>
  <c r="B2631" i="106" s="1"/>
  <c r="D2631" i="106" s="1"/>
  <c r="B5544" i="106"/>
  <c r="D5544" i="106" s="1"/>
  <c r="B1233" i="106"/>
  <c r="D1233" i="106" s="1"/>
  <c r="D151" i="29"/>
  <c r="B1234" i="106" s="1"/>
  <c r="D1234" i="106" s="1"/>
  <c r="D367" i="29"/>
  <c r="B3629" i="106" s="1"/>
  <c r="D3629" i="106" s="1"/>
  <c r="B3628" i="106"/>
  <c r="D3628" i="106" s="1"/>
  <c r="E19" i="145"/>
  <c r="G12" i="145"/>
  <c r="G19" i="145" s="1"/>
  <c r="J20" i="145" s="1"/>
  <c r="F74" i="34"/>
  <c r="J15" i="4"/>
  <c r="B7796" i="106" s="1"/>
  <c r="D7796" i="106" s="1"/>
  <c r="B7790" i="106"/>
  <c r="D7790" i="106" s="1"/>
  <c r="B7207" i="106"/>
  <c r="D7207" i="106" s="1"/>
  <c r="J13" i="4"/>
  <c r="B7042" i="106" s="1"/>
  <c r="D7042" i="106" s="1"/>
  <c r="B1122" i="106"/>
  <c r="D1122" i="106" s="1"/>
  <c r="E23" i="108"/>
  <c r="G23" i="108"/>
  <c r="K174" i="29"/>
  <c r="K77" i="4"/>
  <c r="B3587" i="106" s="1"/>
  <c r="D3587" i="106" s="1"/>
  <c r="B3642" i="106"/>
  <c r="D3642" i="106" s="1"/>
  <c r="F367" i="29"/>
  <c r="B3643" i="106" s="1"/>
  <c r="D3643" i="106" s="1"/>
  <c r="B5713" i="106"/>
  <c r="D5713" i="106" s="1"/>
  <c r="F267" i="5"/>
  <c r="E21" i="108"/>
  <c r="G21" i="108"/>
  <c r="B1115" i="106"/>
  <c r="D1115" i="106" s="1"/>
  <c r="H210" i="29"/>
  <c r="B1376" i="106" s="1"/>
  <c r="D1376" i="106" s="1"/>
  <c r="B1375" i="106"/>
  <c r="D1375" i="106" s="1"/>
  <c r="G12" i="4"/>
  <c r="B2607" i="106" s="1"/>
  <c r="D2607" i="106" s="1"/>
  <c r="B1474" i="106"/>
  <c r="D1474" i="106" s="1"/>
  <c r="B1125" i="106"/>
  <c r="D1125" i="106" s="1"/>
  <c r="E24" i="108"/>
  <c r="G24" i="108"/>
  <c r="F55" i="34"/>
  <c r="B7020" i="106"/>
  <c r="D7020" i="106" s="1"/>
  <c r="B7048" i="106"/>
  <c r="D7048" i="106" s="1"/>
  <c r="K149" i="29"/>
  <c r="B6024" i="106"/>
  <c r="D6024" i="106" s="1"/>
  <c r="G4" i="4"/>
  <c r="C267" i="5"/>
  <c r="B5320" i="106"/>
  <c r="D5320" i="106" s="1"/>
  <c r="B7235" i="106"/>
  <c r="D7235" i="106" s="1"/>
  <c r="J367" i="29"/>
  <c r="B7245" i="106" s="1"/>
  <c r="D7245" i="106" s="1"/>
  <c r="B5121" i="106"/>
  <c r="D5121" i="106" s="1"/>
  <c r="C4" i="4"/>
  <c r="C268" i="5"/>
  <c r="B5327" i="106" s="1"/>
  <c r="D5327" i="106" s="1"/>
  <c r="K352" i="29"/>
  <c r="K367" i="29" s="1"/>
  <c r="B3670" i="106"/>
  <c r="D3670" i="106" s="1"/>
  <c r="B6028" i="106"/>
  <c r="D6028" i="106" s="1"/>
  <c r="K4" i="4"/>
  <c r="B3569" i="106" s="1"/>
  <c r="D3569" i="106" s="1"/>
  <c r="G15" i="4"/>
  <c r="B6032" i="106" s="1"/>
  <c r="D6032" i="106" s="1"/>
  <c r="F73" i="34"/>
  <c r="B3724" i="106"/>
  <c r="D3724" i="106" s="1"/>
  <c r="F13" i="4"/>
  <c r="B1381" i="106"/>
  <c r="D1381" i="106" s="1"/>
  <c r="I268" i="5"/>
  <c r="B5946" i="106" s="1"/>
  <c r="D5946" i="106" s="1"/>
  <c r="B6026" i="106"/>
  <c r="D6026" i="106" s="1"/>
  <c r="I4" i="4"/>
  <c r="B3225" i="106" s="1"/>
  <c r="D3225" i="106" s="1"/>
  <c r="J267" i="5"/>
  <c r="B7041" i="106"/>
  <c r="D7041" i="106" s="1"/>
  <c r="B3296" i="106"/>
  <c r="D3296" i="106" s="1"/>
  <c r="H77" i="4"/>
  <c r="B3299" i="106" s="1"/>
  <c r="D3299" i="106" s="1"/>
  <c r="B5906" i="106"/>
  <c r="D5906" i="106" s="1"/>
  <c r="H6" i="4"/>
  <c r="B2656" i="106" s="1"/>
  <c r="D2656" i="106" s="1"/>
  <c r="B987" i="106"/>
  <c r="D987" i="106" s="1"/>
  <c r="G114" i="29"/>
  <c r="B1515" i="106"/>
  <c r="D1515" i="106" s="1"/>
  <c r="G16" i="4"/>
  <c r="B2611" i="106" s="1"/>
  <c r="D2611" i="106" s="1"/>
  <c r="D19" i="7"/>
  <c r="B1775" i="106" s="1"/>
  <c r="D1775" i="106" s="1"/>
  <c r="K129" i="29"/>
  <c r="E77" i="4"/>
  <c r="B3277" i="106" s="1"/>
  <c r="D3277" i="106" s="1"/>
  <c r="B3274" i="106"/>
  <c r="D3274" i="106" s="1"/>
  <c r="B1317" i="106"/>
  <c r="D1317" i="106" s="1"/>
  <c r="H174" i="29"/>
  <c r="B1318" i="106" s="1"/>
  <c r="D1318" i="106" s="1"/>
  <c r="C12" i="4"/>
  <c r="B2556" i="106" s="1"/>
  <c r="D2556" i="106" s="1"/>
  <c r="B1108" i="106"/>
  <c r="D1108" i="106" s="1"/>
  <c r="G19" i="108"/>
  <c r="G41" i="108" s="1"/>
  <c r="G44" i="108" s="1"/>
  <c r="G45" i="108" s="1"/>
  <c r="E19" i="108"/>
  <c r="E41" i="108" s="1"/>
  <c r="E44" i="108" s="1"/>
  <c r="E45" i="108" s="1"/>
  <c r="B1151" i="106"/>
  <c r="D1151" i="106" s="1"/>
  <c r="K112" i="29"/>
  <c r="F170" i="5"/>
  <c r="E114" i="29"/>
  <c r="B873" i="106" s="1"/>
  <c r="D873" i="106" s="1"/>
  <c r="B871" i="106"/>
  <c r="D871" i="106" s="1"/>
  <c r="I7" i="4"/>
  <c r="B4444" i="106" s="1"/>
  <c r="D4444" i="106" s="1"/>
  <c r="B4435" i="106"/>
  <c r="D4435" i="106" s="1"/>
  <c r="B2093" i="106"/>
  <c r="D2093" i="106" s="1"/>
  <c r="K139" i="29"/>
  <c r="E267" i="5"/>
  <c r="B5527" i="106"/>
  <c r="D5527" i="106" s="1"/>
  <c r="E4" i="4"/>
  <c r="C15" i="4"/>
  <c r="B2559" i="106" s="1"/>
  <c r="D2559" i="106" s="1"/>
  <c r="B7224" i="106"/>
  <c r="D7224" i="106" s="1"/>
  <c r="F13" i="34"/>
  <c r="B1143" i="106"/>
  <c r="D1143" i="106" s="1"/>
  <c r="C13" i="4"/>
  <c r="B2557" i="106" s="1"/>
  <c r="D2557" i="106" s="1"/>
  <c r="B3570" i="106"/>
  <c r="D3570" i="106" s="1"/>
  <c r="B6226" i="106"/>
  <c r="D6226" i="106" s="1"/>
  <c r="I8" i="4"/>
  <c r="I20" i="4" s="1"/>
  <c r="K16" i="4"/>
  <c r="B7243" i="106"/>
  <c r="D7243" i="106" s="1"/>
  <c r="D6" i="4"/>
  <c r="D268" i="5"/>
  <c r="B5421" i="106"/>
  <c r="D5421" i="106" s="1"/>
  <c r="B6022" i="106"/>
  <c r="D6022" i="106" s="1"/>
  <c r="K7" i="4"/>
  <c r="B3718" i="106" s="1"/>
  <c r="D3718" i="106" s="1"/>
  <c r="B2659" i="106"/>
  <c r="D2659" i="106" s="1"/>
  <c r="H17" i="4"/>
  <c r="B7051" i="106"/>
  <c r="D7051" i="106" s="1"/>
  <c r="F59" i="34"/>
  <c r="F17" i="11"/>
  <c r="H7" i="4"/>
  <c r="H268" i="5"/>
  <c r="B5914" i="106"/>
  <c r="D5914" i="106" s="1"/>
  <c r="A7266" i="106"/>
  <c r="D7265" i="106"/>
  <c r="B5869" i="106" l="1"/>
  <c r="D5869" i="106" s="1"/>
  <c r="G7" i="4"/>
  <c r="B2605" i="106" s="1"/>
  <c r="D2605" i="106" s="1"/>
  <c r="F53" i="34"/>
  <c r="B1145" i="106"/>
  <c r="D1145" i="106" s="1"/>
  <c r="E8" i="146"/>
  <c r="E10" i="146" s="1"/>
  <c r="J17" i="4"/>
  <c r="B6227" i="106" s="1"/>
  <c r="D6227" i="106" s="1"/>
  <c r="B2630" i="106"/>
  <c r="D2630" i="106" s="1"/>
  <c r="E268" i="5"/>
  <c r="B4434" i="106"/>
  <c r="D4434" i="106" s="1"/>
  <c r="E7" i="4"/>
  <c r="B4443" i="106" s="1"/>
  <c r="D4443" i="106" s="1"/>
  <c r="C16" i="4"/>
  <c r="B7019" i="106"/>
  <c r="D7019" i="106" s="1"/>
  <c r="B1281" i="106"/>
  <c r="D1281" i="106" s="1"/>
  <c r="D13" i="4"/>
  <c r="K151" i="29"/>
  <c r="B989" i="106"/>
  <c r="D989" i="106" s="1"/>
  <c r="F54" i="34"/>
  <c r="B2596" i="106"/>
  <c r="D2596" i="106" s="1"/>
  <c r="B2603" i="106"/>
  <c r="D2603" i="106" s="1"/>
  <c r="B1287" i="106"/>
  <c r="D1287" i="106" s="1"/>
  <c r="D16" i="4"/>
  <c r="B2572" i="106" s="1"/>
  <c r="D2572" i="106" s="1"/>
  <c r="B5719" i="106"/>
  <c r="D5719" i="106" s="1"/>
  <c r="F7" i="4"/>
  <c r="B2594" i="106" s="1"/>
  <c r="D2594" i="106" s="1"/>
  <c r="B1510" i="106"/>
  <c r="D1510" i="106" s="1"/>
  <c r="G13" i="4"/>
  <c r="K295" i="29"/>
  <c r="D7" i="4"/>
  <c r="B2567" i="106" s="1"/>
  <c r="D2567" i="106" s="1"/>
  <c r="B5507" i="106"/>
  <c r="D5507" i="106" s="1"/>
  <c r="F57" i="34"/>
  <c r="B1282" i="106"/>
  <c r="D1282" i="106" s="1"/>
  <c r="D15" i="4"/>
  <c r="B2571" i="106" s="1"/>
  <c r="D2571" i="106" s="1"/>
  <c r="B5653" i="106"/>
  <c r="D5653" i="106" s="1"/>
  <c r="F6" i="4"/>
  <c r="F268" i="5"/>
  <c r="B5720" i="106" s="1"/>
  <c r="D5720" i="106" s="1"/>
  <c r="J7" i="4"/>
  <c r="J268" i="5"/>
  <c r="B7054" i="106"/>
  <c r="D7054" i="106" s="1"/>
  <c r="K13" i="4"/>
  <c r="B3572" i="106" s="1"/>
  <c r="D3572" i="106" s="1"/>
  <c r="B3672" i="106"/>
  <c r="D3672" i="106" s="1"/>
  <c r="B2551" i="106"/>
  <c r="D2551" i="106" s="1"/>
  <c r="K114" i="29"/>
  <c r="C7" i="4"/>
  <c r="B2554" i="106" s="1"/>
  <c r="D2554" i="106" s="1"/>
  <c r="B5326" i="106"/>
  <c r="D5326" i="106" s="1"/>
  <c r="F10" i="34"/>
  <c r="B1332" i="106"/>
  <c r="D1332" i="106" s="1"/>
  <c r="F63" i="34"/>
  <c r="B1382" i="106"/>
  <c r="D1382" i="106" s="1"/>
  <c r="F15" i="4"/>
  <c r="B2598" i="106" s="1"/>
  <c r="D2598" i="106" s="1"/>
  <c r="K210" i="29"/>
  <c r="B1259" i="106"/>
  <c r="D1259" i="106" s="1"/>
  <c r="F58" i="34"/>
  <c r="E16" i="4"/>
  <c r="B1331" i="106"/>
  <c r="D1331" i="106" s="1"/>
  <c r="B5223" i="106"/>
  <c r="D5223" i="106" s="1"/>
  <c r="C6" i="4"/>
  <c r="B2553" i="106" s="1"/>
  <c r="D2553" i="106" s="1"/>
  <c r="B5778" i="106"/>
  <c r="D5778" i="106" s="1"/>
  <c r="G6" i="4"/>
  <c r="B2604" i="106" s="1"/>
  <c r="D2604" i="106" s="1"/>
  <c r="G268" i="5"/>
  <c r="F16" i="4"/>
  <c r="B2599" i="106" s="1"/>
  <c r="D2599" i="106" s="1"/>
  <c r="B1387" i="106"/>
  <c r="D1387" i="106" s="1"/>
  <c r="I10" i="4"/>
  <c r="B4128" i="106" s="1"/>
  <c r="D4128" i="106" s="1"/>
  <c r="B3226" i="106"/>
  <c r="D3226" i="106" s="1"/>
  <c r="B7624" i="106"/>
  <c r="I17" i="11"/>
  <c r="B2657" i="106"/>
  <c r="D2657" i="106" s="1"/>
  <c r="H8" i="4"/>
  <c r="B2661" i="106"/>
  <c r="D2661" i="106" s="1"/>
  <c r="H19" i="4"/>
  <c r="B4141" i="106" s="1"/>
  <c r="D4141" i="106" s="1"/>
  <c r="B3678" i="106"/>
  <c r="D3678" i="106" s="1"/>
  <c r="K368" i="29"/>
  <c r="B3681" i="106" s="1"/>
  <c r="D3681" i="106" s="1"/>
  <c r="K313" i="29"/>
  <c r="B1561" i="106" s="1"/>
  <c r="D1561" i="106" s="1"/>
  <c r="B5915" i="106"/>
  <c r="D5915" i="106" s="1"/>
  <c r="J19" i="4"/>
  <c r="B6229" i="106" s="1"/>
  <c r="D6229" i="106" s="1"/>
  <c r="B2566" i="106"/>
  <c r="D2566" i="106" s="1"/>
  <c r="D8" i="4"/>
  <c r="K8" i="4"/>
  <c r="K152" i="29"/>
  <c r="B1289" i="106" s="1"/>
  <c r="D1289" i="106" s="1"/>
  <c r="B5508" i="106"/>
  <c r="D5508" i="106" s="1"/>
  <c r="B3574" i="106"/>
  <c r="D3574" i="106" s="1"/>
  <c r="K17" i="4"/>
  <c r="B3227" i="106"/>
  <c r="D3227" i="106" s="1"/>
  <c r="I78" i="4"/>
  <c r="A7267" i="106"/>
  <c r="D7266" i="106"/>
  <c r="E8" i="4" l="1"/>
  <c r="F76" i="34"/>
  <c r="D10" i="171"/>
  <c r="D19" i="171" s="1"/>
  <c r="D32" i="171" s="1"/>
  <c r="D49" i="171" s="1"/>
  <c r="K211" i="29"/>
  <c r="B1389" i="106" s="1"/>
  <c r="D1389" i="106" s="1"/>
  <c r="F11" i="34"/>
  <c r="B1388" i="106"/>
  <c r="D1388" i="106" s="1"/>
  <c r="K115" i="29"/>
  <c r="B1153" i="106" s="1"/>
  <c r="D1153" i="106" s="1"/>
  <c r="F8" i="34"/>
  <c r="B1152" i="106"/>
  <c r="D1152" i="106" s="1"/>
  <c r="B7055" i="106"/>
  <c r="D7055" i="106" s="1"/>
  <c r="K343" i="29"/>
  <c r="B7225" i="106" s="1"/>
  <c r="D7225" i="106" s="1"/>
  <c r="F12" i="34"/>
  <c r="B1517" i="106"/>
  <c r="D1517" i="106" s="1"/>
  <c r="B2569" i="106"/>
  <c r="D2569" i="106" s="1"/>
  <c r="D17" i="4"/>
  <c r="D20" i="4" s="1"/>
  <c r="B5552" i="106"/>
  <c r="D5552" i="106" s="1"/>
  <c r="K175" i="29"/>
  <c r="B1333" i="106" s="1"/>
  <c r="D1333" i="106" s="1"/>
  <c r="B5870" i="106"/>
  <c r="D5870" i="106" s="1"/>
  <c r="K296" i="29"/>
  <c r="B1518" i="106" s="1"/>
  <c r="D1518" i="106" s="1"/>
  <c r="B2634" i="106"/>
  <c r="D2634" i="106" s="1"/>
  <c r="E17" i="4"/>
  <c r="E20" i="4" s="1"/>
  <c r="C8" i="4"/>
  <c r="B6222" i="106"/>
  <c r="D6222" i="106" s="1"/>
  <c r="J8" i="4"/>
  <c r="B2593" i="106"/>
  <c r="D2593" i="106" s="1"/>
  <c r="F8" i="4"/>
  <c r="B2608" i="106"/>
  <c r="D2608" i="106" s="1"/>
  <c r="G17" i="4"/>
  <c r="G8" i="4"/>
  <c r="F17" i="4"/>
  <c r="B1288" i="106"/>
  <c r="D1288" i="106" s="1"/>
  <c r="F9" i="34"/>
  <c r="B2560" i="106"/>
  <c r="D2560" i="106" s="1"/>
  <c r="C17" i="4"/>
  <c r="E10" i="4"/>
  <c r="B4124" i="106" s="1"/>
  <c r="D4124" i="106" s="1"/>
  <c r="B2632" i="106"/>
  <c r="D2632" i="106" s="1"/>
  <c r="D10" i="4"/>
  <c r="B4123" i="106" s="1"/>
  <c r="D4123" i="106" s="1"/>
  <c r="H18" i="118"/>
  <c r="D16" i="37"/>
  <c r="B2568" i="106"/>
  <c r="D2568" i="106" s="1"/>
  <c r="C8" i="146"/>
  <c r="H13" i="118"/>
  <c r="H10" i="4"/>
  <c r="B4127" i="106" s="1"/>
  <c r="D4127" i="106" s="1"/>
  <c r="B2658" i="106"/>
  <c r="D2658" i="106" s="1"/>
  <c r="H20" i="4"/>
  <c r="B3575" i="106"/>
  <c r="D3575" i="106" s="1"/>
  <c r="K19" i="4"/>
  <c r="B4144" i="106" s="1"/>
  <c r="D4144" i="106" s="1"/>
  <c r="K10" i="4"/>
  <c r="B4130" i="106" s="1"/>
  <c r="D4130" i="106" s="1"/>
  <c r="B3571" i="106"/>
  <c r="D3571" i="106" s="1"/>
  <c r="K20" i="4"/>
  <c r="B7625" i="106"/>
  <c r="I18" i="11"/>
  <c r="B3320" i="106"/>
  <c r="D3320" i="106" s="1"/>
  <c r="I81" i="4"/>
  <c r="A7268" i="106"/>
  <c r="D7267" i="106"/>
  <c r="G10" i="4" l="1"/>
  <c r="B4126" i="106" s="1"/>
  <c r="D4126" i="106" s="1"/>
  <c r="B2606" i="106"/>
  <c r="D2606" i="106" s="1"/>
  <c r="E19" i="4"/>
  <c r="B4138" i="106" s="1"/>
  <c r="D4138" i="106" s="1"/>
  <c r="B2635" i="106"/>
  <c r="D2635" i="106" s="1"/>
  <c r="B2573" i="106"/>
  <c r="D2573" i="106" s="1"/>
  <c r="C9" i="146"/>
  <c r="C10" i="146" s="1"/>
  <c r="D19" i="4"/>
  <c r="B4137" i="106" s="1"/>
  <c r="D4137" i="106" s="1"/>
  <c r="B2636" i="106"/>
  <c r="D2636" i="106" s="1"/>
  <c r="E78" i="4"/>
  <c r="F16" i="37"/>
  <c r="H16" i="37" s="1"/>
  <c r="B9" i="146"/>
  <c r="H17" i="118"/>
  <c r="H25" i="118" s="1"/>
  <c r="K24" i="118" s="1"/>
  <c r="O23" i="118" s="1"/>
  <c r="O25" i="118" s="1"/>
  <c r="C19" i="4"/>
  <c r="B4136" i="106" s="1"/>
  <c r="D4136" i="106" s="1"/>
  <c r="B2561" i="106"/>
  <c r="D2561" i="106" s="1"/>
  <c r="D9" i="146"/>
  <c r="F19" i="4"/>
  <c r="B4139" i="106" s="1"/>
  <c r="D4139" i="106" s="1"/>
  <c r="B2600" i="106"/>
  <c r="D2600" i="106" s="1"/>
  <c r="G20" i="4"/>
  <c r="G19" i="4"/>
  <c r="B4140" i="106" s="1"/>
  <c r="D4140" i="106" s="1"/>
  <c r="B2612" i="106"/>
  <c r="D2612" i="106" s="1"/>
  <c r="F10" i="4"/>
  <c r="B4125" i="106" s="1"/>
  <c r="D4125" i="106" s="1"/>
  <c r="D8" i="146"/>
  <c r="F20" i="4"/>
  <c r="B2595" i="106"/>
  <c r="D2595" i="106" s="1"/>
  <c r="J20" i="4"/>
  <c r="J10" i="4"/>
  <c r="B6225" i="106" s="1"/>
  <c r="D6225" i="106" s="1"/>
  <c r="B6223" i="106"/>
  <c r="D6223" i="106" s="1"/>
  <c r="B8" i="146"/>
  <c r="F8" i="146" s="1"/>
  <c r="C10" i="4"/>
  <c r="B4122" i="106" s="1"/>
  <c r="D4122" i="106" s="1"/>
  <c r="B2555" i="106"/>
  <c r="D2555" i="106" s="1"/>
  <c r="C20" i="4"/>
  <c r="F14" i="34"/>
  <c r="F77" i="34" s="1"/>
  <c r="B2662" i="106"/>
  <c r="D2662" i="106" s="1"/>
  <c r="H78" i="4"/>
  <c r="B7631" i="106"/>
  <c r="F176" i="34"/>
  <c r="D78" i="4"/>
  <c r="B2574" i="106"/>
  <c r="D2574" i="106" s="1"/>
  <c r="K78" i="4"/>
  <c r="B3576" i="106"/>
  <c r="D3576" i="106" s="1"/>
  <c r="E11" i="146"/>
  <c r="I82" i="4"/>
  <c r="B3323" i="106"/>
  <c r="D3323" i="106" s="1"/>
  <c r="D63" i="36"/>
  <c r="A7269" i="106"/>
  <c r="D7268" i="106"/>
  <c r="D10" i="146" l="1"/>
  <c r="F175" i="34"/>
  <c r="F177" i="34" s="1"/>
  <c r="F179" i="34" s="1"/>
  <c r="F79" i="34"/>
  <c r="G78" i="4"/>
  <c r="B2613" i="106"/>
  <c r="D2613" i="106" s="1"/>
  <c r="B2562" i="106"/>
  <c r="D2562" i="106" s="1"/>
  <c r="C78" i="4"/>
  <c r="J78" i="4"/>
  <c r="B6230" i="106"/>
  <c r="D6230" i="106" s="1"/>
  <c r="B2601" i="106"/>
  <c r="D2601" i="106" s="1"/>
  <c r="F78" i="4"/>
  <c r="B10" i="146"/>
  <c r="F9" i="146"/>
  <c r="F10" i="146" s="1"/>
  <c r="B3278" i="106"/>
  <c r="D3278" i="106" s="1"/>
  <c r="E81" i="4"/>
  <c r="K17" i="118"/>
  <c r="O16" i="118" s="1"/>
  <c r="B3588" i="106"/>
  <c r="D3588" i="106" s="1"/>
  <c r="K81" i="4"/>
  <c r="H81" i="4"/>
  <c r="B3300" i="106"/>
  <c r="D3300" i="106" s="1"/>
  <c r="B3239" i="106"/>
  <c r="D3239" i="106" s="1"/>
  <c r="D81" i="4"/>
  <c r="B6273" i="106"/>
  <c r="D6273" i="106" s="1"/>
  <c r="I83" i="4"/>
  <c r="B6282" i="106" s="1"/>
  <c r="D6282" i="106" s="1"/>
  <c r="A7270" i="106"/>
  <c r="D7269" i="106"/>
  <c r="E82" i="4" l="1"/>
  <c r="D59" i="36"/>
  <c r="B1658" i="106"/>
  <c r="D1658" i="106" s="1"/>
  <c r="B3256" i="106"/>
  <c r="D3256" i="106" s="1"/>
  <c r="F81" i="4"/>
  <c r="B3233" i="106"/>
  <c r="D3233" i="106" s="1"/>
  <c r="C81" i="4"/>
  <c r="G81" i="4"/>
  <c r="B3262" i="106"/>
  <c r="D3262" i="106" s="1"/>
  <c r="B6263" i="106"/>
  <c r="D6263" i="106" s="1"/>
  <c r="J81" i="4"/>
  <c r="C11" i="146"/>
  <c r="J16" i="37"/>
  <c r="B4269" i="106" s="1"/>
  <c r="D4269" i="106" s="1"/>
  <c r="D58" i="36"/>
  <c r="B1644" i="106"/>
  <c r="D1644" i="106" s="1"/>
  <c r="D82" i="4"/>
  <c r="K82" i="4"/>
  <c r="D65" i="36"/>
  <c r="B3591" i="106"/>
  <c r="D3591" i="106" s="1"/>
  <c r="B1700" i="106"/>
  <c r="D1700" i="106" s="1"/>
  <c r="D62" i="36"/>
  <c r="H82" i="4"/>
  <c r="A7271" i="106"/>
  <c r="D7270" i="106"/>
  <c r="H12" i="118" l="1"/>
  <c r="K12" i="118" s="1"/>
  <c r="O11" i="118" s="1"/>
  <c r="O13" i="118" s="1"/>
  <c r="B1686" i="106"/>
  <c r="D1686" i="106" s="1"/>
  <c r="G82" i="4"/>
  <c r="D61" i="36"/>
  <c r="J82" i="4"/>
  <c r="D64" i="36"/>
  <c r="B6266" i="106"/>
  <c r="D6266" i="106" s="1"/>
  <c r="D57" i="36"/>
  <c r="B11" i="146"/>
  <c r="B1630" i="106"/>
  <c r="D1630" i="106" s="1"/>
  <c r="C82" i="4"/>
  <c r="D60" i="36"/>
  <c r="F82" i="4"/>
  <c r="D11" i="146"/>
  <c r="B1672" i="106"/>
  <c r="D1672" i="106" s="1"/>
  <c r="B6269" i="106"/>
  <c r="D6269" i="106" s="1"/>
  <c r="E83" i="4"/>
  <c r="B6278" i="106" s="1"/>
  <c r="D6278" i="106" s="1"/>
  <c r="D83" i="4"/>
  <c r="B6277" i="106" s="1"/>
  <c r="D6277" i="106" s="1"/>
  <c r="B6268" i="106"/>
  <c r="D6268" i="106" s="1"/>
  <c r="K83" i="4"/>
  <c r="B6284" i="106" s="1"/>
  <c r="D6284" i="106" s="1"/>
  <c r="B6275" i="106"/>
  <c r="D6275" i="106" s="1"/>
  <c r="B6272" i="106"/>
  <c r="D6272" i="106" s="1"/>
  <c r="H83" i="4"/>
  <c r="B6281" i="106" s="1"/>
  <c r="D6281" i="106" s="1"/>
  <c r="J20" i="118"/>
  <c r="A7272" i="106"/>
  <c r="D7271" i="106"/>
  <c r="F11" i="146" l="1"/>
  <c r="C12" i="146" s="1"/>
  <c r="D29" i="36"/>
  <c r="J24" i="24" s="1"/>
  <c r="F83" i="4"/>
  <c r="B6279" i="106" s="1"/>
  <c r="D6279" i="106" s="1"/>
  <c r="B6270" i="106"/>
  <c r="D6270" i="106" s="1"/>
  <c r="B6267" i="106"/>
  <c r="D6267" i="106" s="1"/>
  <c r="C83" i="4"/>
  <c r="B6276" i="106" s="1"/>
  <c r="D6276" i="106" s="1"/>
  <c r="J83" i="4"/>
  <c r="B6283" i="106" s="1"/>
  <c r="D6283" i="106" s="1"/>
  <c r="B6274" i="106"/>
  <c r="D6274" i="106" s="1"/>
  <c r="B6271" i="106"/>
  <c r="D6271" i="106" s="1"/>
  <c r="G83" i="4"/>
  <c r="B6280" i="106" s="1"/>
  <c r="D6280" i="106" s="1"/>
  <c r="O17" i="118"/>
  <c r="O20" i="118" s="1"/>
  <c r="O35" i="118" s="1"/>
  <c r="O37" i="118" s="1"/>
  <c r="K20" i="118"/>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<sst xmlns="http://schemas.openxmlformats.org/spreadsheetml/2006/main" count="8429" uniqueCount="3978">
  <si>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</si>
  <si>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</si>
  <si>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</si>
  <si>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</si>
  <si>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</si>
  <si>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</si>
  <si>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</si>
  <si>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</si>
  <si>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</si>
  <si>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</si>
  <si>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</si>
  <si>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</si>
  <si>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</si>
  <si>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</si>
  <si>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</si>
  <si>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</si>
  <si>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</si>
  <si>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</si>
  <si>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</si>
  <si>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</si>
  <si>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</si>
  <si>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</si>
  <si>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</si>
  <si>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</si>
  <si>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</si>
  <si>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</si>
  <si>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</si>
  <si>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</si>
  <si>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</si>
  <si>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</si>
  <si>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</si>
  <si>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</si>
  <si>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</si>
  <si>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</si>
  <si>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</si>
  <si>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</si>
  <si>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</si>
  <si>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</si>
  <si>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</si>
  <si>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</si>
  <si>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</si>
  <si>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</si>
  <si>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</si>
  <si>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</si>
  <si>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</si>
  <si>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</si>
  <si>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</si>
  <si>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</si>
  <si>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</si>
  <si>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</si>
  <si>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</si>
  <si>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</si>
  <si>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</si>
  <si>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</si>
  <si>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</si>
  <si>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</si>
  <si>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</si>
  <si>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</si>
  <si>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</si>
  <si>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</si>
  <si>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</si>
  <si>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</si>
  <si>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</si>
  <si>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</si>
  <si>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</si>
  <si>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</si>
  <si>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</si>
  <si>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</si>
  <si>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</si>
  <si>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</si>
  <si>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</si>
  <si>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</si>
  <si>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</si>
  <si>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</si>
  <si>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</si>
  <si>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</si>
  <si>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</si>
  <si>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</si>
  <si>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</si>
  <si>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</si>
  <si>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</si>
  <si>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</si>
  <si>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</si>
  <si>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</si>
  <si>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</si>
  <si>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</si>
  <si>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</si>
  <si>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</si>
  <si>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</si>
  <si>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</si>
  <si>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</si>
  <si>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</si>
  <si>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</si>
  <si>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</si>
  <si>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</si>
  <si>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</si>
  <si>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</si>
  <si>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</si>
  <si>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</si>
  <si>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</si>
  <si>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</si>
  <si>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</si>
  <si>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</si>
  <si>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</si>
  <si>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</si>
  <si>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</si>
  <si>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</si>
  <si>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</si>
  <si>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</si>
  <si>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</si>
  <si>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</si>
  <si>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</si>
  <si>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</si>
  <si>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</si>
  <si>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</si>
  <si>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</si>
  <si>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</si>
  <si>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</si>
  <si>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</si>
  <si>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</si>
  <si>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</si>
  <si>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</si>
  <si>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</si>
  <si>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</si>
  <si>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</si>
  <si>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</si>
  <si>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</si>
  <si>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</si>
  <si>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</si>
  <si>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</si>
  <si>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</si>
  <si>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</si>
  <si>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</si>
  <si>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</si>
  <si>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</si>
  <si>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</si>
  <si>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</si>
  <si>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</si>
  <si>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</si>
  <si>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</si>
  <si>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</si>
  <si>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</si>
  <si>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</si>
  <si>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</si>
  <si>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</si>
  <si>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</si>
  <si>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</si>
  <si>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</si>
  <si>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</si>
  <si>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</si>
  <si>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</si>
  <si>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</si>
  <si>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</si>
  <si>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</si>
  <si>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</si>
  <si>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</si>
  <si>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</si>
  <si>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</si>
  <si>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</si>
  <si>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</si>
  <si>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</si>
  <si>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</si>
  <si>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</si>
  <si>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</si>
  <si>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</si>
  <si>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</si>
  <si>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</si>
  <si>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</si>
  <si>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</si>
  <si>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</si>
  <si>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</si>
  <si>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</si>
  <si>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</si>
  <si>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</si>
  <si>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</si>
  <si>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</si>
  <si>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</si>
  <si>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</si>
  <si>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</si>
  <si>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</si>
  <si>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</si>
  <si>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</si>
  <si>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</si>
  <si>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</si>
  <si>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</si>
  <si>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</si>
  <si>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</si>
  <si>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</si>
  <si>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</si>
  <si>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</si>
  <si>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</si>
  <si>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</si>
  <si>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</si>
  <si>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</si>
  <si>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</si>
  <si>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</si>
  <si>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</si>
  <si>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</si>
  <si>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</si>
  <si>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</si>
  <si>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</si>
  <si>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</si>
  <si>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</si>
  <si>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</si>
  <si>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</si>
  <si>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</si>
  <si>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</si>
  <si>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</si>
  <si>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</si>
  <si>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</si>
  <si>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</si>
  <si>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</si>
  <si>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</si>
  <si>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</si>
  <si>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</si>
  <si>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</si>
  <si>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</si>
  <si>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</si>
  <si>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</si>
  <si>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</si>
  <si>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</si>
  <si>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</si>
  <si>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</si>
  <si>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</si>
  <si>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</si>
  <si>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</si>
  <si>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</si>
  <si>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</si>
  <si>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</si>
  <si>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</si>
  <si>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</si>
  <si>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</si>
  <si>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</si>
  <si>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</si>
  <si>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</si>
  <si>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</si>
  <si>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</si>
  <si>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</si>
  <si>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</si>
  <si>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</si>
  <si>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</si>
  <si>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</si>
  <si>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</si>
  <si>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</si>
  <si>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</si>
  <si>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</si>
  <si>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</si>
  <si>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</si>
  <si>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</si>
  <si>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</si>
  <si>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</si>
  <si>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</si>
  <si>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</si>
  <si>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</si>
  <si>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</si>
  <si>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</si>
  <si>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</si>
  <si>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</si>
  <si>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</si>
  <si>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</si>
  <si>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</si>
  <si>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</si>
  <si>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</si>
  <si>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</si>
  <si>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</si>
  <si>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</si>
  <si>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</si>
  <si>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</si>
  <si>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</si>
  <si>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</si>
  <si>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</si>
  <si>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</si>
  <si>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</si>
  <si>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</si>
  <si>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</si>
  <si>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</si>
  <si>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</si>
  <si>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</si>
  <si>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</si>
  <si>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</si>
  <si>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</si>
  <si>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</si>
  <si>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</si>
  <si>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</si>
  <si>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</si>
  <si>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</si>
  <si>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</si>
  <si>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</si>
  <si>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</si>
  <si>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</si>
  <si>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</si>
  <si>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</si>
  <si>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</si>
  <si>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</si>
  <si>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</si>
  <si>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</si>
  <si>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</si>
  <si>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</si>
  <si>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</si>
  <si>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</si>
  <si>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</si>
  <si>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</si>
  <si>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</si>
  <si>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</si>
  <si>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</si>
  <si>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</si>
  <si>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</si>
  <si>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</si>
  <si>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</si>
  <si>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</si>
  <si>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</si>
  <si>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</si>
  <si>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</si>
  <si>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</si>
  <si>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</si>
  <si>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</si>
  <si>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</si>
  <si>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</si>
  <si>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</si>
  <si>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</si>
  <si>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</si>
  <si>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</si>
  <si>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</si>
  <si>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</si>
  <si>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</si>
  <si>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</si>
  <si>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</si>
  <si>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</si>
  <si>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</si>
  <si>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</si>
  <si>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</si>
  <si>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</si>
  <si>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</si>
  <si>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</si>
  <si>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</si>
  <si>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</si>
  <si>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</si>
  <si>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</si>
  <si>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</si>
  <si>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</si>
  <si>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</si>
  <si>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</si>
  <si>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</si>
  <si>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</si>
  <si>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</si>
  <si>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</si>
  <si>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</si>
  <si>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</si>
  <si>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</si>
  <si>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</si>
  <si>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</si>
  <si>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</si>
  <si>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</si>
  <si>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</si>
  <si>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</si>
  <si>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</si>
  <si>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</si>
  <si>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</si>
  <si>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</si>
  <si>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</si>
  <si>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</si>
  <si>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</si>
  <si>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</si>
  <si>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</si>
  <si>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</si>
  <si>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</si>
  <si>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</si>
  <si>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</si>
  <si>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</si>
  <si>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</si>
  <si>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</si>
  <si>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</si>
  <si>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</si>
  <si>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</si>
  <si>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</si>
  <si>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</si>
  <si>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</si>
  <si>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</si>
  <si>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</si>
  <si>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</si>
  <si>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</si>
  <si>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</si>
  <si>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</si>
  <si>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</si>
  <si>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</si>
  <si>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</si>
  <si>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</si>
  <si>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</si>
  <si>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</si>
  <si>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</si>
  <si>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</si>
  <si>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</si>
  <si>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</si>
  <si>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</si>
  <si>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</si>
  <si>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</si>
  <si>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</si>
  <si>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</si>
  <si>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</si>
  <si>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</si>
  <si>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</si>
  <si>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</si>
  <si>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</si>
  <si>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</si>
  <si>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</si>
  <si>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</si>
  <si>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</si>
  <si>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</si>
  <si>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</si>
  <si>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</si>
  <si>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</si>
  <si>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</si>
  <si>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</si>
  <si>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</si>
  <si>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</si>
  <si>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</si>
  <si>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</si>
  <si>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</si>
  <si>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</si>
  <si>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</si>
  <si>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</si>
  <si>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</si>
  <si>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</si>
  <si>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</si>
  <si>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</si>
  <si>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</si>
  <si>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</si>
  <si>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</si>
  <si>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</si>
  <si>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</si>
  <si>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</si>
  <si>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</si>
  <si>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</si>
  <si>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</si>
  <si>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</si>
  <si>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</si>
  <si>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</si>
  <si>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</si>
  <si>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</si>
  <si>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</si>
  <si>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</si>
  <si>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</si>
  <si>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</si>
  <si>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</si>
  <si>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</si>
  <si>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</si>
  <si>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</si>
  <si>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</si>
  <si>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</si>
  <si>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</si>
  <si>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</si>
  <si>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</si>
  <si>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</si>
  <si>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</si>
  <si>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</si>
  <si>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</si>
  <si>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</si>
  <si>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</si>
  <si>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</si>
  <si>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</si>
  <si>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</si>
  <si>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</si>
  <si>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</si>
  <si>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</si>
  <si>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</si>
  <si>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</si>
  <si>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</si>
  <si>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</si>
  <si>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</si>
  <si>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</si>
  <si>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</si>
  <si>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</si>
  <si>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</si>
  <si>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</si>
  <si>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</si>
  <si>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</si>
  <si>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</si>
  <si>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</si>
  <si>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</si>
  <si>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</si>
  <si>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</si>
  <si>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</si>
  <si>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</si>
  <si>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</si>
  <si>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</si>
  <si>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</si>
  <si>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</si>
  <si>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</si>
  <si>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</si>
  <si>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</si>
  <si>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</si>
  <si>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</si>
  <si>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</si>
  <si>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</si>
  <si>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</si>
  <si>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</si>
  <si>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</si>
  <si>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</si>
  <si>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</si>
  <si>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</si>
  <si>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</si>
  <si>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</si>
  <si>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</si>
  <si>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</si>
  <si>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</si>
  <si>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</si>
  <si>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</si>
  <si>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</si>
  <si>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</si>
  <si>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</si>
  <si>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</si>
  <si>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</si>
  <si>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</si>
  <si>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</si>
  <si>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</si>
  <si>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</si>
  <si>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</si>
  <si>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</si>
  <si>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</si>
  <si>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</si>
  <si>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</si>
  <si>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</si>
  <si>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</si>
  <si>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</si>
  <si>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</si>
  <si>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</si>
  <si>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</si>
  <si>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</si>
  <si>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</si>
  <si>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</si>
  <si>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</si>
  <si>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</si>
  <si>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</si>
  <si>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</si>
  <si>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</si>
  <si>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</si>
  <si>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</si>
  <si>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</si>
  <si>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</si>
  <si>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</si>
  <si>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</si>
  <si>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</si>
  <si>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</si>
  <si>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</si>
  <si>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</si>
  <si>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</si>
  <si>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</si>
  <si>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</si>
  <si>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</si>
  <si>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</si>
  <si>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</si>
  <si>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</si>
  <si>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</si>
  <si>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</si>
  <si>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</si>
  <si>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</si>
  <si>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</si>
  <si>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</si>
  <si>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</si>
  <si>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</si>
  <si>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</si>
  <si>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</si>
  <si>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</si>
  <si>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</si>
  <si>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</si>
  <si>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</si>
  <si>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</si>
  <si>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</si>
  <si>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</si>
  <si>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</si>
  <si>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</si>
  <si>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</si>
  <si>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</si>
  <si>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</si>
  <si>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</si>
  <si>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</si>
  <si>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</si>
  <si>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</si>
  <si>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</si>
  <si>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</si>
  <si>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</si>
  <si>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</si>
  <si>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</si>
  <si>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</si>
  <si>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</si>
  <si>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</si>
  <si>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</si>
  <si>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</si>
  <si>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</si>
  <si>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</si>
  <si>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</si>
  <si>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</si>
  <si>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</si>
  <si>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</si>
  <si>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</si>
  <si>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</si>
  <si>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</si>
  <si>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</si>
  <si>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</si>
  <si>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</si>
  <si>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</si>
  <si>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</si>
  <si>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</si>
  <si>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</si>
  <si>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</si>
  <si>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</si>
  <si>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</si>
  <si>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</si>
  <si>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</si>
  <si>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</si>
  <si>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</si>
  <si>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</si>
  <si>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</si>
  <si>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</si>
  <si>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</si>
  <si>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</si>
  <si>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</si>
  <si>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</si>
  <si>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</si>
  <si>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</si>
  <si>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</si>
  <si>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</si>
  <si>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</si>
  <si>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</si>
  <si>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</si>
  <si>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</si>
  <si>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</si>
  <si>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</si>
  <si>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</si>
  <si>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</si>
  <si>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</si>
  <si>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</si>
  <si>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</si>
  <si>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</si>
  <si>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</si>
  <si>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</si>
  <si>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</si>
  <si>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</si>
  <si>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</si>
  <si>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</si>
  <si>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</si>
  <si>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</si>
  <si>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</si>
  <si>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</si>
  <si>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</si>
  <si>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</si>
  <si>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</si>
  <si>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</si>
  <si>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</si>
  <si>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</si>
  <si>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</si>
  <si>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</si>
  <si>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</si>
  <si>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</si>
  <si>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</si>
  <si>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</si>
  <si>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</si>
  <si>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</si>
  <si>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</si>
  <si>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</si>
  <si>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</si>
  <si>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</si>
  <si>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</si>
  <si>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</si>
  <si>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</si>
  <si>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</si>
  <si>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</si>
  <si>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</si>
  <si>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</si>
  <si>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</si>
  <si>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</si>
  <si>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</si>
  <si>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</si>
  <si>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</si>
  <si>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</si>
  <si>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</si>
  <si>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</si>
  <si>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</si>
  <si>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</si>
  <si>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</si>
  <si>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</si>
  <si>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</si>
  <si>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</si>
  <si>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</si>
  <si>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</si>
  <si>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</si>
  <si>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</si>
  <si>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</si>
  <si>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</si>
  <si>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</si>
  <si>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</si>
  <si>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</si>
  <si>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</si>
  <si>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</si>
  <si>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</si>
  <si>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</si>
  <si>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</si>
  <si>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</si>
  <si>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</si>
  <si>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</si>
  <si>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</si>
  <si>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</si>
  <si>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</si>
  <si>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</si>
  <si>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</si>
  <si>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</si>
  <si>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</si>
  <si>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</si>
  <si>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</si>
  <si>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</si>
  <si>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</si>
  <si>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</si>
  <si>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</si>
  <si>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</si>
  <si>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</si>
  <si>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</si>
  <si>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</si>
  <si>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</si>
  <si>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</si>
  <si>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</si>
  <si>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</si>
  <si>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</si>
  <si>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</si>
  <si>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</si>
  <si>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</si>
  <si>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</si>
  <si>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</si>
  <si>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</si>
  <si>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</si>
  <si>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</si>
  <si>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</si>
  <si>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</si>
  <si>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</si>
  <si>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</si>
  <si>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</si>
  <si>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</si>
  <si>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</si>
  <si>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</si>
  <si>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</si>
  <si>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</si>
  <si>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</si>
  <si>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</si>
  <si>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</si>
  <si>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</si>
  <si>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</si>
  <si>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</si>
  <si>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</si>
  <si>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</si>
  <si>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</si>
  <si>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</si>
  <si>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</si>
  <si>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</si>
  <si>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</si>
  <si>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</si>
  <si>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</si>
  <si>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</si>
  <si>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</si>
  <si>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</si>
  <si>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</si>
  <si>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</si>
  <si>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</si>
  <si>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</si>
  <si>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</si>
  <si>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</si>
  <si>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</si>
  <si>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</si>
  <si>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</si>
  <si>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</si>
  <si>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</si>
  <si>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</si>
  <si>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</si>
  <si>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</si>
  <si>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</si>
  <si>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</si>
  <si>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</si>
  <si>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</si>
  <si>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</si>
  <si>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</si>
  <si>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</si>
  <si>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</si>
  <si>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</si>
  <si>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</si>
  <si>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</si>
  <si>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</si>
  <si>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</si>
  <si>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</si>
  <si>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</si>
  <si>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</si>
  <si>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</si>
  <si>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</si>
  <si>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</si>
  <si>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</si>
  <si>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</si>
  <si>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</si>
  <si>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</si>
  <si>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</si>
  <si>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</si>
  <si>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</si>
  <si>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</si>
  <si>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</si>
  <si>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</si>
  <si>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</si>
  <si>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</si>
  <si>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</si>
  <si>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</si>
  <si>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</si>
  <si>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</si>
  <si>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</si>
  <si>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</si>
  <si>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</si>
  <si>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</si>
  <si>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</si>
  <si>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</si>
  <si>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</si>
  <si>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</si>
  <si>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</si>
  <si>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</si>
  <si>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</si>
  <si>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</si>
  <si>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</si>
  <si>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</si>
  <si>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</si>
  <si>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</si>
  <si>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</si>
  <si>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</si>
  <si>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</si>
  <si>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</si>
  <si>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</si>
  <si>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</si>
  <si>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</si>
  <si>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</si>
  <si>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</si>
  <si>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</si>
  <si>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</si>
  <si>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</si>
  <si>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</si>
  <si>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</si>
  <si>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</si>
  <si>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</si>
  <si>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</si>
  <si>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</si>
  <si>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</si>
  <si>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</si>
  <si>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</si>
  <si>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</si>
  <si>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</si>
  <si>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</si>
  <si>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</si>
  <si>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</si>
  <si>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</si>
  <si>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</si>
  <si>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</si>
  <si>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</si>
  <si>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</si>
  <si>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</si>
  <si>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</si>
  <si>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</si>
  <si>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</si>
  <si>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</si>
  <si>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</si>
  <si>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</si>
  <si>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</si>
  <si>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</si>
  <si>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</si>
  <si>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</si>
  <si>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</si>
  <si>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</si>
  <si>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</si>
  <si>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</si>
  <si>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</si>
  <si>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</si>
  <si>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</si>
  <si>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</si>
  <si>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</si>
  <si>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</si>
  <si>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</si>
  <si>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</si>
  <si>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</si>
  <si>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</si>
  <si>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</si>
  <si>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</si>
  <si>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</si>
  <si>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</si>
  <si>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</si>
  <si>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</si>
  <si>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</si>
  <si>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</si>
  <si>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</si>
  <si>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</si>
  <si>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</si>
  <si>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</si>
  <si>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</si>
  <si>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</si>
  <si>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</si>
  <si>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</si>
  <si>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</si>
  <si>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</si>
  <si>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</si>
  <si>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</si>
  <si>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</si>
  <si>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</si>
  <si>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</si>
  <si>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</si>
  <si>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</si>
  <si>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</si>
  <si>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</si>
  <si>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</si>
  <si>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</si>
  <si>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</si>
  <si>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</si>
  <si>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</si>
  <si>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</si>
  <si>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</si>
  <si>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</si>
  <si>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</si>
  <si>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</si>
  <si>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</si>
  <si>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</si>
  <si>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</si>
  <si>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</si>
  <si>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</si>
  <si>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</si>
  <si>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</si>
  <si>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</si>
  <si>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</si>
  <si>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</si>
  <si>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</si>
  <si>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</si>
  <si>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</si>
  <si>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</si>
  <si>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</si>
  <si>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</si>
  <si>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</si>
  <si>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</si>
  <si>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</si>
  <si>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</si>
  <si>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</si>
  <si>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</si>
  <si>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</si>
  <si>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</si>
  <si>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</si>
  <si>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</si>
  <si>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</si>
  <si>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</si>
  <si>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</si>
  <si>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</si>
  <si>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</si>
  <si>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</si>
  <si>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</si>
  <si>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</si>
  <si>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</si>
  <si>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</si>
  <si>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</si>
  <si>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</si>
  <si>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</si>
  <si>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</si>
  <si>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</si>
  <si>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</si>
  <si>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</si>
  <si>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</si>
  <si>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</si>
  <si>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</si>
  <si>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</si>
  <si>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</si>
  <si>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</si>
  <si>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</si>
  <si>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</si>
  <si>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</si>
  <si>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</si>
  <si>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</si>
  <si>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</si>
  <si>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</si>
  <si>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</si>
  <si>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</si>
  <si>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</si>
  <si>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</si>
  <si>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</si>
  <si>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</si>
  <si>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</si>
  <si>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</si>
  <si>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</si>
  <si>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</si>
  <si>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</si>
  <si>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</si>
  <si>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</si>
  <si>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</si>
  <si>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</si>
  <si>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</si>
  <si>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</si>
  <si>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</si>
  <si>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</si>
  <si>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</si>
  <si>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</si>
  <si>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</si>
  <si>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</si>
  <si>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</si>
  <si>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</si>
  <si>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</si>
  <si>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</si>
  <si>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</si>
  <si>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</si>
  <si>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</si>
  <si>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</si>
  <si>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</si>
  <si>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</si>
  <si>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</si>
  <si>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</si>
  <si>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</si>
  <si>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</si>
  <si>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</si>
  <si>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</si>
  <si>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</si>
  <si>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</si>
  <si>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</si>
  <si>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</si>
  <si>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</si>
  <si>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</si>
  <si>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</si>
  <si>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</si>
  <si>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</si>
  <si>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</si>
  <si>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</si>
  <si>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</si>
  <si>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</si>
  <si>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</si>
  <si>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</si>
  <si>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</si>
  <si>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</si>
  <si>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</si>
  <si>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</si>
  <si>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</si>
  <si>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</si>
  <si>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</si>
  <si>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</si>
  <si>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</si>
  <si>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</si>
  <si>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</si>
  <si>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</si>
  <si>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</si>
  <si>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</si>
  <si>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</si>
  <si>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</si>
  <si>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</si>
  <si>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</si>
  <si>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</si>
  <si>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</si>
  <si>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</si>
  <si>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</si>
  <si>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</si>
  <si>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</si>
  <si>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</si>
  <si>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</si>
  <si>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</si>
  <si>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</si>
  <si>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</si>
  <si>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</si>
  <si>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</si>
  <si>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</si>
  <si>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</si>
  <si>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</si>
  <si>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</si>
  <si>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</si>
  <si>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</si>
  <si>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</si>
  <si>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</si>
  <si>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</si>
  <si>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</si>
  <si>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</si>
  <si>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</si>
  <si>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</si>
  <si>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</si>
  <si>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</si>
  <si>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</si>
  <si>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</si>
  <si>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</si>
  <si>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</si>
  <si>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</si>
  <si>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</si>
  <si>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</si>
  <si>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</si>
  <si>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</si>
  <si>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</si>
  <si>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</si>
  <si>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</si>
  <si>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</si>
  <si>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</si>
  <si>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</si>
  <si>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</si>
  <si>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</si>
  <si>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</si>
  <si>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</si>
  <si>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</si>
  <si>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</si>
  <si>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</si>
  <si>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</si>
  <si>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</si>
  <si>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</si>
  <si>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</si>
  <si>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</si>
  <si>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</si>
  <si>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</si>
  <si>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</si>
  <si>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</si>
  <si>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</si>
  <si>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</si>
  <si>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</si>
  <si>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</si>
  <si>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</si>
  <si>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</si>
  <si>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</si>
  <si>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</si>
  <si>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</si>
  <si>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</si>
  <si>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</si>
  <si>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</si>
  <si>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</si>
  <si>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</si>
  <si>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</si>
  <si>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</si>
  <si>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</si>
  <si>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</si>
  <si>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</si>
  <si>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</si>
  <si>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</si>
  <si>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</si>
  <si>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</si>
  <si>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</si>
  <si>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</si>
  <si>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</si>
  <si>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</si>
  <si>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</si>
  <si>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</si>
  <si>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</si>
  <si>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</si>
  <si>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</si>
  <si>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</si>
  <si>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</si>
  <si>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</si>
  <si>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</si>
  <si>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</si>
  <si>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</si>
  <si>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</si>
  <si>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</si>
  <si>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</si>
  <si>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</si>
  <si>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</si>
  <si>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</si>
  <si>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</si>
  <si>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</si>
  <si>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</si>
  <si>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</si>
  <si>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</si>
  <si>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</si>
  <si>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</si>
  <si>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</si>
  <si>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</si>
  <si>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</si>
  <si>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</si>
  <si>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</si>
  <si>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</si>
  <si>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</si>
  <si>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</si>
  <si>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</si>
  <si>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</si>
  <si>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</si>
  <si>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</si>
  <si>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</si>
  <si>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</si>
  <si>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</si>
  <si>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</si>
  <si>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</si>
  <si>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</si>
  <si>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</si>
  <si>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</si>
  <si>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</si>
  <si>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</si>
  <si>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</si>
  <si>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</si>
  <si>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</si>
  <si>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</si>
  <si>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</si>
  <si>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</si>
  <si>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</si>
  <si>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</si>
  <si>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</si>
  <si>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</si>
  <si>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</si>
  <si>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</si>
  <si>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</si>
  <si>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</si>
  <si>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</si>
  <si>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</si>
  <si>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</si>
  <si>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</si>
  <si>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</si>
  <si>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</si>
  <si>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</si>
  <si>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</si>
  <si>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</si>
  <si>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</si>
  <si>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</si>
  <si>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</si>
  <si>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</si>
  <si>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</si>
  <si>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</si>
  <si>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</si>
  <si>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</si>
  <si>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</si>
  <si>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</si>
  <si>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</si>
  <si>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</si>
  <si>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</si>
  <si>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</si>
  <si>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</si>
  <si>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</si>
  <si>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</si>
  <si>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</si>
  <si>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</si>
  <si>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</si>
  <si>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</si>
  <si>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</si>
  <si>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</si>
  <si>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</si>
  <si>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</si>
  <si>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</si>
  <si>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</si>
  <si>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</si>
  <si>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</si>
  <si>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</si>
  <si>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</si>
  <si>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</si>
  <si>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</si>
  <si>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</si>
  <si>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</si>
  <si>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</si>
  <si>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</si>
  <si>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</si>
  <si>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</si>
  <si>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</si>
  <si>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</si>
  <si>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</si>
  <si>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</si>
  <si>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</si>
  <si>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</si>
  <si>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</si>
  <si>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</si>
  <si>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</si>
  <si>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</si>
  <si>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</si>
  <si>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</si>
  <si>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</si>
  <si>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</si>
  <si>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</si>
  <si>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</si>
  <si>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</si>
  <si>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</si>
  <si>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</si>
  <si>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</si>
  <si>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</si>
  <si>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</si>
  <si>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</si>
  <si>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</si>
  <si>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</si>
  <si>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</si>
  <si>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</si>
  <si>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</si>
  <si>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</si>
  <si>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</si>
  <si>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</si>
  <si>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</si>
  <si>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</si>
  <si>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</si>
  <si>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</si>
  <si>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</si>
  <si>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</si>
  <si>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</si>
  <si>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</si>
  <si>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</si>
  <si>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</si>
  <si>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</si>
  <si>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</si>
  <si>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</si>
  <si>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</si>
  <si>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</si>
  <si>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</si>
  <si>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</si>
  <si>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</si>
  <si>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</si>
  <si>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</si>
  <si>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</si>
  <si>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</si>
  <si>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</si>
  <si>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</si>
  <si>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</si>
  <si>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</si>
  <si>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</si>
  <si>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</si>
  <si>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</si>
  <si>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</si>
  <si>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</si>
  <si>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</si>
  <si>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</si>
  <si>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</si>
  <si>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</si>
  <si>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</si>
  <si>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</si>
  <si>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</si>
  <si>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</si>
  <si>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</si>
  <si>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</si>
  <si>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</si>
  <si>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</si>
  <si>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</si>
  <si>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</si>
  <si>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</si>
  <si>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</si>
  <si>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</si>
  <si>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</si>
  <si>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</si>
  <si>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</si>
  <si>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</si>
  <si>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</si>
  <si>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</si>
  <si>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</si>
  <si>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</si>
  <si>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</si>
  <si>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</si>
  <si>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</si>
  <si>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</si>
  <si>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</si>
  <si>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</si>
  <si>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</si>
  <si>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</si>
  <si>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</si>
  <si>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</si>
  <si>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</si>
  <si>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</si>
  <si>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</si>
  <si>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</si>
  <si>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</si>
  <si>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</si>
  <si>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</si>
  <si>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</si>
  <si>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</si>
  <si>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</si>
  <si>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</si>
  <si>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</si>
  <si>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</si>
  <si>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</si>
  <si>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</si>
  <si>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</si>
  <si>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</si>
  <si>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</si>
  <si>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</si>
  <si>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</si>
  <si>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</si>
  <si>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</si>
  <si>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</si>
  <si>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</si>
  <si>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</si>
  <si>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</si>
  <si>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</si>
  <si>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</si>
  <si>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</si>
  <si>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</si>
  <si>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</si>
  <si>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</si>
  <si>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</si>
  <si>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</si>
  <si>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</si>
  <si>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</si>
  <si>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</si>
  <si>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</si>
  <si>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</si>
  <si>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</si>
  <si>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</si>
  <si>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</si>
  <si>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</si>
  <si>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</si>
  <si>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</si>
  <si>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</si>
  <si>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</si>
  <si>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</si>
  <si>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</si>
  <si>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</si>
  <si>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</si>
  <si>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</si>
  <si>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</si>
  <si>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</si>
  <si>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</si>
  <si>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</si>
  <si>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</si>
  <si>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</si>
  <si>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</si>
  <si>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</si>
  <si>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</si>
  <si>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</si>
  <si>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</si>
  <si>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</si>
  <si>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</si>
  <si>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</si>
  <si>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</si>
  <si>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</si>
  <si>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</si>
  <si>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</si>
  <si>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</si>
  <si>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</si>
  <si>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</si>
  <si>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</si>
  <si>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</si>
  <si>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</si>
  <si>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</si>
  <si>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</si>
  <si>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</si>
  <si>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</si>
  <si>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</si>
  <si>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</si>
  <si>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</si>
  <si>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</si>
  <si>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</si>
  <si>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</si>
  <si>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</si>
  <si>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</si>
  <si>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</si>
  <si>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</si>
  <si>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</si>
  <si>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</si>
  <si>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</si>
  <si>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</si>
  <si>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</si>
  <si>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</si>
  <si>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</si>
  <si>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</si>
  <si>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</si>
  <si>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</si>
  <si>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</si>
  <si>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</si>
  <si>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</si>
  <si>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</si>
  <si>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</si>
  <si>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</si>
  <si>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</si>
  <si>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</si>
  <si>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</si>
  <si>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</si>
  <si>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</si>
  <si>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</si>
  <si>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</si>
  <si>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</si>
  <si>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</si>
  <si>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</si>
  <si>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</si>
  <si>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</si>
  <si>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</si>
  <si>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</si>
  <si>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</si>
  <si>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</si>
  <si>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</si>
  <si>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</si>
  <si>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</si>
  <si>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</si>
  <si>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</si>
  <si>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</si>
  <si>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</si>
  <si>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</si>
  <si>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</si>
  <si>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</si>
  <si>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</si>
  <si>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</si>
  <si>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</si>
  <si>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</si>
  <si>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</si>
  <si>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</si>
  <si>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</si>
  <si>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</si>
  <si>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</si>
  <si>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</si>
  <si>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</si>
  <si>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</si>
  <si>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</si>
  <si>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</si>
  <si>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</si>
  <si>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</si>
  <si>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</si>
  <si>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</si>
  <si>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</si>
  <si>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</si>
  <si>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</si>
  <si>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</si>
  <si>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</si>
  <si>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</si>
  <si>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</si>
  <si>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</si>
  <si>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</si>
  <si>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</si>
  <si>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</si>
  <si>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</si>
  <si>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</si>
  <si>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</si>
  <si>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</si>
  <si>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</si>
  <si>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</si>
  <si>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</si>
  <si>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</si>
  <si>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</si>
  <si>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</si>
  <si>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</si>
  <si>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</si>
  <si>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</si>
  <si>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</si>
  <si>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</si>
  <si>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</si>
  <si>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</si>
  <si>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</si>
  <si>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</si>
  <si>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</si>
  <si>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</si>
  <si>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</si>
  <si>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</si>
  <si>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</si>
  <si>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</si>
  <si>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</si>
  <si>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</si>
  <si>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</si>
  <si>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</si>
  <si>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</si>
  <si>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</si>
  <si>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</si>
  <si>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</si>
  <si>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</si>
  <si>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</si>
  <si>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</si>
  <si>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</si>
  <si>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</si>
  <si>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</si>
  <si>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</si>
  <si>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</si>
  <si>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</si>
  <si>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</si>
  <si>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</si>
  <si>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</si>
  <si>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</si>
  <si>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</si>
  <si>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</si>
  <si>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</si>
  <si>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</si>
  <si>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</si>
  <si>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</si>
  <si>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</si>
  <si>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</si>
  <si>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</si>
  <si>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</si>
  <si>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</si>
  <si>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</si>
  <si>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</si>
  <si>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</si>
  <si>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</si>
  <si>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</si>
  <si>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</si>
  <si>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</si>
  <si>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</si>
  <si>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</si>
  <si>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</si>
  <si>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</si>
  <si>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</si>
  <si>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</si>
  <si>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</si>
  <si>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</si>
  <si>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</si>
  <si>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</si>
  <si>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</si>
  <si>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</si>
  <si>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</si>
  <si>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</si>
  <si>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</si>
  <si>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</si>
  <si>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</si>
  <si>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</si>
  <si>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</si>
  <si>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</si>
  <si>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</si>
  <si>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</si>
  <si>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</si>
  <si>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</si>
  <si>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</si>
  <si>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</si>
  <si>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</si>
  <si>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</si>
  <si>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</si>
  <si>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</si>
  <si>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</si>
  <si>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</si>
  <si>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</si>
  <si>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</si>
  <si>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</si>
  <si>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</si>
  <si>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</si>
  <si>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</si>
  <si>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</si>
  <si>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</si>
  <si>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</si>
  <si>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</si>
  <si>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</si>
  <si>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</si>
  <si>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</si>
  <si>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</si>
  <si>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</si>
  <si>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</si>
  <si>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</si>
  <si>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</si>
  <si>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</si>
  <si>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</si>
  <si>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</si>
  <si>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</si>
  <si>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</si>
  <si>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</si>
  <si>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</si>
  <si>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</si>
  <si>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</si>
  <si>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</si>
  <si>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</si>
  <si>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</si>
  <si>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</si>
  <si>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</si>
  <si>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</si>
  <si>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</si>
  <si>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</si>
  <si>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</si>
  <si>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</si>
  <si>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</si>
  <si>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</si>
  <si>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</si>
  <si>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</si>
  <si>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</si>
  <si>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</si>
  <si>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</si>
  <si>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</si>
  <si>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</si>
  <si>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</si>
  <si>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</si>
  <si>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</si>
  <si>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</si>
  <si>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</si>
  <si>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</si>
  <si>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</si>
  <si>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</si>
  <si>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</si>
  <si>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</si>
  <si>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</si>
  <si>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</si>
  <si>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</si>
  <si>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</si>
  <si>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</si>
  <si>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</si>
  <si>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</si>
  <si>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</si>
  <si>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</si>
  <si>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</si>
  <si>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</si>
  <si>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</si>
  <si>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</si>
  <si>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</si>
  <si>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</si>
  <si>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</si>
  <si>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</si>
  <si>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</si>
  <si>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</si>
  <si>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</si>
  <si>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</si>
  <si>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</si>
  <si>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</si>
  <si>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</si>
  <si>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</si>
  <si>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</si>
  <si>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</si>
  <si>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</si>
  <si>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</si>
  <si>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</si>
  <si>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</si>
  <si>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</si>
  <si>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</si>
  <si>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</si>
  <si>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</si>
  <si>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</si>
  <si>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</si>
  <si>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</si>
  <si>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</si>
  <si>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</si>
  <si>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</si>
  <si>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</si>
  <si>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</si>
  <si>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</si>
  <si>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</si>
  <si>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</si>
  <si>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</si>
  <si>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</si>
  <si>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</si>
  <si>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</si>
  <si>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</si>
  <si>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</si>
  <si>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</si>
  <si>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</si>
  <si>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</si>
  <si>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</si>
  <si>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</si>
  <si>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</si>
  <si>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</si>
  <si>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</si>
  <si>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</si>
  <si>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</si>
  <si>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</si>
  <si>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</si>
  <si>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</si>
  <si>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</si>
  <si>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</si>
  <si>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</si>
  <si>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</si>
  <si>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</si>
  <si>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</si>
  <si>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</si>
  <si>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</si>
  <si>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</si>
  <si>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</si>
  <si>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</si>
  <si>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</si>
  <si>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</si>
  <si>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</si>
  <si>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</si>
  <si>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</si>
  <si>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</si>
  <si>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</si>
  <si>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</si>
  <si>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</si>
  <si>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</si>
  <si>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</si>
  <si>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</si>
  <si>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</si>
  <si>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</si>
  <si>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</si>
  <si>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</si>
  <si>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</si>
  <si>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</si>
  <si>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</si>
  <si>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</si>
  <si>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</si>
  <si>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</si>
  <si>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</si>
  <si>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</si>
  <si>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</si>
  <si>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</si>
  <si>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</si>
  <si>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</si>
  <si>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</si>
  <si>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</si>
  <si>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</si>
  <si>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</si>
  <si>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</si>
  <si>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</si>
  <si>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</si>
  <si>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</si>
  <si>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</si>
  <si>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</si>
  <si>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</si>
  <si>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</si>
  <si>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</si>
  <si>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</si>
  <si>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</si>
  <si>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</si>
  <si>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</si>
  <si>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</si>
  <si>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</si>
  <si>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</si>
  <si>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</si>
  <si>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</si>
  <si>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</si>
  <si>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</si>
  <si>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</si>
  <si>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</si>
  <si>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</si>
  <si>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</si>
  <si>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</si>
  <si>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</si>
  <si>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</si>
  <si>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</si>
  <si>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</si>
  <si>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</si>
  <si>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</si>
  <si>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</si>
  <si>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</si>
  <si>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</si>
  <si>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</si>
  <si>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</si>
  <si>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</si>
  <si>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</si>
  <si>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</si>
  <si>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</si>
  <si>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</si>
  <si>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</si>
  <si>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</si>
  <si>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</si>
  <si>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</si>
  <si>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</si>
  <si>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</si>
  <si>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</si>
  <si>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</si>
  <si>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</si>
  <si>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</si>
  <si>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</si>
  <si>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</si>
  <si>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</si>
  <si>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</si>
  <si>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</si>
  <si>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</si>
  <si>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</si>
  <si>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</si>
  <si>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</si>
  <si>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</si>
  <si>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</si>
  <si>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</si>
  <si>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</si>
  <si>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</si>
  <si>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</si>
  <si>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</si>
  <si>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</si>
  <si>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</si>
  <si>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</si>
  <si>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</si>
  <si>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</si>
  <si>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</si>
  <si>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</si>
  <si>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</si>
  <si>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</si>
  <si>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</si>
  <si>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</si>
  <si>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</si>
  <si>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</si>
  <si>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</si>
  <si>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</si>
  <si>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</si>
  <si>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</si>
  <si>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</si>
  <si>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</si>
  <si>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</si>
  <si>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</si>
  <si>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</si>
  <si>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</si>
  <si>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</si>
  <si>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</si>
  <si>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</si>
  <si>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</si>
  <si>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</si>
  <si>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</si>
  <si>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</si>
  <si>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</si>
  <si>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</si>
  <si>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</si>
  <si>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</si>
  <si>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</si>
  <si>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</si>
  <si>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</si>
  <si>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</si>
  <si>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</si>
  <si>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</si>
  <si>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</si>
  <si>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</si>
  <si>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</si>
  <si>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</si>
  <si>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</si>
  <si>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</si>
  <si>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</si>
  <si>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</si>
  <si>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</si>
  <si>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</si>
  <si>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</si>
  <si>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</si>
  <si>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</si>
  <si>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</si>
  <si>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</si>
  <si>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</si>
  <si>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</si>
  <si>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</si>
  <si>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</si>
  <si>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</si>
  <si>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</si>
  <si>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</si>
  <si>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</si>
  <si>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</si>
  <si>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</si>
  <si>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</si>
  <si>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</si>
  <si>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</si>
  <si>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</si>
  <si>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</si>
  <si>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</si>
  <si>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</si>
  <si>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</si>
  <si>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</si>
  <si>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</si>
  <si>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</si>
  <si>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</si>
  <si>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</si>
  <si>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</si>
  <si>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</si>
  <si>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</si>
  <si>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</si>
  <si>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</si>
  <si>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</si>
  <si>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</si>
  <si>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</si>
  <si>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</si>
  <si>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</si>
  <si>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</si>
  <si>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</si>
  <si>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</si>
  <si>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</si>
  <si>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</si>
  <si>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</si>
  <si>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</si>
  <si>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</si>
  <si>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</si>
  <si>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</si>
  <si>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</si>
  <si>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</si>
  <si>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</si>
  <si>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</si>
  <si>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</si>
  <si>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</si>
  <si>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</si>
  <si>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</si>
  <si>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</si>
  <si>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</si>
  <si>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</si>
  <si>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</si>
  <si>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</si>
  <si>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</si>
  <si>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</si>
  <si>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</si>
  <si>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</si>
  <si>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</si>
  <si>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</si>
  <si>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</si>
  <si>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</si>
  <si>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</si>
  <si>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</si>
  <si>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</si>
  <si>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</si>
  <si>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</si>
  <si>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</si>
  <si>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</si>
  <si>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</si>
  <si>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</si>
  <si>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</si>
  <si>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</si>
  <si>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</si>
  <si>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</si>
  <si>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</si>
  <si>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</si>
  <si>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</si>
  <si>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</si>
  <si>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</si>
  <si>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</si>
  <si>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</si>
  <si>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</si>
  <si>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</si>
  <si>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</si>
  <si>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</si>
  <si>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</si>
  <si>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</si>
  <si>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</si>
  <si>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</si>
  <si>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</si>
  <si>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</si>
  <si>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</si>
  <si>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</si>
  <si>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</si>
  <si>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</si>
  <si>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</si>
  <si>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</si>
  <si>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</si>
  <si>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</si>
  <si>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</si>
  <si>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</si>
  <si>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</si>
  <si>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</si>
  <si>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</si>
  <si>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</si>
  <si>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</si>
  <si>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</si>
  <si>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</si>
  <si>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</si>
  <si>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</si>
  <si>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</si>
  <si>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</si>
  <si>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</si>
  <si>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</si>
  <si>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</si>
  <si>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</si>
  <si>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</si>
  <si>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</si>
  <si>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</si>
  <si>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</si>
  <si>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</si>
  <si>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</si>
  <si>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</si>
  <si>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</si>
  <si>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</si>
  <si>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</si>
  <si>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</si>
  <si>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</si>
  <si>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</si>
  <si>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</si>
  <si>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</si>
  <si>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</si>
  <si>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</si>
  <si>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</si>
  <si>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</si>
  <si>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</si>
  <si>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</si>
  <si>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</si>
  <si>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</si>
  <si>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</si>
  <si>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</si>
  <si>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</si>
  <si>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</si>
  <si>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</si>
  <si>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</si>
  <si>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</si>
  <si>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</si>
  <si>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</si>
  <si>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</si>
  <si>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</si>
  <si>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</si>
  <si>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</si>
  <si>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</si>
  <si>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</si>
  <si>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</si>
  <si>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</si>
  <si>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</si>
  <si>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</si>
  <si>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</si>
  <si>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</si>
  <si>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</si>
  <si>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</si>
  <si>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</si>
  <si>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</si>
  <si>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</si>
  <si>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</si>
  <si>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</si>
  <si>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</si>
  <si>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</si>
  <si>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</si>
  <si>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</si>
  <si>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</si>
  <si>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</si>
  <si>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</si>
  <si>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</si>
  <si>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</si>
  <si>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</si>
  <si>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</si>
  <si>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</si>
  <si>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</si>
  <si>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ROENFELDT &amp; LOCKAS, P.C.</t>
  </si>
  <si>
    <t>x</t>
  </si>
  <si>
    <t>Roenfeldt &amp; Lockas, P.C.</t>
  </si>
  <si>
    <t>Duane K. Lockas, C.P.A.</t>
  </si>
  <si>
    <t>1100 Columbus Street</t>
  </si>
  <si>
    <t>Ottawa</t>
  </si>
  <si>
    <t>Illinois</t>
  </si>
  <si>
    <t>815-433-0464</t>
  </si>
  <si>
    <t>815-433-6464</t>
  </si>
  <si>
    <t>060-003995</t>
  </si>
  <si>
    <t>admin@roenfeldtlockas.com</t>
  </si>
  <si>
    <t>Data!$A:$A</t>
  </si>
  <si>
    <t>Data!$E:$E</t>
  </si>
  <si>
    <r>
      <t xml:space="preserve">Where is the </t>
    </r>
    <r>
      <rPr>
        <b/>
        <u/>
        <sz val="10"/>
        <color rgb="FFFF0000"/>
        <rFont val="Arial"/>
        <family val="2"/>
      </rPr>
      <t>Account Number</t>
    </r>
    <r>
      <rPr>
        <b/>
        <sz val="10"/>
        <rFont val="Arial"/>
        <family val="2"/>
      </rPr>
      <t xml:space="preserve"> on the Data Sheet?</t>
    </r>
  </si>
  <si>
    <r>
      <t xml:space="preserve">Where is the </t>
    </r>
    <r>
      <rPr>
        <b/>
        <u/>
        <sz val="10"/>
        <color rgb="FFFF0000"/>
        <rFont val="Arial"/>
        <family val="2"/>
      </rPr>
      <t>Revenue and Expense</t>
    </r>
    <r>
      <rPr>
        <b/>
        <sz val="10"/>
        <rFont val="Arial"/>
        <family val="2"/>
      </rPr>
      <t xml:space="preserve"> on the Data Sheet?</t>
    </r>
  </si>
  <si>
    <r>
      <t xml:space="preserve">Where is the </t>
    </r>
    <r>
      <rPr>
        <b/>
        <u/>
        <sz val="10"/>
        <color rgb="FFFF0000"/>
        <rFont val="Arial"/>
        <family val="2"/>
      </rPr>
      <t>Assets or Liabilities</t>
    </r>
    <r>
      <rPr>
        <b/>
        <sz val="10"/>
        <rFont val="Arial"/>
        <family val="2"/>
      </rPr>
      <t xml:space="preserve"> on the Data Sheet?</t>
    </r>
  </si>
  <si>
    <t>Data!$F:$F</t>
  </si>
  <si>
    <t>Assets 
&amp;
Liabilities</t>
  </si>
  <si>
    <t>Revenue 
&amp;
Expense</t>
  </si>
  <si>
    <t>Account Number</t>
  </si>
  <si>
    <t>LaSalle</t>
  </si>
  <si>
    <t>320 W. Main Street</t>
  </si>
  <si>
    <t>Ottawa, Illinois</t>
  </si>
  <si>
    <t>Cleve Threadgill</t>
  </si>
  <si>
    <t xml:space="preserve">CURRENT LEVY  </t>
  </si>
  <si>
    <t>Invalid Account in Employee Master</t>
  </si>
  <si>
    <t>100</t>
  </si>
  <si>
    <t xml:space="preserve">TECHNOLOGY LEVY  </t>
  </si>
  <si>
    <t xml:space="preserve">SPECIAL ED LEVY  </t>
  </si>
  <si>
    <t xml:space="preserve">CPP REP TAX  </t>
  </si>
  <si>
    <t>SPECIAL ED PROGAM PRE-K</t>
  </si>
  <si>
    <t>Invalid Account in Cash Receipts</t>
  </si>
  <si>
    <t>Advanced Adult Ed</t>
  </si>
  <si>
    <t xml:space="preserve">SPECIAL ED TUITION  </t>
  </si>
  <si>
    <t>Upgrdg In Current Occuptn</t>
  </si>
  <si>
    <t xml:space="preserve">INVESTMENT INTEREST  </t>
  </si>
  <si>
    <t>Function 1510</t>
  </si>
  <si>
    <t xml:space="preserve">PUPIL LUNCH  </t>
  </si>
  <si>
    <t xml:space="preserve">PUPIL BREAKFAST  </t>
  </si>
  <si>
    <t xml:space="preserve">ALA CARTE PUPIL  </t>
  </si>
  <si>
    <t xml:space="preserve">JUICE MACHINE  </t>
  </si>
  <si>
    <t xml:space="preserve">ADULT LUNCH  </t>
  </si>
  <si>
    <t xml:space="preserve">ADULT BREAKFAST  </t>
  </si>
  <si>
    <t xml:space="preserve">ALA CARTE ADULT  </t>
  </si>
  <si>
    <t xml:space="preserve">ATHLETIC ADMISSION  </t>
  </si>
  <si>
    <t>Vocational Ed Handicapped</t>
  </si>
  <si>
    <t xml:space="preserve">BAND FEES  </t>
  </si>
  <si>
    <t xml:space="preserve">FCS FEES  </t>
  </si>
  <si>
    <t xml:space="preserve">ATHLETIC FEES  </t>
  </si>
  <si>
    <t xml:space="preserve">GRADUATION GOWNS  </t>
  </si>
  <si>
    <t xml:space="preserve">REGISTRATION/SUPPLY FEES  </t>
  </si>
  <si>
    <t xml:space="preserve">BOOK FINES/MISC FEES  </t>
  </si>
  <si>
    <t xml:space="preserve">PE UNIFORMS  </t>
  </si>
  <si>
    <t>TECHNOLOGY FEES</t>
  </si>
  <si>
    <t>Vctnl Ed Lmt Eng Profcncy</t>
  </si>
  <si>
    <t xml:space="preserve">PRIVATE DONATIONS  </t>
  </si>
  <si>
    <t xml:space="preserve">REFUND OF PREV YEAR EXP  </t>
  </si>
  <si>
    <t xml:space="preserve">OTHER LEA  </t>
  </si>
  <si>
    <t xml:space="preserve">E-RATE  </t>
  </si>
  <si>
    <t xml:space="preserve">OTHER REVENUE  </t>
  </si>
  <si>
    <t>Truants Alternative/Optional Education Programs</t>
  </si>
  <si>
    <t>EVIDENCE BASED FUNDING</t>
  </si>
  <si>
    <t xml:space="preserve">PRIVATE FACILITY SPEC ED  </t>
  </si>
  <si>
    <t xml:space="preserve">CHILDREN-SPED SERVICES  </t>
  </si>
  <si>
    <t xml:space="preserve">SPECIAL ED PERSONNEL  </t>
  </si>
  <si>
    <t xml:space="preserve">SPEC ED ORPHANAGE INDIV  </t>
  </si>
  <si>
    <t xml:space="preserve">SP ED SUMMER SCHOOL  </t>
  </si>
  <si>
    <t>Direction Of Community Sv</t>
  </si>
  <si>
    <t xml:space="preserve">FREE LUNCH  </t>
  </si>
  <si>
    <t>Civic Services</t>
  </si>
  <si>
    <t>Welfare Activities Serv</t>
  </si>
  <si>
    <t xml:space="preserve">EARLY CHILDHOOD  </t>
  </si>
  <si>
    <t>EARLY CHILDHOOD -PE</t>
  </si>
  <si>
    <t>Nonpublic School Pupils</t>
  </si>
  <si>
    <t xml:space="preserve">STATE LIBRARY GRANT  </t>
  </si>
  <si>
    <t>System generated Check</t>
  </si>
  <si>
    <t>Home/School Services</t>
  </si>
  <si>
    <t>Other Community Services</t>
  </si>
  <si>
    <t xml:space="preserve">RURAL EDUCATION INTIATIV  </t>
  </si>
  <si>
    <t>Pymnt Othr Gov Unit-In St</t>
  </si>
  <si>
    <t xml:space="preserve">LUNCH REIMB  </t>
  </si>
  <si>
    <t xml:space="preserve">BREAKFAST  </t>
  </si>
  <si>
    <t xml:space="preserve">TITLE I  </t>
  </si>
  <si>
    <t>TITLE I  SCHOOL IMPROVEMENT</t>
  </si>
  <si>
    <t>Payments to Other Govt Unitis (In-Sate) Transfers</t>
  </si>
  <si>
    <t xml:space="preserve">NO DESC  </t>
  </si>
  <si>
    <t xml:space="preserve">IDEA  </t>
  </si>
  <si>
    <t>FED.-SP. ED.-I.D.E.A.-ROOM &amp; BOARD</t>
  </si>
  <si>
    <t xml:space="preserve">MEDICAID MATCHING FUNDS  </t>
  </si>
  <si>
    <t xml:space="preserve">TITLE II TEACHER QUALITY  </t>
  </si>
  <si>
    <t xml:space="preserve">MEDICAID FEE FOR SERV  </t>
  </si>
  <si>
    <t>TITLE 4 - ESSA</t>
  </si>
  <si>
    <t>Payments Other Govt Units Out of State Transfers</t>
  </si>
  <si>
    <t>Nonprogrammed Charges</t>
  </si>
  <si>
    <t xml:space="preserve">ABATEMENT FROM WC  </t>
  </si>
  <si>
    <t>Transfer from Other Funds</t>
  </si>
  <si>
    <t>Provision For Contingencs</t>
  </si>
  <si>
    <t>1</t>
  </si>
  <si>
    <t>Education Fund</t>
  </si>
  <si>
    <t xml:space="preserve">CANAL TIF TAX  </t>
  </si>
  <si>
    <t>Other Special Programs</t>
  </si>
  <si>
    <t>INVESTMENT INTEREST</t>
  </si>
  <si>
    <t xml:space="preserve">BUILDING RENTALS  </t>
  </si>
  <si>
    <t xml:space="preserve">LAND FEES NO DESC </t>
  </si>
  <si>
    <t>Community Recreation Srv</t>
  </si>
  <si>
    <t>CODING CORRECTION</t>
  </si>
  <si>
    <t xml:space="preserve">SALE OF EQUIPMENT  </t>
  </si>
  <si>
    <t>Oper, Build, &amp; Maint Fund</t>
  </si>
  <si>
    <t>WC(12) LEVY  0</t>
  </si>
  <si>
    <t xml:space="preserve">BUILDING (10) LEVY  </t>
  </si>
  <si>
    <t xml:space="preserve">LS (15) LEVY  </t>
  </si>
  <si>
    <t xml:space="preserve">RE-LEVY  </t>
  </si>
  <si>
    <t xml:space="preserve">WC (16) LEVY  </t>
  </si>
  <si>
    <t>WC (16) LEVY EXEMPT</t>
  </si>
  <si>
    <t>REFUND OF PREV YEAR EXP</t>
  </si>
  <si>
    <t>Bond &amp; Interest Fund</t>
  </si>
  <si>
    <t xml:space="preserve">OTHS/LEA  </t>
  </si>
  <si>
    <t>Consumer/Personel/Misc Sv</t>
  </si>
  <si>
    <t xml:space="preserve">REFUND OF PREV YR EXP  </t>
  </si>
  <si>
    <t xml:space="preserve">TRANSPORTATION AID  </t>
  </si>
  <si>
    <t xml:space="preserve">SPECIAL ED TRANSPORT AID  </t>
  </si>
  <si>
    <t>Custody/Child Care Serv</t>
  </si>
  <si>
    <t>ABATEMENT FROM WC</t>
  </si>
  <si>
    <t xml:space="preserve">CURRENT LEVY SS  </t>
  </si>
  <si>
    <t>I.M.R.F./Soc. Sec. Fund</t>
  </si>
  <si>
    <t>Capital Projects Fund</t>
  </si>
  <si>
    <t>BOND PROCEEDS</t>
  </si>
  <si>
    <t>Working Cash Fund</t>
  </si>
  <si>
    <t xml:space="preserve">CROSSING GUARDS  </t>
  </si>
  <si>
    <t>Tort Immunity and Judgment Fund</t>
  </si>
  <si>
    <t xml:space="preserve">INVESTMENT INT </t>
  </si>
  <si>
    <t>NO DESC NO DESC NO DESC</t>
  </si>
  <si>
    <t>Fire Prevention and Safety</t>
  </si>
  <si>
    <t>ELEM TEACHER CENTRAL</t>
  </si>
  <si>
    <t>ELEM TEACHER JEFFERSON</t>
  </si>
  <si>
    <t>ELEM TEACHER LINCOLN</t>
  </si>
  <si>
    <t>ELEM TEACHER MCKINLEY</t>
  </si>
  <si>
    <t>ELEM TEACHER SHEPHERD</t>
  </si>
  <si>
    <t>ELEM ITINERANT DIST</t>
  </si>
  <si>
    <t>ELEM REGULAR TA DIST</t>
  </si>
  <si>
    <t>ELEM STIPENDS CENTRAL</t>
  </si>
  <si>
    <t>ELEM STIPENDS SHEPHERD</t>
  </si>
  <si>
    <t>ELEM CONTR SUBS DIST</t>
  </si>
  <si>
    <t>ELEM TEACHER SUBS DIST</t>
  </si>
  <si>
    <t>ELEM CONFERENCE SUBS DIST</t>
  </si>
  <si>
    <t>ELEM TA SUBS DIST</t>
  </si>
  <si>
    <t>ELEM RED SCHOOLHOUSE DIST</t>
  </si>
  <si>
    <t>ELEM TA RETIREMENT BONUS DIST</t>
  </si>
  <si>
    <t>ELEM BD SH TRS CENTRAL</t>
  </si>
  <si>
    <t>ELEM BD SH TRS JEFFERSON</t>
  </si>
  <si>
    <t>ELEM BD SH TRS LINCOLN</t>
  </si>
  <si>
    <t>ELEM BD SH TRS MCKINLEY</t>
  </si>
  <si>
    <t>ELEM BD SH TRS SHEPHERD</t>
  </si>
  <si>
    <t>ELEM BD SH TRS DIST</t>
  </si>
  <si>
    <t>ELEM FY18 BD SH TRS DUE DIST</t>
  </si>
  <si>
    <t>ELEM TRS/IMRF (RETIREES PEN) DIST</t>
  </si>
  <si>
    <t>ELEM BD SH HEALTH CENTRAL</t>
  </si>
  <si>
    <t>ELEM BD SH HEALTH JEFFERSON</t>
  </si>
  <si>
    <t>ELEM BD SH HEALTH LINCOLN</t>
  </si>
  <si>
    <t>ELEM BD SH HEALTH MCKINLEY</t>
  </si>
  <si>
    <t>ELEM BD SH HEALTH SHEPHERD</t>
  </si>
  <si>
    <t>ELEM INS/ERLY RET SUPT OFFICE</t>
  </si>
  <si>
    <t>ELEM INS BD PAID</t>
  </si>
  <si>
    <t>ELEM BD SH HEALTH DIST</t>
  </si>
  <si>
    <t>ELEM BD SH LIFE CENTRAL</t>
  </si>
  <si>
    <t>ELEM BD SH LIFE JEFFERSON</t>
  </si>
  <si>
    <t>ELEM BD SH LIFE LINCOLN</t>
  </si>
  <si>
    <t>ELEM BD SH LIFE MCKINLEY</t>
  </si>
  <si>
    <t>ELEM BD SH LIFE SHEPHERD</t>
  </si>
  <si>
    <t>ELEM BD SH LIFE DIST</t>
  </si>
  <si>
    <t>ELEM STEM REPAIRS SHEPHERD</t>
  </si>
  <si>
    <t>ELEM SUPPLIES CENTRAL</t>
  </si>
  <si>
    <t>SCIENCE SUPPLIES CENTRAL</t>
  </si>
  <si>
    <t>ELEM SUPPLIES JEFFERSON</t>
  </si>
  <si>
    <t>ELEM SUPPLIES LINCOLN</t>
  </si>
  <si>
    <t>ELEM SUPPLIES MCKINLEY</t>
  </si>
  <si>
    <t>ELEM SUPPLIES SHEPHERD</t>
  </si>
  <si>
    <t>ELEM SUPPLIES DIST WIDE</t>
  </si>
  <si>
    <t>ELEM PTO SUPPLIES CENTRAL</t>
  </si>
  <si>
    <t>ELEM PTO SUPPLIES JEFFERSON</t>
  </si>
  <si>
    <t>ELEM PTO SUPPLIES LINCOLN</t>
  </si>
  <si>
    <t>ELEM PTO SUPPLIES MCKINLEY</t>
  </si>
  <si>
    <t>ELEM STEM/FOOD/SEW SHEPHERD</t>
  </si>
  <si>
    <t>ELEMENTARY RURAL EDUCATION GRANT DIST WIDE</t>
  </si>
  <si>
    <t>ELEM PE UNIFORMS SHEPHERD</t>
  </si>
  <si>
    <t>ELEM FINE ARTS SUPPLIES DIST</t>
  </si>
  <si>
    <t>WALMART GRANT/HERMES</t>
  </si>
  <si>
    <t>ELEM FAIRMNT/HIGGINS LINCOLN</t>
  </si>
  <si>
    <t>ELEM FAIRMNT/CJOHNSON LINCOLN</t>
  </si>
  <si>
    <t>ELEM JANE HERMAN SHEPHERD</t>
  </si>
  <si>
    <t>FAIRMOUNT/SCHMIDT SHEPHERD</t>
  </si>
  <si>
    <t>MIGHTY ACORNS PROGRAM</t>
  </si>
  <si>
    <t>ELEM ROLANDO`S KITCHN CENTRAL</t>
  </si>
  <si>
    <t>ELEMENTARY TEXTBOOKS DIST</t>
  </si>
  <si>
    <t>400</t>
  </si>
  <si>
    <t>Supplies And Materials</t>
  </si>
  <si>
    <t>ELEM STEM LAB CENTRAL</t>
  </si>
  <si>
    <t>ELEM STEM LAB SHEPHERD</t>
  </si>
  <si>
    <t>500</t>
  </si>
  <si>
    <t>BD TEACHER SPED</t>
  </si>
  <si>
    <t>B D T.A. SPED</t>
  </si>
  <si>
    <t>BD BD SH TRS SPED</t>
  </si>
  <si>
    <t>B D BD SH INS SPED</t>
  </si>
  <si>
    <t>BD  BD SH LIFE SPED</t>
  </si>
  <si>
    <t>BD TEACHER SPED (2-4)</t>
  </si>
  <si>
    <t>Behavior Disorder</t>
  </si>
  <si>
    <t>L D TEACHER SPED</t>
  </si>
  <si>
    <t>L D T.A. DIST</t>
  </si>
  <si>
    <t>LD BD SH TRS SPED</t>
  </si>
  <si>
    <t>LD BD SH HEALTH SPED</t>
  </si>
  <si>
    <t>LD BD SH LIFE SPED</t>
  </si>
  <si>
    <t>L D TEACHER SPED (2-4)</t>
  </si>
  <si>
    <t>L D SUPPLIES SPED</t>
  </si>
  <si>
    <t>LEARNING DISABLED (LD)</t>
  </si>
  <si>
    <t>MUSIC THERAPY TUITION SPED</t>
  </si>
  <si>
    <t>Other Health Impairment</t>
  </si>
  <si>
    <t>HILLMAN PEDIATRICS TUITION SPED</t>
  </si>
  <si>
    <t>Infant/Toddler (I/T)</t>
  </si>
  <si>
    <t>DHH TEACHER SPED</t>
  </si>
  <si>
    <t>DHH SUMMER SCHOOL SPED</t>
  </si>
  <si>
    <t>DHH TA SPED</t>
  </si>
  <si>
    <t>DHH BD SH TRS SPED</t>
  </si>
  <si>
    <t>DHH BD SH HEALTH SPED</t>
  </si>
  <si>
    <t>DHH BD SH LIFE SPED</t>
  </si>
  <si>
    <t>DHH TEACHER SPED (2-4)</t>
  </si>
  <si>
    <t>DHH SUMMER SCHOOL SPED (2-4)</t>
  </si>
  <si>
    <t>DHH REPAIRS SPED</t>
  </si>
  <si>
    <t>DHH SUPPLIES SPED</t>
  </si>
  <si>
    <t>DHH CAP OUTLAY SPED</t>
  </si>
  <si>
    <t>DHH</t>
  </si>
  <si>
    <t>COGNITIVE DIS TEACHER SPED</t>
  </si>
  <si>
    <t>COGNITIVE DIS TA</t>
  </si>
  <si>
    <t xml:space="preserve">COGNITIVE DIS TA </t>
  </si>
  <si>
    <t>COGNITIVE DIS BD SH TRS SPED</t>
  </si>
  <si>
    <t>COGNITIVE DIS BD SH HLTH SPED</t>
  </si>
  <si>
    <t>COGNITIVE DIS BD SH LIFE SPED</t>
  </si>
  <si>
    <t>COGNITIVE DIS TEACHER SPE (2-4</t>
  </si>
  <si>
    <t>COGNITIVE DIS SUPPLIES SPED</t>
  </si>
  <si>
    <t>COGNITIVE DIS FOOD/SUPPLIES SPED</t>
  </si>
  <si>
    <t>EMH/TMH</t>
  </si>
  <si>
    <t>PRE SCHOOL TEACHER SAL (1.5) SPED</t>
  </si>
  <si>
    <t>PRE SCHOOL TA SALARY (.5) SPED</t>
  </si>
  <si>
    <t>PRE SCHOOL BD SH TRS SPED</t>
  </si>
  <si>
    <t>PRE SCHOOL BD SH HEALTH SPED</t>
  </si>
  <si>
    <t>PRE SCHOOL BD SH LIFE SPED</t>
  </si>
  <si>
    <t>PRE SCHOOL TEACHER SAL (1 (2-4</t>
  </si>
  <si>
    <t>PRE SCHOOL ASSESSMENT SPED</t>
  </si>
  <si>
    <t>TITLE I 1003(a) SHEPHERD TUTORING</t>
  </si>
  <si>
    <t>TITLE I TEACHER SAL DIST</t>
  </si>
  <si>
    <t>TITLE I PAROCHIAL DIST</t>
  </si>
  <si>
    <t>TITLE I ELL SALARY (2) DIST</t>
  </si>
  <si>
    <t>TITLE I CONFERENCE SUBS DIST</t>
  </si>
  <si>
    <t>TITLE I ELL INTERPRETING DIST</t>
  </si>
  <si>
    <t>TITLE I BD SH TRS DIST</t>
  </si>
  <si>
    <t>TITLE I FED TRS 9.85% DIST</t>
  </si>
  <si>
    <t>TITLE I BD SH HEALTH DIST</t>
  </si>
  <si>
    <t>TITLE I BD SH LIFE DIST</t>
  </si>
  <si>
    <t>TITLE I PARENTS DIST</t>
  </si>
  <si>
    <t>TITLE I PAROCHIAL STAFF DEV DIST</t>
  </si>
  <si>
    <t>TITLE I PAROCHIAL PARENTS DIST</t>
  </si>
  <si>
    <t>TITLE I 1003(a) LINCOLN SOFTWARE</t>
  </si>
  <si>
    <t>TITLE I 1003(A) PROF DEVELOPMENT</t>
  </si>
  <si>
    <t>TITLE I STAFF DEVELOPMENT DIST</t>
  </si>
  <si>
    <t>TITLE I 1003(a) SHEPHERD SERVICE FEE</t>
  </si>
  <si>
    <t>TITLE I 1003(a) LINCOLN SUPPLIES</t>
  </si>
  <si>
    <t>TITLE I 1003(a) LINCOLN IPADS</t>
  </si>
  <si>
    <t>TITLE I 1003(a) SHEPHERD SUPPLIES</t>
  </si>
  <si>
    <t>TITLE I 1003(a) SHEPHERD IPADS &amp; SUPPLIES</t>
  </si>
  <si>
    <t>TITLE I SUPPLIES DIST</t>
  </si>
  <si>
    <t>TITLE I ELL SUPPLIES DIST</t>
  </si>
  <si>
    <t>TITLE I HOMELESS DIST</t>
  </si>
  <si>
    <t>TITLE I 1003(a) SHEPHERD EQUIPMENT</t>
  </si>
  <si>
    <t>Title 1</t>
  </si>
  <si>
    <t>EC GRANT TEACHER SAL</t>
  </si>
  <si>
    <t xml:space="preserve">EC GRANT PARENT COOD </t>
  </si>
  <si>
    <t>EC GRANT PARENT COOD</t>
  </si>
  <si>
    <t>EC GRANT GENERAL ADMIN</t>
  </si>
  <si>
    <t>EC GRANT SUB SALARY</t>
  </si>
  <si>
    <t xml:space="preserve">EC GRANT TA SALARY </t>
  </si>
  <si>
    <t>EC GRANT TA SALARY</t>
  </si>
  <si>
    <t>EC GRANT CUSTODIAL SAL</t>
  </si>
  <si>
    <t>EC GRANT DRIVER/MONITOR SAL</t>
  </si>
  <si>
    <t>EC GRANT CERT NURSE &amp; MENTAL HEALTH</t>
  </si>
  <si>
    <t>EC GRANT INSTRUCTIONAL LEADER</t>
  </si>
  <si>
    <t>EC GRANT BD SH TRS</t>
  </si>
  <si>
    <t>EC GRANT BD SH HEALTH</t>
  </si>
  <si>
    <t>EC GRANT BD SH LIFE</t>
  </si>
  <si>
    <t>EC GRANT TEACHER SAL (2-4)</t>
  </si>
  <si>
    <t>EC GRANT THERAPY TRAVELERS</t>
  </si>
  <si>
    <t>EC GRANT FIELD TRIPS</t>
  </si>
  <si>
    <t>EC GRANT STAFF DEVLPMNT &amp; TRAV</t>
  </si>
  <si>
    <t>EC GRANT SUPPLIES</t>
  </si>
  <si>
    <t>EC GRANT TRANS FUEL &amp; MAINT</t>
  </si>
  <si>
    <t>EC GRANT PARENTS</t>
  </si>
  <si>
    <t>EC GRANT FOOD/SNACKS</t>
  </si>
  <si>
    <t>EC GRANT EQUIPMENT</t>
  </si>
  <si>
    <t>VOCAL ACCOMPANIST  SHEPHERD</t>
  </si>
  <si>
    <t>VOCAL REPAIR/MAINT SHEPHERD</t>
  </si>
  <si>
    <t>VOCAL SUPPLIES SHEPHERD</t>
  </si>
  <si>
    <t>K-6 VOCAL REPAIR/MAINT DIST</t>
  </si>
  <si>
    <t>K-6 VOCAL SUPPLIES DIST</t>
  </si>
  <si>
    <t>K-6 VOCAL EQUIPMENT DIST</t>
  </si>
  <si>
    <t>Function 1511</t>
  </si>
  <si>
    <t>FCS ACCOMPANIST DIST</t>
  </si>
  <si>
    <t>FCS DIRECTOR DIST</t>
  </si>
  <si>
    <t>FCS DIRECTOR DIST TRS</t>
  </si>
  <si>
    <t>FCS SUPPLIES DIST</t>
  </si>
  <si>
    <t>FCS UNIFORMS DIST</t>
  </si>
  <si>
    <t>FCS FIELD TRIPS DIST</t>
  </si>
  <si>
    <t>Function 1512</t>
  </si>
  <si>
    <t>BAND TEACHER SAL (2) DIST</t>
  </si>
  <si>
    <t>BAND BD SH TRS DIST</t>
  </si>
  <si>
    <t>BAND BD SH HEALTH DIST</t>
  </si>
  <si>
    <t>BAND BD SH LIFE DIST</t>
  </si>
  <si>
    <t>BAND REPAIR/MAINT DIST</t>
  </si>
  <si>
    <t>BAND SUPPLIES DIST</t>
  </si>
  <si>
    <t>BAND OHS/OES FEST DIST</t>
  </si>
  <si>
    <t>BAND UNIFORMS</t>
  </si>
  <si>
    <t>BAND EQUIPMENT DIST</t>
  </si>
  <si>
    <t>BAND DUES/FEES DIST</t>
  </si>
  <si>
    <t>Extracurricular Programs</t>
  </si>
  <si>
    <t>ATHLETICS COACH/SPONSR SMS</t>
  </si>
  <si>
    <t>ATHLETICS BD SH TRS SMS</t>
  </si>
  <si>
    <t>ATHLETICS REFEREES DIST</t>
  </si>
  <si>
    <t>ATHLETICS BANQUETS</t>
  </si>
  <si>
    <t>ATHLETICS SUPPLIES</t>
  </si>
  <si>
    <t>ATHLETICS UNIFORMS DIST</t>
  </si>
  <si>
    <t>ATHLETICS AWARDS DIST</t>
  </si>
  <si>
    <t>ATHLETICS EQUIPMENT DIST</t>
  </si>
  <si>
    <t>ATHLETICS DUES/FEES SHEPHERD</t>
  </si>
  <si>
    <t>Function 1550</t>
  </si>
  <si>
    <t>ATHLETICS 5TH/6TH DIST</t>
  </si>
  <si>
    <t>ATHLETICS 5/6TH BD SH TRS DIST</t>
  </si>
  <si>
    <t>Function 1560</t>
  </si>
  <si>
    <t>DEAN OF STUDENTS CENTRAL</t>
  </si>
  <si>
    <t>DEAN OF STUDENTS SHEPHERD</t>
  </si>
  <si>
    <t>STUDENT SERVICES ASST PRINCIPAL</t>
  </si>
  <si>
    <t>BD SH TRS CENTRAL</t>
  </si>
  <si>
    <t>BD SH TRS SHEPHERD</t>
  </si>
  <si>
    <t>STUDENT SERVICES BD SH TRS</t>
  </si>
  <si>
    <t>BD SH HEALTH CENTRAL</t>
  </si>
  <si>
    <t>BD SH HEALTH SHEPHERD</t>
  </si>
  <si>
    <t>STUDENT SERVICES BD SH HEALTH</t>
  </si>
  <si>
    <t>BD SH LIFE CENTRAL</t>
  </si>
  <si>
    <t>BD SH LIFE SHEPHERD</t>
  </si>
  <si>
    <t>STUDENT SERVICES BD SH LIFE</t>
  </si>
  <si>
    <t>STUDENT SERVICES GRADUATION</t>
  </si>
  <si>
    <t>Attendance Services</t>
  </si>
  <si>
    <t>SSW SALARIES SPECIAL ED</t>
  </si>
  <si>
    <t>SSW INTERN SPECIAL ED</t>
  </si>
  <si>
    <t>SSW BD SH TRS SPECIAL ED</t>
  </si>
  <si>
    <t>SSW BD SH HEALTH SPECIAL ED</t>
  </si>
  <si>
    <t>SSW BD SH LIFE SPECIAL ED</t>
  </si>
  <si>
    <t>SSW CONTRACTED SERVICE SPED</t>
  </si>
  <si>
    <t>SSW SUPPLIES SPECIAL ED</t>
  </si>
  <si>
    <t>Social Work Services</t>
  </si>
  <si>
    <t>CURRICULUM DIRECTOR SALARY</t>
  </si>
  <si>
    <t>CURRICULUM DIRECTOR BD SH TRS</t>
  </si>
  <si>
    <t>CURRICULUM DIRECTOR BD SH HLTH</t>
  </si>
  <si>
    <t>CURRICULUM DIRECTOR BD SH LIFE</t>
  </si>
  <si>
    <t>CURRICULUM DIRECTOR BD SH FLEX</t>
  </si>
  <si>
    <t>Othr Attend/Social Wrk Sv</t>
  </si>
  <si>
    <t>COUNSELOR SALARIES (1) SHEPHERD</t>
  </si>
  <si>
    <t>COUNSELOR SALARIES (1) MCKINLEY</t>
  </si>
  <si>
    <t>COUNSELOR BD SH TRS SHEPHERD</t>
  </si>
  <si>
    <t>COUNSELOR BD SH TRS DIST WIDE</t>
  </si>
  <si>
    <t>COUNSELOR BD SH HLTH SHEPHERD</t>
  </si>
  <si>
    <t>COUNSELOR BD SH HEALTH</t>
  </si>
  <si>
    <t>COUNSELOR BD SH LIFE SHEPHERD</t>
  </si>
  <si>
    <t>COUNSELOR BD SH LIFE DIST WIDE</t>
  </si>
  <si>
    <t>Service Area Direction</t>
  </si>
  <si>
    <t>HEALTH PROVIDER SPED SALARY</t>
  </si>
  <si>
    <t>HEALTH PROVIDER SPED SALA (BCB</t>
  </si>
  <si>
    <t>BD SH INS</t>
  </si>
  <si>
    <t>HEALTH PROVIDER LIFE INS SPED</t>
  </si>
  <si>
    <t>Medical Services</t>
  </si>
  <si>
    <t>HEALTH SRVCES NURSE SALARIES (3)</t>
  </si>
  <si>
    <t>HEALTH SERVICES SHEPHERD</t>
  </si>
  <si>
    <t>HEALTH SERVICES SHEPHERD (BCBS</t>
  </si>
  <si>
    <t>HEALTH SERVICES BD SH HEALTH</t>
  </si>
  <si>
    <t>HEALTH SERVICES SHEPHERD (2-4)</t>
  </si>
  <si>
    <t>HEALTH SERVICE BD SH LIFE</t>
  </si>
  <si>
    <t>HEALTH SERVICE SUPPLIES</t>
  </si>
  <si>
    <t>HEALTH SERVICES CAPITAL OUTLAY</t>
  </si>
  <si>
    <t>Nurse Services</t>
  </si>
  <si>
    <t>SPED OFFICE PROF SALARY</t>
  </si>
  <si>
    <t>SPED OFFICE PYSCHOLOGIST (1)</t>
  </si>
  <si>
    <t>SPED OFFICE PSYCH INTERN</t>
  </si>
  <si>
    <t>SPED OFFICE HOME TUTORS</t>
  </si>
  <si>
    <t>SPED OFFICE CLERICAL SALARY</t>
  </si>
  <si>
    <t>SPED CONFERENCE SUBS</t>
  </si>
  <si>
    <t>SPECIAL EDUC OFFICE BD SH TRS</t>
  </si>
  <si>
    <t>SPECIAL EDUC  BD SH TRS (PYSCH)</t>
  </si>
  <si>
    <t>SPED OFFICE BD SH HEALTH</t>
  </si>
  <si>
    <t>SPED BD SH HEALTH (PYSCH)</t>
  </si>
  <si>
    <t>SPED OFFICE BD SH LIFE</t>
  </si>
  <si>
    <t>SPED BD SH LIFE (PYSCH)</t>
  </si>
  <si>
    <t>SPED OFFICE BD SH FLEX</t>
  </si>
  <si>
    <t>SPED OFFICE INTERPRETING</t>
  </si>
  <si>
    <t>SPED OFFICE DIAG EVALUATION</t>
  </si>
  <si>
    <t>SPED OFFICE HOSPITAL TUTORS</t>
  </si>
  <si>
    <t>SPED OFFICE REPAIR/MAINT</t>
  </si>
  <si>
    <t>SPED STAFF DEVELOPMENT/TRAVEL</t>
  </si>
  <si>
    <t>IDEA FLOW THRU STAFF DEV &amp; IEP</t>
  </si>
  <si>
    <t>SPED OFFICE TELEPHONE</t>
  </si>
  <si>
    <t>SPED OFFICE SUPPLIES</t>
  </si>
  <si>
    <t>SPED OFFICE ASSESSMENT (TESTING)</t>
  </si>
  <si>
    <t>SPED OFFICE CAPITAL OUTLAY</t>
  </si>
  <si>
    <t>SPED OFFICE DUES/FEES</t>
  </si>
  <si>
    <t>SPEECH SALARY (5) SPED</t>
  </si>
  <si>
    <t>SPEECH SUMMER SCHOOL SPED</t>
  </si>
  <si>
    <t>SPEECH BD SH TRS SPED</t>
  </si>
  <si>
    <t>SPEECH 9.85% FED FUNDS SPED</t>
  </si>
  <si>
    <t>SPEECH BD SH INS SPED</t>
  </si>
  <si>
    <t>SPEECH BD SH LIFE SPED</t>
  </si>
  <si>
    <t>SPEECH DUES/FEES SPED</t>
  </si>
  <si>
    <t>SPEECH PATHOLOGY SERVICES</t>
  </si>
  <si>
    <t>IDEA FLOW THRU SUBS IEP &amp; PD</t>
  </si>
  <si>
    <t>TITLE 2 TCH QUALITY STIPEND</t>
  </si>
  <si>
    <t>TITLE 2 TCH QUALITY (BUCCIARELLI)</t>
  </si>
  <si>
    <t>IDEA FLOW THRU SUBS IEP &amp; (SUB</t>
  </si>
  <si>
    <t>TITLE 2 TCH QUALITY BD SH TRS</t>
  </si>
  <si>
    <t>TITLE 2 TCH QUALITY 9.85% FED FUNDS</t>
  </si>
  <si>
    <t>TITLE 2 TCH QUALITY TUITION REIMB</t>
  </si>
  <si>
    <t>RURAL &amp; LOW INCOME SCHOOL PROGRAM</t>
  </si>
  <si>
    <t>TITLE 2 TCH QUALITY PAROCHIAL</t>
  </si>
  <si>
    <t>TITLE 2 TCH QUALITY STAFF DEVELOPMENT/TRAVEL</t>
  </si>
  <si>
    <t>TITLE 2 TCH QUALITY SUPPLIES</t>
  </si>
  <si>
    <t>Improvement of Instruction Serv</t>
  </si>
  <si>
    <t>SADD STIPENDS</t>
  </si>
  <si>
    <t>SADD TRS</t>
  </si>
  <si>
    <t>SUBSTANCE ABUSE D.A.R.E.</t>
  </si>
  <si>
    <t>TITLE IV-A SSAE ZSPACE</t>
  </si>
  <si>
    <t>CHAR CNTS/DRUG FREE DUES/FEES (CHAR CNTS)</t>
  </si>
  <si>
    <t>Instruction &amp; Curriculum</t>
  </si>
  <si>
    <t>STAFF DEVELOPMENT STIPEND</t>
  </si>
  <si>
    <t>STAFF DEVELOPMENT BD SH TRS</t>
  </si>
  <si>
    <t>STAFF DEVELOPMENT STAFF DEVELOPMENT/TRAVEL</t>
  </si>
  <si>
    <t>STAFF DEVELOPMENT SUPPLIES</t>
  </si>
  <si>
    <t>Instrctnl Staff Training</t>
  </si>
  <si>
    <t>TITLE 4 A SSAE</t>
  </si>
  <si>
    <t>LIBRARY TEACHER (1) SHEPHERD</t>
  </si>
  <si>
    <t xml:space="preserve">LIBRARY TEACHING ASSIST </t>
  </si>
  <si>
    <t>LIBRARY TEACHING ASSIST</t>
  </si>
  <si>
    <t>LIBRARY TEACHING ASSIST (4) DIST</t>
  </si>
  <si>
    <t>LIBRARY BD SH TRS SHEPHERD</t>
  </si>
  <si>
    <t>LIBRARY BD SH HEALTH DIST</t>
  </si>
  <si>
    <t>LIBRARY BD SH HEALTH SHEPHERD</t>
  </si>
  <si>
    <t>LIBRARY  BD SH LIFE DIST</t>
  </si>
  <si>
    <t>LIBRARY BD SH LIFE SHEPHERD</t>
  </si>
  <si>
    <t>LIBRARY TEACHING ASSIST (2-4)</t>
  </si>
  <si>
    <t>LIBRARY TEACHER (1) SHEPH (2-4</t>
  </si>
  <si>
    <t>LIBRARY SUPPLIES CENTRAL</t>
  </si>
  <si>
    <t>LIBRARY SUPPLIES JEFFERSON</t>
  </si>
  <si>
    <t>LIBRARY SUPPLIES LINCOLN</t>
  </si>
  <si>
    <t>LIBRARY SUPPLIES MCKINLEY</t>
  </si>
  <si>
    <t>LIBRARY SUPPLIES SHEPHERD</t>
  </si>
  <si>
    <t>LIBRARY BOOKS CENTRAL</t>
  </si>
  <si>
    <t>LIBRARY BOOKS JEFFERSON</t>
  </si>
  <si>
    <t>LIBRARY BOOKS LINCOLN</t>
  </si>
  <si>
    <t>LIBRARY BOOKS MCKINLEY</t>
  </si>
  <si>
    <t>LIBRARY BOOKS SHEPHERD</t>
  </si>
  <si>
    <t>SCHOOL LIBRARY GRANT BOOKS</t>
  </si>
  <si>
    <t>Sch Library Services</t>
  </si>
  <si>
    <t>TECHNOLOGY TECH DIRECTOR</t>
  </si>
  <si>
    <t>TECHNOLOGY TECH ASST</t>
  </si>
  <si>
    <t>TECHNOLOGY BD SH INS</t>
  </si>
  <si>
    <t>TECHNOLOGY BD SH LIFE</t>
  </si>
  <si>
    <t>TECHNOLOGY SOFTWARE MAINT</t>
  </si>
  <si>
    <t>TECHNOLOGY CONSULTANT</t>
  </si>
  <si>
    <t>TECHNOLOGY REPAIRS &amp; NETWORKING</t>
  </si>
  <si>
    <t>TECHNOLOGY T-1/INTERNET</t>
  </si>
  <si>
    <t>TECHNOLOGY SERVICE TECH TELEPHONE</t>
  </si>
  <si>
    <t>TECHNOLOGY FIBER WAN</t>
  </si>
  <si>
    <t>TECHNOLOGY RK DIXON MAINT AGREE</t>
  </si>
  <si>
    <t>TECHNOLOGY STAFF DEV/TRAVEL</t>
  </si>
  <si>
    <t>TECHNOLOGY SOFTWARE</t>
  </si>
  <si>
    <t>TECHNOLOGY SUPPLIES</t>
  </si>
  <si>
    <t>TECHNOLOGY INCIDENTALS</t>
  </si>
  <si>
    <t>TECHNOLOGY CAPITAL OUTLAY</t>
  </si>
  <si>
    <t>TECHNOLOGY E-RATE CATEGORY 2</t>
  </si>
  <si>
    <t>Educational Television Sv</t>
  </si>
  <si>
    <t>BOARD OF EDUCATION BOARD SECRETARY</t>
  </si>
  <si>
    <t>BOARD OF EDUCATION AUDIT</t>
  </si>
  <si>
    <t>BOARD OF EDUCATION LEGAL SERV</t>
  </si>
  <si>
    <t>BOARD OF EDUC CONF/TRAVEL</t>
  </si>
  <si>
    <t>BOARD OF EDUC LIABILITY INS</t>
  </si>
  <si>
    <t>BOARD OF EDUC HLTH INS ADMIN</t>
  </si>
  <si>
    <t>BOARD OF EDUC BCBS REFUND ACCT (STAFF)</t>
  </si>
  <si>
    <t>BOARD OF EDUC BCBS HSA START UP</t>
  </si>
  <si>
    <t>BOARD OF EDUC SUPPLIES</t>
  </si>
  <si>
    <t>BOARD OF EDUC DUES/FEES</t>
  </si>
  <si>
    <t>SUPT OFFICE SUPT SALARY</t>
  </si>
  <si>
    <t>SUPT OFFICE SUPT SEC</t>
  </si>
  <si>
    <t>SUPT OFFICE SECRETARY</t>
  </si>
  <si>
    <t>SUPT OFFICE BD SH TRS</t>
  </si>
  <si>
    <t>SUPT OFFICE BD SH HEALTH</t>
  </si>
  <si>
    <t>SUPT OFFICE BD SH LIFE</t>
  </si>
  <si>
    <t>SUPT OFFICE BD SH FLEX</t>
  </si>
  <si>
    <t>SUPT OFFICE REPAIR/MAINT</t>
  </si>
  <si>
    <t>SUPT OFFICE POSTAGE RENT</t>
  </si>
  <si>
    <t>SUPT OFFICE MILEAGE</t>
  </si>
  <si>
    <t>SUPT OFFICE CONFERENCES</t>
  </si>
  <si>
    <t>SUPT OFFICE PROFESSIONAL DUES</t>
  </si>
  <si>
    <t>SUPT OFFICE TELEPHONE</t>
  </si>
  <si>
    <t>SUPT OFFICE POSTAGE</t>
  </si>
  <si>
    <t>SUPT OFFICE SUPPLIES</t>
  </si>
  <si>
    <t>SUPT OFFICE PERIODICALS</t>
  </si>
  <si>
    <t>SUPT OFFICE EQUIPMENT</t>
  </si>
  <si>
    <t>Office Of Supt Services</t>
  </si>
  <si>
    <t>PRINCIPAL OFFICE SALARY CENTRAL</t>
  </si>
  <si>
    <t>PRINCIPAL OFFICE SALARY JEFFERSON</t>
  </si>
  <si>
    <t>PRINCIPAL OFFICE SALARY LINCOLN</t>
  </si>
  <si>
    <t>PRINCIPAL OFFICE SALARY MCKINLEY</t>
  </si>
  <si>
    <t>PRINCIPAL OFFICE SALARY SHEPHERD</t>
  </si>
  <si>
    <t>PRINCIPAL OFFICE CLERICAL SALARY CENTRAL</t>
  </si>
  <si>
    <t>PRINCIPAL OFFICE CLERICAL SALARY JEFFERSON</t>
  </si>
  <si>
    <t>PRINCIPAL OFFICE CLERICAL SALARY LINCOLN</t>
  </si>
  <si>
    <t>PRINCIPAL OFFICE CLERICAL SALARY MCKINLEY</t>
  </si>
  <si>
    <t>PRINCIPAL OFFICE CLERICAL SALARY SHEPHERD</t>
  </si>
  <si>
    <t>PRINCIPAL OFFICE CLERICAL ASSIST</t>
  </si>
  <si>
    <t>PRINCIPAL OFFICE SUB CLERICAL</t>
  </si>
  <si>
    <t>PRINCIPAL OFFICE BD SH TRS CENTRAL</t>
  </si>
  <si>
    <t>PRINCIPAL OFFICE BD SH TRS JEFFERSON</t>
  </si>
  <si>
    <t>PRINCIPAL OFFICE BD SH TRS LINCOLN</t>
  </si>
  <si>
    <t>PRINCIPAL OFFICE BD SH TRS MCKINLEY</t>
  </si>
  <si>
    <t>PRINCIPAL OFFICE BD SH TRS SHEPHERD</t>
  </si>
  <si>
    <t>PRINCIPAL OFFICE BD SH HEALTH CENTRAL</t>
  </si>
  <si>
    <t>PRINCIPAL OFFICE BD SH HEALTH JEFFERSON</t>
  </si>
  <si>
    <t>PRINCIPAL OFFICE BD SH HEALTH LINCOLN</t>
  </si>
  <si>
    <t>PRINCIPAL OFFICE BD SH HEALTH MCKINLEY</t>
  </si>
  <si>
    <t>PRINCIPAL OFFICE BD SH HEALTH SHEPHERD</t>
  </si>
  <si>
    <t>PRINCIPAL OFFICE CLERICAL (BCB)</t>
  </si>
  <si>
    <t>PRINCIPAL OFFICE BD SH LIFE CENTRAL</t>
  </si>
  <si>
    <t>PRINCIPAL OFFICE BD SH LIFE JEFFERSON</t>
  </si>
  <si>
    <t>PRINCIPAL OFFICE BD SH LIFE LINCOLN</t>
  </si>
  <si>
    <t>PRINCIPAL OFFICE BD SH LIFE MCKINLEY</t>
  </si>
  <si>
    <t>PRINCIPAL OFFICE BD SH LIFE SHEPHERD</t>
  </si>
  <si>
    <t>PRINCIPAL OFFICE CLERICAL (2-4</t>
  </si>
  <si>
    <t>PRINCIPAL OFFICE FLEX CENTRAL</t>
  </si>
  <si>
    <t>PRINCIPAL OFFICE FLEX JEFFERSON</t>
  </si>
  <si>
    <t>PRINCIPAL OFFICE FLEX LINCOLN</t>
  </si>
  <si>
    <t>PRINCIPAL OFFICE FLEX MCKINLEY</t>
  </si>
  <si>
    <t>PRINCIPAL OFFICE FLEX SHEPHERD</t>
  </si>
  <si>
    <t>PRINCIPAL OFFICE REPAIR/MAINT CENTRAL</t>
  </si>
  <si>
    <t>PRINCIPAL OFFICE REPAIR/MAINT JEFFERSON</t>
  </si>
  <si>
    <t>PRINCIPAL OFFICE REPAIR/MAINT LINCOLN</t>
  </si>
  <si>
    <t>PRINCIPAL OFFICE REPAIR/MAINT MCKINLEY</t>
  </si>
  <si>
    <t>PRINCIPAL OFFICE REPAIR/MAINT SHEPHERD</t>
  </si>
  <si>
    <t>PRINCIPAL OFFICE TELEPHONE CENTRAL</t>
  </si>
  <si>
    <t>PRINCIPAL OFFICE TELEPHONE JEFFERSON</t>
  </si>
  <si>
    <t>PRINCIPAL OFFICE TELEPHONE LINCOLN</t>
  </si>
  <si>
    <t>PRINCIPAL OFFICE TELEPHONE MCKINLEY</t>
  </si>
  <si>
    <t>PRINCIPAL OFFICE TELEPHONE SHEPHERD</t>
  </si>
  <si>
    <t>PRINCIPAL OFFICE POSTAGE CENTRAL</t>
  </si>
  <si>
    <t>PRINCIPAL OFFICE POSTAGE JEFFERSON</t>
  </si>
  <si>
    <t>PRINCIPAL OFFICE POSTAGE LINCOLN</t>
  </si>
  <si>
    <t>PRINCIPAL OFFICE POSTAGE MCKINLEY</t>
  </si>
  <si>
    <t>PRINCIPAL OFFICE POSTAGE SHEPHERD</t>
  </si>
  <si>
    <t>PRINCIPAL OFFICE SUPPLIES CENTRAL</t>
  </si>
  <si>
    <t>PRINCIPAL OFFICE SUPPLIES JEFFERSON</t>
  </si>
  <si>
    <t>PRINCIPAL OFFICE SUPPLIES LINCOLN</t>
  </si>
  <si>
    <t>PRINCIPAL OFFICE SUPPLIES MCKINLEY</t>
  </si>
  <si>
    <t>PRINCIPAL OFFICE SUPPLIES SHEPHERD</t>
  </si>
  <si>
    <t>PRINCIPAL OFFICE CAP OUTLAY DIST</t>
  </si>
  <si>
    <t>PRINCIPAL OFFICE PROFESSIONAL DUES DIST WIDE</t>
  </si>
  <si>
    <t>Office Of Principal Serv</t>
  </si>
  <si>
    <t>FISCAL SERVICE BUSINESS COORD</t>
  </si>
  <si>
    <t>FISCAL SERVICE BOOKKEEPER</t>
  </si>
  <si>
    <t>FISCAL SERVICE BD SH HEALTH</t>
  </si>
  <si>
    <t>FISCAL SERVICE BD SH LIFE</t>
  </si>
  <si>
    <t>FISCAL SERVICE CONVERSION FEE</t>
  </si>
  <si>
    <t>FISCAL SERVICE SOFTWARE LICENSE FEE</t>
  </si>
  <si>
    <t>FISCAL SERVICE ANNUAL SOFTWARE MAINT</t>
  </si>
  <si>
    <t>FISCAL SERVICE WEB HOSTING FEE</t>
  </si>
  <si>
    <t>FISCAL SERVICE STAFF DEV/TRAVEL</t>
  </si>
  <si>
    <t>FISCAL SERVICE UNEMPLOY COMP</t>
  </si>
  <si>
    <t>FISCAL SERVICE SUPPLIES</t>
  </si>
  <si>
    <t>FISCAL SERVICE CAP OUTLAY</t>
  </si>
  <si>
    <t>FISCAL SERVICE FEES DIST OFFICE</t>
  </si>
  <si>
    <t>TELEPHONE DIST WIDE</t>
  </si>
  <si>
    <t>NATURAL GAS CENTRAL</t>
  </si>
  <si>
    <t>NATURAL GAS JEFFERSON</t>
  </si>
  <si>
    <t>NATURAL GAS LINCOLN</t>
  </si>
  <si>
    <t>NATURAL GAS MCKINLEY</t>
  </si>
  <si>
    <t>NATURAL GAS SHEPHERD</t>
  </si>
  <si>
    <t>ELECTRICITY CENTRAL</t>
  </si>
  <si>
    <t>ELECTRICITY JEFFERSON</t>
  </si>
  <si>
    <t>ELECTRICITY LINCOLN</t>
  </si>
  <si>
    <t>ELECTRICITY MCKINLEY</t>
  </si>
  <si>
    <t>ELECTRICITY SHEPHERD</t>
  </si>
  <si>
    <t>Oper and Maint of Plant Services</t>
  </si>
  <si>
    <t>FOOD SERVICE CAFETERIA MANAGER</t>
  </si>
  <si>
    <t>FOOD SERVICE COOKS</t>
  </si>
  <si>
    <t>FOOD SERVICE VAN DRIVERS</t>
  </si>
  <si>
    <t>FOOD SERVICE SERVERS/CASHIERS</t>
  </si>
  <si>
    <t>FOOD SERVICE SUB COOKS</t>
  </si>
  <si>
    <t>FOOD SERVICE BD SH HEALTH</t>
  </si>
  <si>
    <t>FOOD SERVICE BD SH LIFE</t>
  </si>
  <si>
    <t>FOOD SERVICE REPAIR/MAINT</t>
  </si>
  <si>
    <t>FOOD SERVICE VAN REP/MAIN</t>
  </si>
  <si>
    <t>FOOD SERVICE STAFF DEV/TRAVEL</t>
  </si>
  <si>
    <t>FOOD SERVICE SUPPLIES</t>
  </si>
  <si>
    <t>FOOD SERVICE SUPPLIES - MAINT</t>
  </si>
  <si>
    <t>FOOD SERVICE MILK</t>
  </si>
  <si>
    <t>FOOD SERVICE ICE CREAM</t>
  </si>
  <si>
    <t>FOOD SERVICE FOOD</t>
  </si>
  <si>
    <t>FOOD SERVICE VAN SUPPLIES</t>
  </si>
  <si>
    <t>FOOD SERVICE FOOD CO-OP</t>
  </si>
  <si>
    <t>FOOD SERVICE UNIFORMS</t>
  </si>
  <si>
    <t>FOOD SERVICE VAN GAS</t>
  </si>
  <si>
    <t>FOOD SERVICE CAF ELECTRIC SHEPHERD</t>
  </si>
  <si>
    <t>FOOD SERVICE CAP OUTLAY</t>
  </si>
  <si>
    <t>FOOD SERVICE NUTRITION DUES</t>
  </si>
  <si>
    <t>PRINT/PUB REPAIR/MAINT</t>
  </si>
  <si>
    <t>PRINT/PUB PAPER</t>
  </si>
  <si>
    <t>PRINT/PUB SUPPLIES</t>
  </si>
  <si>
    <t>PLAN/RES/EVALUATION NWEA-MAPS</t>
  </si>
  <si>
    <t>Curriculum Services</t>
  </si>
  <si>
    <t>INFORMATION SERVICE RADIO/NEWSPAPER</t>
  </si>
  <si>
    <t>Information Serices</t>
  </si>
  <si>
    <t>STAFF SERVICE RECOGNITION</t>
  </si>
  <si>
    <t>STAFF SERVICE RECOGNITION - TRS</t>
  </si>
  <si>
    <t>STAFF SERVICE MEDICALS</t>
  </si>
  <si>
    <t>IDEA FLOW THRU 9.85% FED FUNDS</t>
  </si>
  <si>
    <t>TITLE 4 A SSAE - PAROCHIAL</t>
  </si>
  <si>
    <t>TITLE 4 A SSAE - DARE</t>
  </si>
  <si>
    <t>SPECIAL ED LEASE DUES</t>
  </si>
  <si>
    <t>SPECIAL ED TONICA KEYS PROGRAM</t>
  </si>
  <si>
    <t>SPECIAL ED LEASE PERSONNEL LEVY</t>
  </si>
  <si>
    <t>LEASE PRESCHOOL LEVY</t>
  </si>
  <si>
    <t>Function 4121</t>
  </si>
  <si>
    <t>SPECIAL ED CBS TUITION</t>
  </si>
  <si>
    <t>SPECIAL ED LIGHTED WAY TUITION SPECIAL ED</t>
  </si>
  <si>
    <t>SPECIAL ED HAMMITT TUITION</t>
  </si>
  <si>
    <t>SPECIAL ED OTHER TUITION</t>
  </si>
  <si>
    <t>SPECIAL ED HEARING IMP TUITION</t>
  </si>
  <si>
    <t>SPECIAL ED VISION ITINERANT TUITION</t>
  </si>
  <si>
    <t>SPECIAL ED ONARGA TUITION SPECIAL ED</t>
  </si>
  <si>
    <t>Function 4123</t>
  </si>
  <si>
    <t>TELEPHONE  DISTRICT</t>
  </si>
  <si>
    <t>WATER CENTRAL</t>
  </si>
  <si>
    <t>WATER JEFFERSON</t>
  </si>
  <si>
    <t>WATER LINCOLN</t>
  </si>
  <si>
    <t>WATER MCKINLEY</t>
  </si>
  <si>
    <t>WATER SHEPHERD</t>
  </si>
  <si>
    <t>WATER DIST OFFICE</t>
  </si>
  <si>
    <t>NATURAL GAS DIST OFFICE</t>
  </si>
  <si>
    <t>ELECTRICITY DIST OFFICE</t>
  </si>
  <si>
    <t>CUSTODIAN CENTRAL</t>
  </si>
  <si>
    <t>CUSTODIAN JEFFERSON</t>
  </si>
  <si>
    <t>CUSTODIAN LINCOLN</t>
  </si>
  <si>
    <t>CUSTODIAN MCKINLEY</t>
  </si>
  <si>
    <t>CUSTODIAN SHEPHERD</t>
  </si>
  <si>
    <t>MAINTENANCE DIST WIDE</t>
  </si>
  <si>
    <t>MAINTENANCE OVERTIME</t>
  </si>
  <si>
    <t>SUB CUSTODIAN DIST</t>
  </si>
  <si>
    <t>SUMMER CREWS DIST</t>
  </si>
  <si>
    <t>BLDG RENTALS CENTRAL</t>
  </si>
  <si>
    <t>BLDG RENTALS JEFFERSON</t>
  </si>
  <si>
    <t>BLDG RENTALS LINCOLN</t>
  </si>
  <si>
    <t>BLDG RENTALS MCKINLEY</t>
  </si>
  <si>
    <t>BLDG RENTALS SHEPHERD</t>
  </si>
  <si>
    <t>BLDG MAINT CENTRAL</t>
  </si>
  <si>
    <t>BLDG MAINT JEFFERSON</t>
  </si>
  <si>
    <t>BLDG MAINT LINCOLN</t>
  </si>
  <si>
    <t>BLDG MAINT MCKINLEY</t>
  </si>
  <si>
    <t>BLDG MAINT SHEPHERD</t>
  </si>
  <si>
    <t>BLDG CHECKS CENTRAL</t>
  </si>
  <si>
    <t>BLDG CHECKS JEFFERSON</t>
  </si>
  <si>
    <t>BLDG CHECKS LINCOLN</t>
  </si>
  <si>
    <t>BLDG CHECKS MCKINLEY</t>
  </si>
  <si>
    <t>BLDG CHECKS SHEPHERD</t>
  </si>
  <si>
    <t>BD SH HEALTH JEFFERSON</t>
  </si>
  <si>
    <t>BD SH HEALTH LINCOLN</t>
  </si>
  <si>
    <t>BD SH HEALTH MCKINLEY</t>
  </si>
  <si>
    <t>BD SH HEALTH DIST</t>
  </si>
  <si>
    <t>BD SH INS RETIREE(1) DIST</t>
  </si>
  <si>
    <t>CARE/UPKEEP BD SH LIFE CENTRAL</t>
  </si>
  <si>
    <t>BD SH LIFE JEFFERSON</t>
  </si>
  <si>
    <t>BD SH LIFE LINCOLN</t>
  </si>
  <si>
    <t>BD SH LIFE MCKINLEY</t>
  </si>
  <si>
    <t>BD SH LIFE DIST</t>
  </si>
  <si>
    <t>PROF SERV DIST WIDE</t>
  </si>
  <si>
    <t>SANIT/EXTERM DIST WIDE</t>
  </si>
  <si>
    <t>REPAIR/MAINT CENTRAL</t>
  </si>
  <si>
    <t>REPAIR/MAINT JEFFERSON</t>
  </si>
  <si>
    <t>REPAIR/MAINT LINCOLN</t>
  </si>
  <si>
    <t>REPAIR/MAINT MCKINLEY</t>
  </si>
  <si>
    <t>REPAIR/MAINT SHEPHERD</t>
  </si>
  <si>
    <t>REPAIR/MAINT MAINT BLDG</t>
  </si>
  <si>
    <t>SIMPLEX CONTRACT DIST</t>
  </si>
  <si>
    <t>EQUIP RENTAL DIST</t>
  </si>
  <si>
    <t>MAINTENANCE AGREEMENTS DIST</t>
  </si>
  <si>
    <t>BACK FLOW/GREASE TRAP DIST</t>
  </si>
  <si>
    <t>LEAD WATER TESTING DIST</t>
  </si>
  <si>
    <t>STAFF DEV/TRAVEL DIST</t>
  </si>
  <si>
    <t>SUPPLIES CENTRAL</t>
  </si>
  <si>
    <t>SUPPLIES JEFFERSON</t>
  </si>
  <si>
    <t>SUPPLIES LINCOLN</t>
  </si>
  <si>
    <t>SUPPLIES MCKINLEY</t>
  </si>
  <si>
    <t>SUPPLIES SHEPHERD</t>
  </si>
  <si>
    <t>SUPPLIES MAINT BLDG</t>
  </si>
  <si>
    <t>VENDING MACH MAINT BLDG</t>
  </si>
  <si>
    <t>CUST UNIFORM DIST</t>
  </si>
  <si>
    <t>FURNITURE DIST</t>
  </si>
  <si>
    <t>FURNITURE DIST LECTURE ROOM</t>
  </si>
  <si>
    <t>IMPROVEMENTS DIST</t>
  </si>
  <si>
    <t>MAINT IMPROV - JEFFERSON BOILER</t>
  </si>
  <si>
    <t>RED SCHOOLHOUSE DIST</t>
  </si>
  <si>
    <t>EQUIPMENT DIST</t>
  </si>
  <si>
    <t>Care &amp; Upkeep Bldg Serv</t>
  </si>
  <si>
    <t>GROUNDS SERV REPAIR/MAINT</t>
  </si>
  <si>
    <t>GROUNDS SERV SUPPLIES ATHLETIC FLD</t>
  </si>
  <si>
    <t>GROUNDS SERV SUPPLIES DIST</t>
  </si>
  <si>
    <t>GROUNDS SERV TRACTOR GAS DIST</t>
  </si>
  <si>
    <t>GROUNDS SERV IMPROVEMENTS</t>
  </si>
  <si>
    <t>GROUNDS SERV EQUIPMENT DIST</t>
  </si>
  <si>
    <t>Care Upkeep Grnds Serv</t>
  </si>
  <si>
    <t>VEHICLE SERV REPAIR/MAINT DIST</t>
  </si>
  <si>
    <t>VEHICLE SERV SUPPLIES DIST</t>
  </si>
  <si>
    <t>VEHICLE SERV GASOLINE DIST</t>
  </si>
  <si>
    <t>Vehicle Serv/Maint Serv</t>
  </si>
  <si>
    <t>LIFE SAFETY BOND (15) PRINCIPAL</t>
  </si>
  <si>
    <t>BUILDING BOND (10) PRINCIPAL</t>
  </si>
  <si>
    <t>W/C BOND (16) PRINCIPAL</t>
  </si>
  <si>
    <t>LIFE SAFETY (15) INTEREST</t>
  </si>
  <si>
    <t>BUILDING BOND (10) INTEREST</t>
  </si>
  <si>
    <t>WC BOND (16) INTEREST</t>
  </si>
  <si>
    <t>BOND REGISTRAR FEES</t>
  </si>
  <si>
    <t>Function 5145</t>
  </si>
  <si>
    <t>TRANSPORT MECHANIC</t>
  </si>
  <si>
    <t>TRANSPORT ASSISTANT MECHANIC</t>
  </si>
  <si>
    <t>TRANSPORTATION DIRECTOR</t>
  </si>
  <si>
    <t>TRANSPORT OES DRIVERS</t>
  </si>
  <si>
    <t>TRANSPORT SUB OES DRIVERS</t>
  </si>
  <si>
    <t>TRANSPORTION ASST</t>
  </si>
  <si>
    <t>TRANSPORT OHS DRIVERS</t>
  </si>
  <si>
    <t>TRANSPORT SUB OHS DRIVERS</t>
  </si>
  <si>
    <t>TRANSPORT VACATION PAY/BONUS</t>
  </si>
  <si>
    <t>TRANSPORT ACCIDENT FREE BONUS</t>
  </si>
  <si>
    <t>TRANSPORTATION MONITORS - OES</t>
  </si>
  <si>
    <t>TRANSPORTATION MONITORS - OHS</t>
  </si>
  <si>
    <t>TRANSPORT MECH OVERTIME</t>
  </si>
  <si>
    <t>TRANSPORT BD SH HEALTH</t>
  </si>
  <si>
    <t>TRANSPORT BD SH LIFE</t>
  </si>
  <si>
    <t>TRANSPORT MEDICALS</t>
  </si>
  <si>
    <t>TRANSPORT LICENSES</t>
  </si>
  <si>
    <t>TRANSPORT CONTR MAINT</t>
  </si>
  <si>
    <t>TRANSPORT LOT RENT</t>
  </si>
  <si>
    <t>TRANSPORT EMPL TRAVEL</t>
  </si>
  <si>
    <t>TRANSPORT TELEPHONE</t>
  </si>
  <si>
    <t>TRANSPORT VERIZON GPS</t>
  </si>
  <si>
    <t>TRANSPORT WATER</t>
  </si>
  <si>
    <t>TRANSPORT FLEET INSURANCE</t>
  </si>
  <si>
    <t>TRANSPORT SUPPLIES</t>
  </si>
  <si>
    <t>TRANSPORT FUEL</t>
  </si>
  <si>
    <t>MAINT TRUCK FUEL</t>
  </si>
  <si>
    <t>TRANSPORT HEAT</t>
  </si>
  <si>
    <t>TRANSPORT ELECTRICITY</t>
  </si>
  <si>
    <t>TRANSPORT CAP OUTLAY</t>
  </si>
  <si>
    <t>Function 2555</t>
  </si>
  <si>
    <t>SP ED TRANS PRIVATE</t>
  </si>
  <si>
    <t>Function 2556</t>
  </si>
  <si>
    <t>CONTRACTED TRANSPORTATION</t>
  </si>
  <si>
    <t>Other Pupil Transp Serv</t>
  </si>
  <si>
    <t>ELEM REGULAR TA DIST (RM)</t>
  </si>
  <si>
    <t>ELEMENTARY BD SH IMRF</t>
  </si>
  <si>
    <t>BOARD SHARE</t>
  </si>
  <si>
    <t>ELEMENTARY BD SH FICA</t>
  </si>
  <si>
    <t>ELEMENTARY BD MEDICARE CENTRAL</t>
  </si>
  <si>
    <t>ELEMENTARY BD MEDICARE JEFFERSON</t>
  </si>
  <si>
    <t>ELEMENTARY BD MEDICARE LINCOLN</t>
  </si>
  <si>
    <t>ELEMENTARY BD MEDICARE MC KINLEY</t>
  </si>
  <si>
    <t>ELEMENTARY BD MEDICARE SHEPHERD</t>
  </si>
  <si>
    <t>ELEMENTARY BD MEDICARE</t>
  </si>
  <si>
    <t>B D T.A. SPED (RM)</t>
  </si>
  <si>
    <t>B D BD SH IMRF SPECIAL ED</t>
  </si>
  <si>
    <t>B D T.A. SPED (FR)</t>
  </si>
  <si>
    <t>B D BD SH FICA SPECIAL ED</t>
  </si>
  <si>
    <t>BD TEACHER SPED (MR)</t>
  </si>
  <si>
    <t>B D BD SH MEDIC SPECIAL ED</t>
  </si>
  <si>
    <t>L D T.A. DIST (RM)</t>
  </si>
  <si>
    <t>L D BD SH IMRF SPECIAL ED</t>
  </si>
  <si>
    <t>L D T.A. DIST (FR)</t>
  </si>
  <si>
    <t>L D BD SH FICA SPECIAL ED</t>
  </si>
  <si>
    <t>L D TEACHER SPED (MR)</t>
  </si>
  <si>
    <t>L D BD MEDICARE SPECIAL ED</t>
  </si>
  <si>
    <t>DHH TA SPED (RM)</t>
  </si>
  <si>
    <t>DHH BD SH IMRF SPECIAL ED</t>
  </si>
  <si>
    <t>DHH TA SPED (FR)</t>
  </si>
  <si>
    <t>DHH BD SH FICA SPECIAL ED</t>
  </si>
  <si>
    <t>DHH TEACHER SPED (MR)</t>
  </si>
  <si>
    <t>DHH BD SH MEDIC SPECIAL ED</t>
  </si>
  <si>
    <t>COGNITIVE DIS TA (RM)</t>
  </si>
  <si>
    <t>COGNITIVE DISABILITY BD SH IMRF</t>
  </si>
  <si>
    <t>COGNITIVE DIS TA (FR)</t>
  </si>
  <si>
    <t>COGNITIVE DISABILITY BD SH FICA</t>
  </si>
  <si>
    <t>COGNITIVE DIS TEACHER SPE (MR)</t>
  </si>
  <si>
    <t>COGNITIVE DISABILITY BD SH MEDIC</t>
  </si>
  <si>
    <t>PRE SCHOOL TA SALARY (.5) (RM)</t>
  </si>
  <si>
    <t>PRE SCHOOL BD SH IMRF</t>
  </si>
  <si>
    <t>PRE SCHOOL TA SALARY (.5) (FR)</t>
  </si>
  <si>
    <t>PRE SCHOOL BD SH FICA</t>
  </si>
  <si>
    <t>PRE SCHOOL TEACHER SAL (1 (MR)</t>
  </si>
  <si>
    <t>PRE SCHOOL BD SH MEDIC</t>
  </si>
  <si>
    <t>TITLE I ELL INTERPRETING  (RM)</t>
  </si>
  <si>
    <t>TITLE I ELL INTERPRETING  (FR)</t>
  </si>
  <si>
    <t>TITLE I BD MEDICARE</t>
  </si>
  <si>
    <t>TITLE I TEACHER SAL DIST (MR)</t>
  </si>
  <si>
    <t>EARLY CHILDHOOD BD SH IMRF</t>
  </si>
  <si>
    <t>EC BD SH IMRF EXPANSION</t>
  </si>
  <si>
    <t>EC GRANT PARENT COOD (RM)</t>
  </si>
  <si>
    <t>EARLY CHILDHOOD BD SH FICA</t>
  </si>
  <si>
    <t>EC BD SH FICA EXPANSION</t>
  </si>
  <si>
    <t>EC GRANT PARENT COOD (FR)</t>
  </si>
  <si>
    <t>EC BD SH MEDICARE</t>
  </si>
  <si>
    <t>EC BD SH MEDICARE EXPANSION</t>
  </si>
  <si>
    <t>EC GRANT TEACHER SAL (MR)</t>
  </si>
  <si>
    <t>FCS DIRECTOR DIST (MR)</t>
  </si>
  <si>
    <t>BAND BD MEDICARE</t>
  </si>
  <si>
    <t>ATHLETICS BD SH IMRF SHEPHERD</t>
  </si>
  <si>
    <t>ATHLETICS BD SH FICA SHEPHERD</t>
  </si>
  <si>
    <t>COACH/SUPRVR BD MEDICARE SHEPHERD</t>
  </si>
  <si>
    <t>ATHLETICS 5TH/6TH DIST (FR)</t>
  </si>
  <si>
    <t>INTRAMURALS BD FICA</t>
  </si>
  <si>
    <t>ATHLETICS 5TH/6TH DIST (MR)</t>
  </si>
  <si>
    <t>INTRAMURAL BD MEDICARE</t>
  </si>
  <si>
    <t>ASST PRIN SHEP BD MEDICARE CENTRAL</t>
  </si>
  <si>
    <t>ASST PRIN SHEP BD MEDICARE SHEPHERD</t>
  </si>
  <si>
    <t>DEAN OF STUDENTS BD MEDICARE</t>
  </si>
  <si>
    <t>SSW BD SH FICA SPECIAL ED</t>
  </si>
  <si>
    <t>SSW BD MEDICARE SPECIAL ED</t>
  </si>
  <si>
    <t>CURRICULUM COORD BD SH MEDIC</t>
  </si>
  <si>
    <t>COUNSELOR BD MEDICARE</t>
  </si>
  <si>
    <t>HEALTH PROVIDER SPED SALA (RM)</t>
  </si>
  <si>
    <t>MEDICAL TA SP ED BD SH IMRF</t>
  </si>
  <si>
    <t>HEALTH PROVIDER SPED SALA (FR)</t>
  </si>
  <si>
    <t>MEDICAL TA SP ED BD SH FICA</t>
  </si>
  <si>
    <t>HEALTH SERVICES SHEPHERD (RM)</t>
  </si>
  <si>
    <t>HEALTH SERV BD SH IMRF</t>
  </si>
  <si>
    <t>HEALTH SERVICES SHEPHERD (FR)</t>
  </si>
  <si>
    <t>HEALTH SERV BD SH FICA</t>
  </si>
  <si>
    <t>PSYCH OFFICE BD SH IMRF</t>
  </si>
  <si>
    <t>PSYCH OFFICE BD SH FICA</t>
  </si>
  <si>
    <t>PSYCH OFFICE BD MEDICARE</t>
  </si>
  <si>
    <t>SPEECH BD SH MEDICARE</t>
  </si>
  <si>
    <t>CROSSING GUARDS BD SH IMRF</t>
  </si>
  <si>
    <t>CROSSING GUARDS BD SH FICA</t>
  </si>
  <si>
    <t>Other Support Svs Pupils</t>
  </si>
  <si>
    <t>IDEA FLOW THRU SUBS IEP &amp; (FR)</t>
  </si>
  <si>
    <t>TITLE 2 BD SH MEDICARE</t>
  </si>
  <si>
    <t>IDEA FLOW THRU SUBS IEP &amp; (MR)</t>
  </si>
  <si>
    <t>TITLE 2 TCH QUALITY STAFF (MR)</t>
  </si>
  <si>
    <t>SADD STIPENDS (MR)</t>
  </si>
  <si>
    <t>SCHOOL IMPRV BD SH IMRF</t>
  </si>
  <si>
    <t>SCHOOL IMPRV BD SH FICA</t>
  </si>
  <si>
    <t>SCHOOL IMPRV BD SH MEDICARE</t>
  </si>
  <si>
    <t>LIBRARY TEACHING ASSIST (RM)</t>
  </si>
  <si>
    <t>LIBRARY BD SH IMRF</t>
  </si>
  <si>
    <t>LIBRARY TEACHING ASSIST (FR)</t>
  </si>
  <si>
    <t>LIBRARY  BD SH FICA</t>
  </si>
  <si>
    <t>LIBRARY BD SH MEDICARE SHEPHERD</t>
  </si>
  <si>
    <t>TECH BD SH IMRF</t>
  </si>
  <si>
    <t>TECH BD SH FICA</t>
  </si>
  <si>
    <t>BD OF EDUC BD SH IMRF</t>
  </si>
  <si>
    <t>BD OF EDUC BD SH FICA</t>
  </si>
  <si>
    <t>BD OF EDUC BD SH MEDIC</t>
  </si>
  <si>
    <t>SUPT OFFICE BD SH IMRF</t>
  </si>
  <si>
    <t>SUPT OFFICE BD SH FICA</t>
  </si>
  <si>
    <t>SUPT OFFICE BD MEDICARE</t>
  </si>
  <si>
    <t>PRINC OFFICE BD SH IMRF CENTRAL</t>
  </si>
  <si>
    <t>PRINC OFFICE BD SH IMRF JEFFERSON</t>
  </si>
  <si>
    <t>PRINC OFFICE BD SH IMRF LINCOLN</t>
  </si>
  <si>
    <t>PRINC OFFICE BD SH IMRF MC KINLEY</t>
  </si>
  <si>
    <t>PRINC OFFICE BD SH IMRF SHEPHERD</t>
  </si>
  <si>
    <t>PRINC OFFICE BD SH IMRF</t>
  </si>
  <si>
    <t>PRINC OFFICE BD SH FICA CENTRAL</t>
  </si>
  <si>
    <t>PRINC OFFICE BD SH FICA JEFFERSON</t>
  </si>
  <si>
    <t>PRINC OFFICE BD SH FICA LINCOLN</t>
  </si>
  <si>
    <t>PRINC OFFICE BD SH FICA MC KINLEY</t>
  </si>
  <si>
    <t>PRINC OFFICE BD SH FICA SHEPHERD</t>
  </si>
  <si>
    <t>PRINC OFFICE BD SH FICA</t>
  </si>
  <si>
    <t>PRINC OFFICE BD MEDICARE CENTRAL</t>
  </si>
  <si>
    <t>PRINC OFFICE BD MEDICARE JEFFERSON</t>
  </si>
  <si>
    <t>PRINC OFFICE BD MEDICARE LINCOLN</t>
  </si>
  <si>
    <t>PRINC OFFICE BD MEDICARE MC KINLEY</t>
  </si>
  <si>
    <t>PRINC OFFICE BD MEDICARE SHEPHERD</t>
  </si>
  <si>
    <t>PRINC OFFICE BD MEDICARE</t>
  </si>
  <si>
    <t>FISCAL SERV BD SH IMRF SUPT OFFICE</t>
  </si>
  <si>
    <t>FISCAL SERV BD SH FICA</t>
  </si>
  <si>
    <t>CARE/UPKEEP BD SH IMRF CENTRAL</t>
  </si>
  <si>
    <t>CARE/UPKEEP BD SH IMRF JEFFERSON</t>
  </si>
  <si>
    <t>CARE/UPKEEP BD SH IMRF LINCOLN</t>
  </si>
  <si>
    <t>CARE/UPKEEP BD SH IMRF MC KINLEY</t>
  </si>
  <si>
    <t>CARE/UPKEEP BD SH IMRF SHEPHERD</t>
  </si>
  <si>
    <t>CARE/UPKEEP BD SH IMRF DIST WIDE</t>
  </si>
  <si>
    <t>CARE/UPKEEP BD SH FICA CENTRAL</t>
  </si>
  <si>
    <t>CARE/UPKEEP BD SH FICA JEFFERSON</t>
  </si>
  <si>
    <t>CARE/UPKEEP BD SH FICA LINCOLN</t>
  </si>
  <si>
    <t>CARE/UPKEEP BD SH FICA MC KINLEY</t>
  </si>
  <si>
    <t>CARE/UPKEEP BD SH FICA SHEPHERD</t>
  </si>
  <si>
    <t>CARE/UPKEEP BD SH FICA</t>
  </si>
  <si>
    <t>REG TRANS BD SH IMRF</t>
  </si>
  <si>
    <t>REG TRANS BD SH FICA</t>
  </si>
  <si>
    <t>FOOD SERV BD SH IMRF</t>
  </si>
  <si>
    <t>FOOD SERV BD SH FICA</t>
  </si>
  <si>
    <t>STAFF SERVICE BD SH IMRF</t>
  </si>
  <si>
    <t>STAFF SERVICE BD SH FICA</t>
  </si>
  <si>
    <t>STAFF SERVICE NO DESC</t>
  </si>
  <si>
    <t>PERMANENT XFER ABATEMENT</t>
  </si>
  <si>
    <t>Permnt Trns Wrk Csh Abol</t>
  </si>
  <si>
    <t>ABATE TO EDUCATION &amp; O/M</t>
  </si>
  <si>
    <t>Prmt Trns From Ed Fund</t>
  </si>
  <si>
    <t>Other Financing Uses</t>
  </si>
  <si>
    <t>ATHLETICS SUPERVISORS SHEPHERD</t>
  </si>
  <si>
    <t>STUDENT SERVICES ASST PRINCIPAL CENTRAL</t>
  </si>
  <si>
    <t>STUDENT SERVICES ASST PRINCIPAL SHEPHERD</t>
  </si>
  <si>
    <t>ASST PRIN SHEP/CENT</t>
  </si>
  <si>
    <t>NURSES SALARY (2)</t>
  </si>
  <si>
    <t>BBP IMMUNIZATION DIST WIDE</t>
  </si>
  <si>
    <t>AED SUPPLIES DIST</t>
  </si>
  <si>
    <t>CAPITAL OUTLAY DIST</t>
  </si>
  <si>
    <t>CROSSING GUARDS SALARY</t>
  </si>
  <si>
    <t>CROSSING GUARDS SALARY (BCBS B</t>
  </si>
  <si>
    <t>CROSSING GUARDS SALARY (2-4)</t>
  </si>
  <si>
    <t>CROSSING GUARDS SUPPLIES</t>
  </si>
  <si>
    <t>BOARD OF EDUCATION STAFF DEV</t>
  </si>
  <si>
    <t>BOARD OF EDUCATION APPRAISAL</t>
  </si>
  <si>
    <t>BOARD OF EDUCATION WORKER COMP</t>
  </si>
  <si>
    <t>BOARD OF EDUCATION SUPPLIES</t>
  </si>
  <si>
    <t>SUPT OFFICE SALARY</t>
  </si>
  <si>
    <t>PRINCIPAL OFFICE PAGER</t>
  </si>
  <si>
    <t>MAINT(TABOR) SALARY DIST</t>
  </si>
  <si>
    <t>MAINT (3) TORT DIST</t>
  </si>
  <si>
    <t>MAINT CUSTODIAN DIST</t>
  </si>
  <si>
    <t>MAINT CUSTODIAN DIST (BCBS BEN</t>
  </si>
  <si>
    <t>MAINT CUSTODIAN DIST (2-4)</t>
  </si>
  <si>
    <t>MAINT REPAIR/MAINT DIST</t>
  </si>
  <si>
    <t>MAINT INSURANCE DIST</t>
  </si>
  <si>
    <t>MAINT SUPPLIES TORT</t>
  </si>
  <si>
    <t>ACQUIS/CONST PROFESSIONAL SERVICE DIST</t>
  </si>
  <si>
    <t>ACQUIS/CONST REPAIR/MAINT DIST</t>
  </si>
  <si>
    <t>ACQUIS/CONST SUPPLIES DIST</t>
  </si>
  <si>
    <t>ACQUIS/CONST CAPITAL OUTLAY DIST</t>
  </si>
  <si>
    <t>Faclities Acqu Const Services</t>
  </si>
  <si>
    <t>Data!$G:$G</t>
  </si>
  <si>
    <r>
      <t xml:space="preserve">Where is the </t>
    </r>
    <r>
      <rPr>
        <b/>
        <u/>
        <sz val="10"/>
        <color rgb="FFFF0000"/>
        <rFont val="Arial"/>
        <family val="2"/>
      </rPr>
      <t>Budget</t>
    </r>
    <r>
      <rPr>
        <b/>
        <sz val="10"/>
        <rFont val="Arial"/>
        <family val="2"/>
      </rPr>
      <t xml:space="preserve"> on the Data Sheet?</t>
    </r>
  </si>
  <si>
    <t>IMPREST FUND</t>
  </si>
  <si>
    <t>PSR INS REFUND ACC</t>
  </si>
  <si>
    <t>LOAN TO DEBT SERVICE</t>
  </si>
  <si>
    <t>INVESTMENTS</t>
  </si>
  <si>
    <t>SOS (SUPPORT OUR STUDENTS)</t>
  </si>
  <si>
    <t>STEM LAB DONATIONS</t>
  </si>
  <si>
    <t>OTH CURR AST</t>
  </si>
  <si>
    <t>Current Assets</t>
  </si>
  <si>
    <t>Accounts Payable</t>
  </si>
  <si>
    <t>ANTICIP WRNT</t>
  </si>
  <si>
    <t>LOAN FR BLDG</t>
  </si>
  <si>
    <t>LOAN FR TRAN</t>
  </si>
  <si>
    <t>LOAN FR WCF</t>
  </si>
  <si>
    <t>TCHR PEN PAY</t>
  </si>
  <si>
    <t>FED WITH TAX</t>
  </si>
  <si>
    <t>ST WITH TAX</t>
  </si>
  <si>
    <t>IMRF PAYABLE</t>
  </si>
  <si>
    <t>ANNUITY PAYB</t>
  </si>
  <si>
    <t>EMP INS PAYB</t>
  </si>
  <si>
    <t>FICA PAYABLE</t>
  </si>
  <si>
    <t>MEDICARE PAYB</t>
  </si>
  <si>
    <t>ASSOC DUES</t>
  </si>
  <si>
    <t>MISC DED</t>
  </si>
  <si>
    <t>UNITED FUND</t>
  </si>
  <si>
    <t>RETIREES INS</t>
  </si>
  <si>
    <t>RETIREES INS LIFE</t>
  </si>
  <si>
    <t>P/R DEDUCTIONS</t>
  </si>
  <si>
    <t>EMPLOYER BEN</t>
  </si>
  <si>
    <t>EMP SH INS</t>
  </si>
  <si>
    <t>TORNADO RELIEF DON</t>
  </si>
  <si>
    <t>Current Liabilities</t>
  </si>
  <si>
    <t>INT PAYABLE</t>
  </si>
  <si>
    <t>Long Term Liabilities</t>
  </si>
  <si>
    <t>Fund Net Change</t>
  </si>
  <si>
    <t>BEGINNING FUND BALANCE</t>
  </si>
  <si>
    <t>EARLY TAX DI</t>
  </si>
  <si>
    <t>700</t>
  </si>
  <si>
    <t>Fund Balances and Fund Net Assets</t>
  </si>
  <si>
    <t>SELF INSURE</t>
  </si>
  <si>
    <t>LOAN TO EDUC</t>
  </si>
  <si>
    <t>LOAN TO TRAN</t>
  </si>
  <si>
    <t>LOAN FROM ED</t>
  </si>
  <si>
    <t>FED W/H TAX</t>
  </si>
  <si>
    <t>LEASE PAYB</t>
  </si>
  <si>
    <t>INT PAYB</t>
  </si>
  <si>
    <t>DUE FR EDUC</t>
  </si>
  <si>
    <t>DUE TO WC FUND</t>
  </si>
  <si>
    <t>BONDS PAYBLE</t>
  </si>
  <si>
    <t>LOAN TO BLDG</t>
  </si>
  <si>
    <t>DUE TO EDUC</t>
  </si>
  <si>
    <t>LOAN FR ED</t>
  </si>
  <si>
    <t>LOAN FR EDUC</t>
  </si>
  <si>
    <t>LN FROM WC FUND NO DESC NO DESC</t>
  </si>
  <si>
    <t>LN FROM ED FUND NO DESC NO DESC</t>
  </si>
  <si>
    <t>DUE FROM DEBT SERV</t>
  </si>
  <si>
    <t>LOAN TO CAP PROJ</t>
  </si>
  <si>
    <t>10-140</t>
  </si>
  <si>
    <t>10-198</t>
  </si>
  <si>
    <t>10-199</t>
  </si>
  <si>
    <t>10-407</t>
  </si>
  <si>
    <t>10-432</t>
  </si>
  <si>
    <t>10-433</t>
  </si>
  <si>
    <t>10-434</t>
  </si>
  <si>
    <t>10-460</t>
  </si>
  <si>
    <t>10-461</t>
  </si>
  <si>
    <t>10-4610-9</t>
  </si>
  <si>
    <t>10-462</t>
  </si>
  <si>
    <t>10-465</t>
  </si>
  <si>
    <t>10-466</t>
  </si>
  <si>
    <t>10-499</t>
  </si>
  <si>
    <t>10-502</t>
  </si>
  <si>
    <t>10-703</t>
  </si>
  <si>
    <t>10-704</t>
  </si>
  <si>
    <t>10-999998</t>
  </si>
  <si>
    <t>20-102</t>
  </si>
  <si>
    <t>20-151</t>
  </si>
  <si>
    <t>20-153</t>
  </si>
  <si>
    <t>20-402</t>
  </si>
  <si>
    <t>20-431</t>
  </si>
  <si>
    <t>20-433</t>
  </si>
  <si>
    <t>20-434</t>
  </si>
  <si>
    <t>20-452</t>
  </si>
  <si>
    <t>20-453</t>
  </si>
  <si>
    <t>20-454</t>
  </si>
  <si>
    <t>20-455</t>
  </si>
  <si>
    <t>20-456</t>
  </si>
  <si>
    <t>20-457</t>
  </si>
  <si>
    <t>20-459</t>
  </si>
  <si>
    <t>20-465</t>
  </si>
  <si>
    <t>20-499</t>
  </si>
  <si>
    <t>20-502</t>
  </si>
  <si>
    <t>20-703</t>
  </si>
  <si>
    <t>20-704</t>
  </si>
  <si>
    <t>20-999998</t>
  </si>
  <si>
    <t>30-131</t>
  </si>
  <si>
    <t>30-180</t>
  </si>
  <si>
    <t>30-402</t>
  </si>
  <si>
    <t>30-410</t>
  </si>
  <si>
    <t>30-501</t>
  </si>
  <si>
    <t>30-502</t>
  </si>
  <si>
    <t>30-703</t>
  </si>
  <si>
    <t>30-704</t>
  </si>
  <si>
    <t>30-999998</t>
  </si>
  <si>
    <t>40-102</t>
  </si>
  <si>
    <t>40-180</t>
  </si>
  <si>
    <t>40-151</t>
  </si>
  <si>
    <t>40-152</t>
  </si>
  <si>
    <t>40-402</t>
  </si>
  <si>
    <t>40-411</t>
  </si>
  <si>
    <t>40-431</t>
  </si>
  <si>
    <t>40-432</t>
  </si>
  <si>
    <t>40-452</t>
  </si>
  <si>
    <t>40-453</t>
  </si>
  <si>
    <t>40-454</t>
  </si>
  <si>
    <t>40-455</t>
  </si>
  <si>
    <t>40-456</t>
  </si>
  <si>
    <t>40-457</t>
  </si>
  <si>
    <t>40-459</t>
  </si>
  <si>
    <t>40-465</t>
  </si>
  <si>
    <t>40-499</t>
  </si>
  <si>
    <t>40-502</t>
  </si>
  <si>
    <t>40-703</t>
  </si>
  <si>
    <t>40-704</t>
  </si>
  <si>
    <t>40-999998</t>
  </si>
  <si>
    <t>50-131</t>
  </si>
  <si>
    <t>50-180</t>
  </si>
  <si>
    <t>50-431</t>
  </si>
  <si>
    <t>50-432</t>
  </si>
  <si>
    <t>50-454</t>
  </si>
  <si>
    <t>50-457</t>
  </si>
  <si>
    <t>50-465</t>
  </si>
  <si>
    <t>50-502</t>
  </si>
  <si>
    <t>50-703</t>
  </si>
  <si>
    <t>50-704</t>
  </si>
  <si>
    <t>50-999998</t>
  </si>
  <si>
    <t>60-180</t>
  </si>
  <si>
    <t>60-402</t>
  </si>
  <si>
    <t>60-410</t>
  </si>
  <si>
    <t>60-434</t>
  </si>
  <si>
    <t>60-703</t>
  </si>
  <si>
    <t>60-704</t>
  </si>
  <si>
    <t>70-140</t>
  </si>
  <si>
    <t>70-151</t>
  </si>
  <si>
    <t>70-152</t>
  </si>
  <si>
    <t>70-153</t>
  </si>
  <si>
    <t>70-154</t>
  </si>
  <si>
    <t>70-402</t>
  </si>
  <si>
    <t>70-703</t>
  </si>
  <si>
    <t>70-704</t>
  </si>
  <si>
    <t>70-999998</t>
  </si>
  <si>
    <t>80-180</t>
  </si>
  <si>
    <t>80-402</t>
  </si>
  <si>
    <t>80-703</t>
  </si>
  <si>
    <t>80-704</t>
  </si>
  <si>
    <t>90-402</t>
  </si>
  <si>
    <t>90-703</t>
  </si>
  <si>
    <t>90-704</t>
  </si>
  <si>
    <t>90-999998</t>
  </si>
  <si>
    <t>10-111</t>
  </si>
  <si>
    <t>20-111</t>
  </si>
  <si>
    <t>30-111</t>
  </si>
  <si>
    <t>40-111</t>
  </si>
  <si>
    <t>50-111</t>
  </si>
  <si>
    <t>60-111</t>
  </si>
  <si>
    <t>80-111</t>
  </si>
  <si>
    <t>90-111</t>
  </si>
  <si>
    <t>10-112</t>
  </si>
  <si>
    <t>20-112</t>
  </si>
  <si>
    <t>40-112</t>
  </si>
  <si>
    <t>10-430</t>
  </si>
  <si>
    <t>10-431</t>
  </si>
  <si>
    <t>10-435</t>
  </si>
  <si>
    <t>10-436</t>
  </si>
  <si>
    <t>10-437</t>
  </si>
  <si>
    <t>10-4370-1</t>
  </si>
  <si>
    <t>10-438</t>
  </si>
  <si>
    <t>10-439</t>
  </si>
  <si>
    <t>70-120</t>
  </si>
  <si>
    <t xml:space="preserve"> -00000</t>
  </si>
  <si>
    <t>100-00000</t>
  </si>
  <si>
    <t>1110-00000</t>
  </si>
  <si>
    <t>1320-00000</t>
  </si>
  <si>
    <t>1340-00000</t>
  </si>
  <si>
    <t>1510-00000</t>
  </si>
  <si>
    <t>1610-00000</t>
  </si>
  <si>
    <t>1650-00000</t>
  </si>
  <si>
    <t>1710-00000</t>
  </si>
  <si>
    <t>1720-00000</t>
  </si>
  <si>
    <t>1920-00000</t>
  </si>
  <si>
    <t>1000-00000</t>
  </si>
  <si>
    <t>3000-00000</t>
  </si>
  <si>
    <t>3100-00000</t>
  </si>
  <si>
    <t>3300-00000</t>
  </si>
  <si>
    <t>3600-00000</t>
  </si>
  <si>
    <t>3800-00000</t>
  </si>
  <si>
    <t>3900-00000</t>
  </si>
  <si>
    <t>4100-00000</t>
  </si>
  <si>
    <t>4210-00000</t>
  </si>
  <si>
    <t>4220-00000</t>
  </si>
  <si>
    <t>4300-00000</t>
  </si>
  <si>
    <t>4430-00000</t>
  </si>
  <si>
    <t>4000-00000</t>
  </si>
  <si>
    <t>7100-00000</t>
  </si>
  <si>
    <t>6000-00000</t>
  </si>
  <si>
    <t>1290-00000</t>
  </si>
  <si>
    <t>1910-00000</t>
  </si>
  <si>
    <t>800-00000</t>
  </si>
  <si>
    <t>3200-00000</t>
  </si>
  <si>
    <t>3500-00000</t>
  </si>
  <si>
    <t>1120-00000</t>
  </si>
  <si>
    <t>Total-00000</t>
  </si>
  <si>
    <t>10-11110-00000</t>
  </si>
  <si>
    <t>10-11310-00000</t>
  </si>
  <si>
    <t>10-11410-00000</t>
  </si>
  <si>
    <t>10-1230-00000</t>
  </si>
  <si>
    <t>10-13210-00000</t>
  </si>
  <si>
    <t>10-1510-00000</t>
  </si>
  <si>
    <t>10-16110-00000</t>
  </si>
  <si>
    <t>10-1690-00000</t>
  </si>
  <si>
    <t>10-17110-00000</t>
  </si>
  <si>
    <t>10-1730-00000</t>
  </si>
  <si>
    <t>10-1920-00000</t>
  </si>
  <si>
    <t>10-1950-00000</t>
  </si>
  <si>
    <t>10-19910-00000</t>
  </si>
  <si>
    <t>10-1940-00000</t>
  </si>
  <si>
    <t>10-30010-00000</t>
  </si>
  <si>
    <t>10-3100-00000</t>
  </si>
  <si>
    <t>10-3110-00000</t>
  </si>
  <si>
    <t>10-3120-00000</t>
  </si>
  <si>
    <t>10-3360-00000</t>
  </si>
  <si>
    <t>10-36510-00000</t>
  </si>
  <si>
    <t>10-3810-00000</t>
  </si>
  <si>
    <t>10-3999-00000</t>
  </si>
  <si>
    <t>10-4210-00000</t>
  </si>
  <si>
    <t>10-4220-00000</t>
  </si>
  <si>
    <t>10-4300-00000</t>
  </si>
  <si>
    <t>10-4600-00000</t>
  </si>
  <si>
    <t>10-4620-00000</t>
  </si>
  <si>
    <t>10-4880-00000</t>
  </si>
  <si>
    <t>10-4400-00000</t>
  </si>
  <si>
    <t>10-7110-00000</t>
  </si>
  <si>
    <t>10-00000</t>
  </si>
  <si>
    <t>19210-00000</t>
  </si>
  <si>
    <t>10-13420-00000</t>
  </si>
  <si>
    <t>10-16120-00000</t>
  </si>
  <si>
    <t>10-17220-00000</t>
  </si>
  <si>
    <t>19220-00000</t>
  </si>
  <si>
    <t>10-49920-00000</t>
  </si>
  <si>
    <t>20-7230-00000</t>
  </si>
  <si>
    <t>20-11110-00000</t>
  </si>
  <si>
    <t>20-1230-00000</t>
  </si>
  <si>
    <t>20-1290-00000</t>
  </si>
  <si>
    <t>20-1510-00000</t>
  </si>
  <si>
    <t>20-1910-00000</t>
  </si>
  <si>
    <t>20-19210-00000</t>
  </si>
  <si>
    <t>20-3290-00000</t>
  </si>
  <si>
    <t>20-7110-00000</t>
  </si>
  <si>
    <t>20-7130-00000</t>
  </si>
  <si>
    <t>20-7300-00000</t>
  </si>
  <si>
    <t>20-00000</t>
  </si>
  <si>
    <t>14120-00000</t>
  </si>
  <si>
    <t>10-16130-00000</t>
  </si>
  <si>
    <t>30-11130-00000</t>
  </si>
  <si>
    <t>30-1510-00000</t>
  </si>
  <si>
    <t>30-1950-00000</t>
  </si>
  <si>
    <t>30-7990-00000</t>
  </si>
  <si>
    <t>30-00000</t>
  </si>
  <si>
    <t>10-16140-00000</t>
  </si>
  <si>
    <t>10-17240-00000</t>
  </si>
  <si>
    <t>30-11140-00000</t>
  </si>
  <si>
    <t>40-11110-00000</t>
  </si>
  <si>
    <t>40-14120-00000</t>
  </si>
  <si>
    <t>40-1510-00000</t>
  </si>
  <si>
    <t>40-1950-00000</t>
  </si>
  <si>
    <t>40-3500-00000</t>
  </si>
  <si>
    <t>40-3510-00000</t>
  </si>
  <si>
    <t>40-7110-00000</t>
  </si>
  <si>
    <t>40-7300-00000</t>
  </si>
  <si>
    <t>40-00000</t>
  </si>
  <si>
    <t>11250-00000</t>
  </si>
  <si>
    <t>10-17250-00000</t>
  </si>
  <si>
    <t>10-31050-00000</t>
  </si>
  <si>
    <t>10-31450-00000</t>
  </si>
  <si>
    <t>10-37050-00000</t>
  </si>
  <si>
    <t>10-37050-E-00000</t>
  </si>
  <si>
    <t>10-46250-00000</t>
  </si>
  <si>
    <t>30-11150-00000</t>
  </si>
  <si>
    <t>50-11110-00000</t>
  </si>
  <si>
    <t>50-11510-00000</t>
  </si>
  <si>
    <t>50-1230-00000</t>
  </si>
  <si>
    <t>50-1510-00000</t>
  </si>
  <si>
    <t>50-00000</t>
  </si>
  <si>
    <t>12260-00000</t>
  </si>
  <si>
    <t>10-17260-00000</t>
  </si>
  <si>
    <t>30-11160-00000</t>
  </si>
  <si>
    <t>60-1920-00000</t>
  </si>
  <si>
    <t>60-19210-00000</t>
  </si>
  <si>
    <t>60-19220-00000</t>
  </si>
  <si>
    <t>60-19230-00000</t>
  </si>
  <si>
    <t>60-19240-00000</t>
  </si>
  <si>
    <t>60-7130-00000</t>
  </si>
  <si>
    <t>60-00000</t>
  </si>
  <si>
    <t>10-17270-00000</t>
  </si>
  <si>
    <t>10-41070-00000</t>
  </si>
  <si>
    <t>10-48570-00000</t>
  </si>
  <si>
    <t>30-11170-00000</t>
  </si>
  <si>
    <t>70-11110-00000</t>
  </si>
  <si>
    <t>70-1510-00000</t>
  </si>
  <si>
    <t>70-7110-00000</t>
  </si>
  <si>
    <t>70-7210-00000</t>
  </si>
  <si>
    <t>70-00000</t>
  </si>
  <si>
    <t>10-17280-00000</t>
  </si>
  <si>
    <t>30-11180-00000</t>
  </si>
  <si>
    <t>80-11220-00000</t>
  </si>
  <si>
    <t>80-1510-00000</t>
  </si>
  <si>
    <t>80-00000</t>
  </si>
  <si>
    <t>10-1110-110-60-90-00000</t>
  </si>
  <si>
    <t>10-17290-00000</t>
  </si>
  <si>
    <t>10-19990-00000</t>
  </si>
  <si>
    <t>10-39990-00000</t>
  </si>
  <si>
    <t>20-19990-00000</t>
  </si>
  <si>
    <t>20-19990-90-00000</t>
  </si>
  <si>
    <t>40-19990-00000</t>
  </si>
  <si>
    <t>90-11110-00000</t>
  </si>
  <si>
    <t>90-1510-00000</t>
  </si>
  <si>
    <t>90-7210-00000</t>
  </si>
  <si>
    <t>90-00000</t>
  </si>
  <si>
    <t>10-1620-00000</t>
  </si>
  <si>
    <t>20-151020-00000</t>
  </si>
  <si>
    <t>10-4991-00000</t>
  </si>
  <si>
    <t>10-1100-110</t>
  </si>
  <si>
    <t>10-1100-119</t>
  </si>
  <si>
    <t>10-1100-120</t>
  </si>
  <si>
    <t>10-1100-121</t>
  </si>
  <si>
    <t>10-1100-122</t>
  </si>
  <si>
    <t>10-1100-123</t>
  </si>
  <si>
    <t>10-1100-124</t>
  </si>
  <si>
    <t>10-1100-125</t>
  </si>
  <si>
    <t>10-1100-126</t>
  </si>
  <si>
    <t>10-1100-211</t>
  </si>
  <si>
    <t>10-1100-213</t>
  </si>
  <si>
    <t>10-1100-214</t>
  </si>
  <si>
    <t>10-1100-220</t>
  </si>
  <si>
    <t>10-1100-223</t>
  </si>
  <si>
    <t>10-1100-323</t>
  </si>
  <si>
    <t>10-1100-410</t>
  </si>
  <si>
    <t>10-1100-411</t>
  </si>
  <si>
    <t>10-1100-412</t>
  </si>
  <si>
    <t>10-1100-414</t>
  </si>
  <si>
    <t>10-1100-415</t>
  </si>
  <si>
    <t>10-1100-418</t>
  </si>
  <si>
    <t>10-1100-419</t>
  </si>
  <si>
    <t>10-1100-420</t>
  </si>
  <si>
    <t>10-1100-541</t>
  </si>
  <si>
    <t>10-1200-110</t>
  </si>
  <si>
    <t>10-1200-118</t>
  </si>
  <si>
    <t>10-1200-211</t>
  </si>
  <si>
    <t>10-1200-220</t>
  </si>
  <si>
    <t>10-1200-223</t>
  </si>
  <si>
    <t>10-1200-410</t>
  </si>
  <si>
    <t>10-1200-670</t>
  </si>
  <si>
    <t>10-1200-113</t>
  </si>
  <si>
    <t>10-1200-323</t>
  </si>
  <si>
    <t>10-1200-540</t>
  </si>
  <si>
    <t>10-1220-110</t>
  </si>
  <si>
    <t>10-1220-118</t>
  </si>
  <si>
    <t>10-1220-211</t>
  </si>
  <si>
    <t>10-1220-220</t>
  </si>
  <si>
    <t>10-1220-223</t>
  </si>
  <si>
    <t>10-1220-410</t>
  </si>
  <si>
    <t>10-1220-411</t>
  </si>
  <si>
    <t>10-1250-110</t>
  </si>
  <si>
    <t>10-1250-111</t>
  </si>
  <si>
    <t>10-1250-112</t>
  </si>
  <si>
    <t>10-1250-123</t>
  </si>
  <si>
    <t>10-1250-124</t>
  </si>
  <si>
    <t>10-1250-211</t>
  </si>
  <si>
    <t>10-1250-214</t>
  </si>
  <si>
    <t>10-1250-220</t>
  </si>
  <si>
    <t>10-1250-223</t>
  </si>
  <si>
    <t>10-1250-314</t>
  </si>
  <si>
    <t>10-1250-315</t>
  </si>
  <si>
    <t>10-1250-316</t>
  </si>
  <si>
    <t>10-1250-317</t>
  </si>
  <si>
    <t>10-1250-319</t>
  </si>
  <si>
    <t>10-1250-332</t>
  </si>
  <si>
    <t>10-1250-390</t>
  </si>
  <si>
    <t>10-1250-410</t>
  </si>
  <si>
    <t>10-1250-411</t>
  </si>
  <si>
    <t>10-1250-415</t>
  </si>
  <si>
    <t>10-1250-540</t>
  </si>
  <si>
    <t>10-21210-110</t>
  </si>
  <si>
    <t>10-21210-211</t>
  </si>
  <si>
    <t>10-21210-220</t>
  </si>
  <si>
    <t>10-21210-223</t>
  </si>
  <si>
    <t>10-2140-110</t>
  </si>
  <si>
    <t>10-2140-111</t>
  </si>
  <si>
    <t>10-2140-112</t>
  </si>
  <si>
    <t>10-2140-113</t>
  </si>
  <si>
    <t>10-2140-115</t>
  </si>
  <si>
    <t>10-2140-116</t>
  </si>
  <si>
    <t>10-2140-211</t>
  </si>
  <si>
    <t>10-2140-220</t>
  </si>
  <si>
    <t>10-2140-223</t>
  </si>
  <si>
    <t>10-2140-224</t>
  </si>
  <si>
    <t>10-2140-313</t>
  </si>
  <si>
    <t>10-2140-314</t>
  </si>
  <si>
    <t>10-2140-315</t>
  </si>
  <si>
    <t>10-2140-323</t>
  </si>
  <si>
    <t>10-2140-332</t>
  </si>
  <si>
    <t>10-2140-340</t>
  </si>
  <si>
    <t>10-2140-410</t>
  </si>
  <si>
    <t>10-2140-440</t>
  </si>
  <si>
    <t>10-2140-540</t>
  </si>
  <si>
    <t>10-2140-640</t>
  </si>
  <si>
    <t>10-2150-110</t>
  </si>
  <si>
    <t>10-2150-111</t>
  </si>
  <si>
    <t>10-2150-211</t>
  </si>
  <si>
    <t>10-2150-214</t>
  </si>
  <si>
    <t>10-2150-220</t>
  </si>
  <si>
    <t>10-2150-223</t>
  </si>
  <si>
    <t>10-2150-640</t>
  </si>
  <si>
    <t>10-2210-116</t>
  </si>
  <si>
    <t>10-2210-120</t>
  </si>
  <si>
    <t>10-2210-121</t>
  </si>
  <si>
    <t>10-2210-211</t>
  </si>
  <si>
    <t>10-2210-214</t>
  </si>
  <si>
    <t>10-2210-230</t>
  </si>
  <si>
    <t>10-2210-312</t>
  </si>
  <si>
    <t>10-2210-315</t>
  </si>
  <si>
    <t>10-2210-332</t>
  </si>
  <si>
    <t>10-2210-410</t>
  </si>
  <si>
    <t>10-2220-313</t>
  </si>
  <si>
    <t>10-2220-410</t>
  </si>
  <si>
    <t>10-2220-500</t>
  </si>
  <si>
    <t>10-2310-118</t>
  </si>
  <si>
    <t>10-2310-317</t>
  </si>
  <si>
    <t>10-2310-318</t>
  </si>
  <si>
    <t>10-2310-332</t>
  </si>
  <si>
    <t>10-2310-391</t>
  </si>
  <si>
    <t>10-2310-392</t>
  </si>
  <si>
    <t>10-2310-394</t>
  </si>
  <si>
    <t>10-2310-395</t>
  </si>
  <si>
    <t>10-2310-410</t>
  </si>
  <si>
    <t>10-2310-640</t>
  </si>
  <si>
    <t>10-23210-110</t>
  </si>
  <si>
    <t>10-23210-115</t>
  </si>
  <si>
    <t>10-23210-118</t>
  </si>
  <si>
    <t>10-23210-211</t>
  </si>
  <si>
    <t>10-23210-220</t>
  </si>
  <si>
    <t>10-23210-223</t>
  </si>
  <si>
    <t>10-23210-224</t>
  </si>
  <si>
    <t>10-23210-323</t>
  </si>
  <si>
    <t>10-23210-325</t>
  </si>
  <si>
    <t>10-23210-331</t>
  </si>
  <si>
    <t>10-23210-332</t>
  </si>
  <si>
    <t>10-23210-333</t>
  </si>
  <si>
    <t>10-23210-340</t>
  </si>
  <si>
    <t>10-23210-341</t>
  </si>
  <si>
    <t>10-23210-410</t>
  </si>
  <si>
    <t>10-23210-440</t>
  </si>
  <si>
    <t>10-23210-540</t>
  </si>
  <si>
    <t>10-2410-110</t>
  </si>
  <si>
    <t>10-2410-115</t>
  </si>
  <si>
    <t>10-2410-117</t>
  </si>
  <si>
    <t>10-2410-118</t>
  </si>
  <si>
    <t>10-2410-211</t>
  </si>
  <si>
    <t>10-2410-220</t>
  </si>
  <si>
    <t>10-2410-223</t>
  </si>
  <si>
    <t>10-2410-224</t>
  </si>
  <si>
    <t>10-2410-323</t>
  </si>
  <si>
    <t>10-2410-340</t>
  </si>
  <si>
    <t>10-2410-341</t>
  </si>
  <si>
    <t>10-2410-410</t>
  </si>
  <si>
    <t>10-2410-540</t>
  </si>
  <si>
    <t>10-2410-640</t>
  </si>
  <si>
    <t>10-2520-113</t>
  </si>
  <si>
    <t>10-2520-115</t>
  </si>
  <si>
    <t>10-2520-220</t>
  </si>
  <si>
    <t>10-2520-223</t>
  </si>
  <si>
    <t>10-2520-310</t>
  </si>
  <si>
    <t>10-2520-311</t>
  </si>
  <si>
    <t>10-2520-313</t>
  </si>
  <si>
    <t>10-2520-323</t>
  </si>
  <si>
    <t>10-2520-332</t>
  </si>
  <si>
    <t>10-2520-380</t>
  </si>
  <si>
    <t>10-2520-410</t>
  </si>
  <si>
    <t>10-2520-540</t>
  </si>
  <si>
    <t>10-2520-640</t>
  </si>
  <si>
    <t>10-2540-340</t>
  </si>
  <si>
    <t>10-2540-465</t>
  </si>
  <si>
    <t>10-2540-466</t>
  </si>
  <si>
    <t>10-2560-110</t>
  </si>
  <si>
    <t>10-2560-113</t>
  </si>
  <si>
    <t>10-2560-114</t>
  </si>
  <si>
    <t>10-2560-118</t>
  </si>
  <si>
    <t>10-2560-129</t>
  </si>
  <si>
    <t>10-2560-220</t>
  </si>
  <si>
    <t>10-2560-223</t>
  </si>
  <si>
    <t>10-2560-323</t>
  </si>
  <si>
    <t>10-2560-324</t>
  </si>
  <si>
    <t>10-2560-332</t>
  </si>
  <si>
    <t>10-2560-410</t>
  </si>
  <si>
    <t>10-2560-411</t>
  </si>
  <si>
    <t>10-2560-412</t>
  </si>
  <si>
    <t>10-2560-413</t>
  </si>
  <si>
    <t>10-2560-414</t>
  </si>
  <si>
    <t>10-2560-415</t>
  </si>
  <si>
    <t>10-2560-416</t>
  </si>
  <si>
    <t>10-2560-464</t>
  </si>
  <si>
    <t>10-2560-466</t>
  </si>
  <si>
    <t>10-2560-540</t>
  </si>
  <si>
    <t>10-2560-640</t>
  </si>
  <si>
    <t>10-2570-323</t>
  </si>
  <si>
    <t>10-2570-409</t>
  </si>
  <si>
    <t>10-2570-410</t>
  </si>
  <si>
    <t>10-2620-440</t>
  </si>
  <si>
    <t>10-2630-350</t>
  </si>
  <si>
    <t>10-2640-110</t>
  </si>
  <si>
    <t>10-2640-211</t>
  </si>
  <si>
    <t>10-2640-319</t>
  </si>
  <si>
    <t>10-2640-351</t>
  </si>
  <si>
    <t>10-41210-670</t>
  </si>
  <si>
    <t>10-41210-671</t>
  </si>
  <si>
    <t>10-41210-672</t>
  </si>
  <si>
    <t>10-41210-673</t>
  </si>
  <si>
    <t>10-21120-110</t>
  </si>
  <si>
    <t>10-21120-211</t>
  </si>
  <si>
    <t>10-21120-220</t>
  </si>
  <si>
    <t>10-21120-223</t>
  </si>
  <si>
    <t>10-21120-410</t>
  </si>
  <si>
    <t>10-21320-110</t>
  </si>
  <si>
    <t>10-21320-220</t>
  </si>
  <si>
    <t>10-21320-223</t>
  </si>
  <si>
    <t>10-22120-118</t>
  </si>
  <si>
    <t>10-22120-211</t>
  </si>
  <si>
    <t>10-22120-333</t>
  </si>
  <si>
    <t>10-22120-540</t>
  </si>
  <si>
    <t>10-22120-640</t>
  </si>
  <si>
    <t>10-22220-110</t>
  </si>
  <si>
    <t>10-22220-118</t>
  </si>
  <si>
    <t>10-22220-211</t>
  </si>
  <si>
    <t>10-22220-220</t>
  </si>
  <si>
    <t>10-22220-223</t>
  </si>
  <si>
    <t>10-22220-410</t>
  </si>
  <si>
    <t>10-22220-430</t>
  </si>
  <si>
    <t>20-2540-340</t>
  </si>
  <si>
    <t>20-2540-370</t>
  </si>
  <si>
    <t>20-2540-465</t>
  </si>
  <si>
    <t>20-2540-466</t>
  </si>
  <si>
    <t>20-25420-119</t>
  </si>
  <si>
    <t>20-25420-120</t>
  </si>
  <si>
    <t>20-25420-122</t>
  </si>
  <si>
    <t>20-25420-129</t>
  </si>
  <si>
    <t>20-25420-130</t>
  </si>
  <si>
    <t>20-25420-135</t>
  </si>
  <si>
    <t>20-25420-139</t>
  </si>
  <si>
    <t>20-25420-220</t>
  </si>
  <si>
    <t>20-25420-221</t>
  </si>
  <si>
    <t>20-25420-223</t>
  </si>
  <si>
    <t>20-25420-314</t>
  </si>
  <si>
    <t>20-25420-321</t>
  </si>
  <si>
    <t>20-25420-323</t>
  </si>
  <si>
    <t>20-25420-325</t>
  </si>
  <si>
    <t>20-25420-326</t>
  </si>
  <si>
    <t>20-25420-327</t>
  </si>
  <si>
    <t>20-25420-329</t>
  </si>
  <si>
    <t>20-25420-332</t>
  </si>
  <si>
    <t>20-25420-410</t>
  </si>
  <si>
    <t>20-25420-411</t>
  </si>
  <si>
    <t>20-25420-490</t>
  </si>
  <si>
    <t>20-25420-491</t>
  </si>
  <si>
    <t>20-25420-530</t>
  </si>
  <si>
    <t>20-25420-531</t>
  </si>
  <si>
    <t>20-25420-535</t>
  </si>
  <si>
    <t>20-25420-540</t>
  </si>
  <si>
    <t>10-21130-110</t>
  </si>
  <si>
    <t>10-21130-112</t>
  </si>
  <si>
    <t>10-21130-211</t>
  </si>
  <si>
    <t>10-21130-220</t>
  </si>
  <si>
    <t>10-21130-223</t>
  </si>
  <si>
    <t>10-21130-323</t>
  </si>
  <si>
    <t>10-21130-410</t>
  </si>
  <si>
    <t>10-22130-118</t>
  </si>
  <si>
    <t>10-22130-211</t>
  </si>
  <si>
    <t>10-22130-332</t>
  </si>
  <si>
    <t>10-22130-410</t>
  </si>
  <si>
    <t>10-41230-671</t>
  </si>
  <si>
    <t>10-41230-672</t>
  </si>
  <si>
    <t>10-41230-673</t>
  </si>
  <si>
    <t>10-41230-674</t>
  </si>
  <si>
    <t>10-41230-677</t>
  </si>
  <si>
    <t>10-41230-678</t>
  </si>
  <si>
    <t>10-41230-679</t>
  </si>
  <si>
    <t>20-25430-323</t>
  </si>
  <si>
    <t>20-25430-410</t>
  </si>
  <si>
    <t>20-25430-464</t>
  </si>
  <si>
    <t>20-25430-510</t>
  </si>
  <si>
    <t>20-25430-540</t>
  </si>
  <si>
    <t>10-21340-110</t>
  </si>
  <si>
    <t>10-21340-220</t>
  </si>
  <si>
    <t>10-21340-223</t>
  </si>
  <si>
    <t>10-21340-410</t>
  </si>
  <si>
    <t>10-21340-540</t>
  </si>
  <si>
    <t>10-22240-110</t>
  </si>
  <si>
    <t>10-22240-112</t>
  </si>
  <si>
    <t>10-22240-220</t>
  </si>
  <si>
    <t>10-22240-223</t>
  </si>
  <si>
    <t>10-22240-313</t>
  </si>
  <si>
    <t>10-22240-314</t>
  </si>
  <si>
    <t>10-22240-323</t>
  </si>
  <si>
    <t>10-22240-324</t>
  </si>
  <si>
    <t>10-22240-325</t>
  </si>
  <si>
    <t>10-22240-326</t>
  </si>
  <si>
    <t>10-22240-327</t>
  </si>
  <si>
    <t>10-22240-332</t>
  </si>
  <si>
    <t>10-22240-411</t>
  </si>
  <si>
    <t>10-22240-412</t>
  </si>
  <si>
    <t>10-22240-540</t>
  </si>
  <si>
    <t>10-22240-541</t>
  </si>
  <si>
    <t>10-12750-110</t>
  </si>
  <si>
    <t>10-12750-111</t>
  </si>
  <si>
    <t>10-12750-112</t>
  </si>
  <si>
    <t>10-12750-113</t>
  </si>
  <si>
    <t>10-12750-118</t>
  </si>
  <si>
    <t>10-12750-119</t>
  </si>
  <si>
    <t>10-12750-120</t>
  </si>
  <si>
    <t>10-12750-121</t>
  </si>
  <si>
    <t>10-12750-122</t>
  </si>
  <si>
    <t>10-12750-211</t>
  </si>
  <si>
    <t>10-12750-220</t>
  </si>
  <si>
    <t>10-12750-223</t>
  </si>
  <si>
    <t>10-12750-323</t>
  </si>
  <si>
    <t>10-12750-314</t>
  </si>
  <si>
    <t>10-12750-332</t>
  </si>
  <si>
    <t>10-12750-410</t>
  </si>
  <si>
    <t>10-12750-411</t>
  </si>
  <si>
    <t>10-12750-413</t>
  </si>
  <si>
    <t>10-12750-414</t>
  </si>
  <si>
    <t>10-12750-540</t>
  </si>
  <si>
    <t>20-25450-323</t>
  </si>
  <si>
    <t>20-25450-410</t>
  </si>
  <si>
    <t>20-25450-464</t>
  </si>
  <si>
    <t>40-25550-111</t>
  </si>
  <si>
    <t>40-25550-112</t>
  </si>
  <si>
    <t>40-25550-116</t>
  </si>
  <si>
    <t>40-25550-117</t>
  </si>
  <si>
    <t>40-25550-118</t>
  </si>
  <si>
    <t>40-25550-119</t>
  </si>
  <si>
    <t>40-25550-120</t>
  </si>
  <si>
    <t>40-25550-121</t>
  </si>
  <si>
    <t>40-25550-122</t>
  </si>
  <si>
    <t>40-25550-123</t>
  </si>
  <si>
    <t>40-25550-137</t>
  </si>
  <si>
    <t>40-25550-220</t>
  </si>
  <si>
    <t>40-25550-223</t>
  </si>
  <si>
    <t>40-25550-319</t>
  </si>
  <si>
    <t>40-25550-320</t>
  </si>
  <si>
    <t>40-25550-323</t>
  </si>
  <si>
    <t>40-25550-325</t>
  </si>
  <si>
    <t>40-25550-332</t>
  </si>
  <si>
    <t>40-25550-340</t>
  </si>
  <si>
    <t>40-25550-341</t>
  </si>
  <si>
    <t>40-25550-370</t>
  </si>
  <si>
    <t>40-25550-380</t>
  </si>
  <si>
    <t>40-25550-410</t>
  </si>
  <si>
    <t>40-25550-464</t>
  </si>
  <si>
    <t>40-25550-465</t>
  </si>
  <si>
    <t>40-25550-466</t>
  </si>
  <si>
    <t>40-25550-540</t>
  </si>
  <si>
    <t>50-1100-212</t>
  </si>
  <si>
    <t>50-1100-213</t>
  </si>
  <si>
    <t>50-1100-214</t>
  </si>
  <si>
    <t>50-1200-212</t>
  </si>
  <si>
    <t>50-1200-213</t>
  </si>
  <si>
    <t>50-1200-214</t>
  </si>
  <si>
    <t>50-1220-212</t>
  </si>
  <si>
    <t>50-1220-213</t>
  </si>
  <si>
    <t>50-1220-214</t>
  </si>
  <si>
    <t>50-1250-212</t>
  </si>
  <si>
    <t>50-1250-213</t>
  </si>
  <si>
    <t>50-1250-214</t>
  </si>
  <si>
    <t>50-12750-212</t>
  </si>
  <si>
    <t>50-12750-213</t>
  </si>
  <si>
    <t>50-12750-214</t>
  </si>
  <si>
    <t>50-21120-214</t>
  </si>
  <si>
    <t>50-21130-213</t>
  </si>
  <si>
    <t>50-21130-214</t>
  </si>
  <si>
    <t>50-21210-214</t>
  </si>
  <si>
    <t>50-21320-212</t>
  </si>
  <si>
    <t>50-21320-213</t>
  </si>
  <si>
    <t>50-21340-212</t>
  </si>
  <si>
    <t>50-21340-213</t>
  </si>
  <si>
    <t>50-2140-212</t>
  </si>
  <si>
    <t>50-2140-213</t>
  </si>
  <si>
    <t>50-2140-214</t>
  </si>
  <si>
    <t>50-2150-214</t>
  </si>
  <si>
    <t>50-2190-212</t>
  </si>
  <si>
    <t>50-2190-213</t>
  </si>
  <si>
    <t>50-2210-213</t>
  </si>
  <si>
    <t>50-2210-214</t>
  </si>
  <si>
    <t>50-22120-214</t>
  </si>
  <si>
    <t>50-22130-212</t>
  </si>
  <si>
    <t>50-22130-213</t>
  </si>
  <si>
    <t>50-22130-214</t>
  </si>
  <si>
    <t>50-22220-212</t>
  </si>
  <si>
    <t>50-22220-213</t>
  </si>
  <si>
    <t>50-22220-214</t>
  </si>
  <si>
    <t>50-22240-212</t>
  </si>
  <si>
    <t>50-22240-213</t>
  </si>
  <si>
    <t>50-2310-212</t>
  </si>
  <si>
    <t>50-2310-213</t>
  </si>
  <si>
    <t>50-2310-214</t>
  </si>
  <si>
    <t>50-23210-212</t>
  </si>
  <si>
    <t>50-23210-213</t>
  </si>
  <si>
    <t>50-23210-214</t>
  </si>
  <si>
    <t>50-2410-212</t>
  </si>
  <si>
    <t>50-2410-213</t>
  </si>
  <si>
    <t>50-2410-214</t>
  </si>
  <si>
    <t>50-2520-212</t>
  </si>
  <si>
    <t>50-2520-213</t>
  </si>
  <si>
    <t>50-25420-212</t>
  </si>
  <si>
    <t>50-25420-213</t>
  </si>
  <si>
    <t>50-25550-212</t>
  </si>
  <si>
    <t>50-25550-213</t>
  </si>
  <si>
    <t>50-2560-212</t>
  </si>
  <si>
    <t>50-2560-213</t>
  </si>
  <si>
    <t>50-2640-212</t>
  </si>
  <si>
    <t>50-2640-213</t>
  </si>
  <si>
    <t>50-2640-214</t>
  </si>
  <si>
    <t>10-12260-110</t>
  </si>
  <si>
    <t>10-12260-118</t>
  </si>
  <si>
    <t>10-12260-211</t>
  </si>
  <si>
    <t>10-12260-220</t>
  </si>
  <si>
    <t>10-12260-223</t>
  </si>
  <si>
    <t>10-12260-440</t>
  </si>
  <si>
    <t>40-25560-331</t>
  </si>
  <si>
    <t>40-25560-330</t>
  </si>
  <si>
    <t>50-12260-212</t>
  </si>
  <si>
    <t>50-12260-213</t>
  </si>
  <si>
    <t>50-12260-214</t>
  </si>
  <si>
    <t>70-8110-661</t>
  </si>
  <si>
    <t>70-8130-661</t>
  </si>
  <si>
    <t>10-21190-110</t>
  </si>
  <si>
    <t>10-21190-211</t>
  </si>
  <si>
    <t>10-21190-220</t>
  </si>
  <si>
    <t>10-21190-223</t>
  </si>
  <si>
    <t>10-21190-224</t>
  </si>
  <si>
    <t>50-21190-214</t>
  </si>
  <si>
    <t>90-2530-314</t>
  </si>
  <si>
    <t>90-2530-323</t>
  </si>
  <si>
    <t>90-2530-410</t>
  </si>
  <si>
    <t>90-2530-540</t>
  </si>
  <si>
    <t>10-1500-113</t>
  </si>
  <si>
    <t>10-1500-323</t>
  </si>
  <si>
    <t>10-1500-410</t>
  </si>
  <si>
    <t>10-1500-540</t>
  </si>
  <si>
    <t>10-1500-118</t>
  </si>
  <si>
    <t>10-1500-211</t>
  </si>
  <si>
    <t>10-1500-411</t>
  </si>
  <si>
    <t>10-1500-641</t>
  </si>
  <si>
    <t>10-1500-220</t>
  </si>
  <si>
    <t>10-1500-223</t>
  </si>
  <si>
    <t>10-1500-412</t>
  </si>
  <si>
    <t>10-1500-640</t>
  </si>
  <si>
    <t>10-1500-122</t>
  </si>
  <si>
    <t>10-1500-319</t>
  </si>
  <si>
    <t>10-1500-325</t>
  </si>
  <si>
    <t>10-1500-413</t>
  </si>
  <si>
    <t>10-1500-414</t>
  </si>
  <si>
    <t>10-1500-123</t>
  </si>
  <si>
    <t>10-1500-110</t>
  </si>
  <si>
    <t>10-3000-214</t>
  </si>
  <si>
    <t>10-3000-410</t>
  </si>
  <si>
    <t>10-4190-300</t>
  </si>
  <si>
    <t>50-1500-214</t>
  </si>
  <si>
    <t>50-1500-212</t>
  </si>
  <si>
    <t>50-1500-213</t>
  </si>
  <si>
    <t>80-2362-318</t>
  </si>
  <si>
    <t>80-2362-332</t>
  </si>
  <si>
    <t>80-2362-383</t>
  </si>
  <si>
    <t>80-2362-390</t>
  </si>
  <si>
    <t>80-2362-410</t>
  </si>
  <si>
    <t>80-2367-123</t>
  </si>
  <si>
    <t>80-2367-110</t>
  </si>
  <si>
    <t>80-2367-315</t>
  </si>
  <si>
    <t>80-2367-410</t>
  </si>
  <si>
    <t>80-2367-540</t>
  </si>
  <si>
    <t>80-2367-220</t>
  </si>
  <si>
    <t>80-2367-223</t>
  </si>
  <si>
    <t>80-2367-340</t>
  </si>
  <si>
    <t>80-2367-119</t>
  </si>
  <si>
    <t>80-2367-120</t>
  </si>
  <si>
    <t>80-2367-121</t>
  </si>
  <si>
    <t>80-2367-323</t>
  </si>
  <si>
    <t>80-2367-380</t>
  </si>
  <si>
    <t>80-2367-411</t>
  </si>
  <si>
    <t>80-1999-00000</t>
  </si>
  <si>
    <t>80-2367-113</t>
  </si>
  <si>
    <t>10-8990-0</t>
  </si>
  <si>
    <t>10-8410-0</t>
  </si>
  <si>
    <t>10-8510-0</t>
  </si>
  <si>
    <t>10-4399-00000</t>
  </si>
  <si>
    <t>30-7400-0</t>
  </si>
  <si>
    <t>30-7500-0</t>
  </si>
  <si>
    <t>10-4932-00000</t>
  </si>
  <si>
    <t>30-7210-00</t>
  </si>
  <si>
    <t>30-7220-00</t>
  </si>
  <si>
    <t>30-5300-6</t>
  </si>
  <si>
    <t>30-5200-6</t>
  </si>
  <si>
    <t>30-5400-6</t>
  </si>
  <si>
    <t>30-8990-0</t>
  </si>
  <si>
    <t>40-1442-0</t>
  </si>
  <si>
    <t>Capital Leases</t>
  </si>
  <si>
    <t>General Obligation Building Bonds</t>
  </si>
  <si>
    <t>Various</t>
  </si>
  <si>
    <t>General Obligation Life Safety Bonds</t>
  </si>
  <si>
    <t>General Obligation Working Cash Bonds</t>
  </si>
  <si>
    <t>General Obligation Refunding Bonds</t>
  </si>
  <si>
    <t>Page 9, Line 17, Operations &amp; Maintenance Fund- Canal TIF tax</t>
  </si>
  <si>
    <t>Page 10, Line 74, Educational Fund- Adult Lunches</t>
  </si>
  <si>
    <t>Page 11, Line 107, Educational Fund- Miscellaneous</t>
  </si>
  <si>
    <t>Page 11, Line 107, Operations &amp; Maintenance Fund- Miscellaenous &amp; Land Rental Fees</t>
  </si>
  <si>
    <t>Page 11, Line 107, Transportation Fund- Miscellaneous</t>
  </si>
  <si>
    <t>Page 11, Line 107, Tort Fund- Crossing Guards</t>
  </si>
  <si>
    <t>Page 18, Line 171, Paying Agent Fees</t>
  </si>
  <si>
    <t>Page 20, Line 237, Crossing Guards</t>
  </si>
  <si>
    <t>Page 12, Line 168, Educational Fund- State Library Grant</t>
  </si>
  <si>
    <t>Page 13, Line 203, Educational Fund- Title I School Improvement</t>
  </si>
  <si>
    <t>Page 16, Line 83, Title 4 - D.A.R.E.</t>
  </si>
  <si>
    <t>10-120</t>
  </si>
  <si>
    <t>20-120</t>
  </si>
  <si>
    <t>90-120</t>
  </si>
  <si>
    <t>U.S. Department of Education passed through ISBE:</t>
  </si>
  <si>
    <t>Rural Education Initiative</t>
  </si>
  <si>
    <t>84.358B</t>
  </si>
  <si>
    <t>2019-4107</t>
  </si>
  <si>
    <t>84.010A</t>
  </si>
  <si>
    <t>2018-4300</t>
  </si>
  <si>
    <t>Title 1- Low Income*</t>
  </si>
  <si>
    <t>2019-4300</t>
  </si>
  <si>
    <t>84.173A</t>
  </si>
  <si>
    <t>2019-4600</t>
  </si>
  <si>
    <t>N/A</t>
  </si>
  <si>
    <t>84.027A</t>
  </si>
  <si>
    <t>2019-4620</t>
  </si>
  <si>
    <t>2018-4625</t>
  </si>
  <si>
    <t>Teacher Quality</t>
  </si>
  <si>
    <t>84.367A</t>
  </si>
  <si>
    <t>2018-4932</t>
  </si>
  <si>
    <t>2019-4932</t>
  </si>
  <si>
    <t>Subtotal</t>
  </si>
  <si>
    <t>Special Education-I.D.E.A.</t>
  </si>
  <si>
    <t>Special Education- I.D.E.A. Preschool</t>
  </si>
  <si>
    <t>Special Education I.D.E.A. Flow Through</t>
  </si>
  <si>
    <t>Special Education- I.D.E.A. Total</t>
  </si>
  <si>
    <t>Title IV A- Student Support &amp; Academic Enrichment</t>
  </si>
  <si>
    <t>2018-4832</t>
  </si>
  <si>
    <t>2019-4832</t>
  </si>
  <si>
    <t>U.S. Department of Agriculture passed through:ISBE: Child Nutrition</t>
  </si>
  <si>
    <t>2018-4210</t>
  </si>
  <si>
    <t>2018-4220</t>
  </si>
  <si>
    <t>2019-4220</t>
  </si>
  <si>
    <t>Federal Commodities(non-cash)</t>
  </si>
  <si>
    <t>2019-4299</t>
  </si>
  <si>
    <t>N/a</t>
  </si>
  <si>
    <t>Department of Defense passed through ISBE :Child Nutrition</t>
  </si>
  <si>
    <t>Fresh Fruits &amp; Vegetables Program(non-cash)</t>
  </si>
  <si>
    <t>Child Nutrition Total</t>
  </si>
  <si>
    <t>Department of Health &amp; Human Services passed through</t>
  </si>
  <si>
    <t>Illinois Deptof Healthcare and Family Services</t>
  </si>
  <si>
    <t>Medicaid Administrative Outreach</t>
  </si>
  <si>
    <t>2019-4991</t>
  </si>
  <si>
    <t>Total Federal Financial Assistance</t>
  </si>
  <si>
    <t>2019-4399</t>
  </si>
  <si>
    <r>
      <t>The accompanying Schedule of Expenditures of Federal Awards includes the federal grant activity of Ottawa Elementary Schools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</si>
  <si>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Of the federal expenditures presented in the schedule, Ottawa Elementary Schools provided federal awards to subrecipients as follows:</t>
  </si>
  <si>
    <t>None</t>
  </si>
  <si>
    <r>
      <t xml:space="preserve">The following amounts were expended in the form of non-cash assistance by Ottawa Elementary Schools and </t>
    </r>
    <r>
      <rPr>
        <b/>
        <sz val="9"/>
        <rFont val="Calibri"/>
        <family val="2"/>
        <scheme val="minor"/>
      </rPr>
      <t>should be</t>
    </r>
    <r>
      <rPr>
        <sz val="9"/>
        <rFont val="Calibri"/>
        <family val="2"/>
        <scheme val="minor"/>
      </rPr>
      <t xml:space="preserve"> included in the Schedule of Expenditures of Federal Awards:</t>
    </r>
  </si>
  <si>
    <t>Unmodified</t>
  </si>
  <si>
    <t>Title 1- Low Income</t>
  </si>
  <si>
    <t>Title 1-School Improvement Accountability</t>
  </si>
  <si>
    <t>The District must have functioning internal controls over financial reporting.</t>
  </si>
  <si>
    <t>It was determined that District personnel do not have the expertise necessary to prepare external financial reports without assistance from the auditor.</t>
  </si>
  <si>
    <t>Management of the district may not be able to detect material errors nad/or omissions to its financial statements.</t>
  </si>
  <si>
    <t>The District does not have have all of  the controls described above, and relies upon the auditor for this expertise</t>
  </si>
  <si>
    <t>The District has no employees familiar with all requirements of external financial reporting.</t>
  </si>
  <si>
    <t>We recommend management consider training appropriate staff to allow for staff to properly prepare the District financial statements.</t>
  </si>
  <si>
    <t>The cost of training personnel will be considered, if cost effective.</t>
  </si>
  <si>
    <t>2018-1</t>
  </si>
  <si>
    <t>The District must have functioning internal controls</t>
  </si>
  <si>
    <t>over financial reporting. This includes preparation</t>
  </si>
  <si>
    <t>of financial reports.</t>
  </si>
  <si>
    <t xml:space="preserve">                        The District continues to rely on the auditor</t>
  </si>
  <si>
    <t xml:space="preserve">                        for this expertise and will consider training</t>
  </si>
  <si>
    <t xml:space="preserve">                        District personnel, if this is cost effective.</t>
  </si>
  <si>
    <r>
      <t>CORRECTIVE ACTION PLAN FOR CURRENT YEAR AUDIT FINDINGS</t>
    </r>
    <r>
      <rPr>
        <b/>
        <vertAlign val="superscript"/>
        <sz val="9"/>
        <rFont val="Arial"/>
        <family val="2"/>
      </rPr>
      <t>21</t>
    </r>
  </si>
  <si>
    <t>Corrective Action Plan</t>
  </si>
  <si>
    <t>Finding No.:</t>
  </si>
  <si>
    <t>Condition:</t>
  </si>
  <si>
    <t>The District does not have functioning internal controls over external financial reporting.</t>
  </si>
  <si>
    <t>Plan:</t>
  </si>
  <si>
    <t>Familiarize our staff with financial reporting requirements to the extent possible.</t>
  </si>
  <si>
    <t>Anticipated Date of Completion:</t>
  </si>
  <si>
    <t>Ongoing</t>
  </si>
  <si>
    <t>Name of Contact Person:</t>
  </si>
  <si>
    <t>Mr. Cleve Threadgill</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</si>
  <si>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</si>
  <si>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</si>
  <si>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ROE- Food Co-op</t>
  </si>
  <si>
    <t>L.E.A.S.E.</t>
  </si>
  <si>
    <t>ED - Fiscal Service - Purchased Service</t>
  </si>
  <si>
    <t>10-2520-300</t>
  </si>
  <si>
    <t>Specialized Data Systems</t>
  </si>
  <si>
    <t>ED - Pupil - Purchased Service</t>
  </si>
  <si>
    <t>10-2100-300</t>
  </si>
  <si>
    <t>ED - Instructional Staff - Purchased Service</t>
  </si>
  <si>
    <t>10-2200-300</t>
  </si>
  <si>
    <t>Troxell Communication Inc.</t>
  </si>
  <si>
    <t>Telcom Innovations</t>
  </si>
  <si>
    <t>Raptor Technologies</t>
  </si>
  <si>
    <t>Common Goal Systems</t>
  </si>
  <si>
    <t>Blackboard Connect Inc</t>
  </si>
  <si>
    <t>Frontline Technologies Group</t>
  </si>
  <si>
    <t>E. Schoolview Inc</t>
  </si>
  <si>
    <t>Companion Corp.</t>
  </si>
  <si>
    <t>Telesolutions Consultants LLC</t>
  </si>
  <si>
    <t>Mediacom</t>
  </si>
  <si>
    <t>Northern Illinois University</t>
  </si>
  <si>
    <t>I Fiber</t>
  </si>
  <si>
    <t>Unite Private Networks</t>
  </si>
  <si>
    <t>RK Dixon</t>
  </si>
  <si>
    <t>ED - General Admin - Purchased Service</t>
  </si>
  <si>
    <t>10-2300-300</t>
  </si>
  <si>
    <t>Roenfeldt and Lockas</t>
  </si>
  <si>
    <t>Pitney Bowes Inc</t>
  </si>
  <si>
    <t>Rachel Donoho, LCSW</t>
  </si>
  <si>
    <t>ED - Information Services - Purchased Service</t>
  </si>
  <si>
    <t>10-2630-300</t>
  </si>
  <si>
    <t>WCMY</t>
  </si>
  <si>
    <t>OM - Plant Services - Purchased Service</t>
  </si>
  <si>
    <t>20-2540-300</t>
  </si>
  <si>
    <t>Green and Associates</t>
  </si>
  <si>
    <t>Simplex Grinnell</t>
  </si>
  <si>
    <t>Faculty Tree</t>
  </si>
  <si>
    <t>Thyssenkrupp Elevator Corp</t>
  </si>
  <si>
    <t>Environmental Control Solutions</t>
  </si>
  <si>
    <t>Pipco Companies LTD</t>
  </si>
  <si>
    <t>TRANSPORT Principal</t>
  </si>
  <si>
    <t>TRANSPORT Interest</t>
  </si>
  <si>
    <t>40-5300-60</t>
  </si>
  <si>
    <t>40-5200-6</t>
  </si>
  <si>
    <t>70-430</t>
  </si>
  <si>
    <t xml:space="preserve">x </t>
  </si>
  <si>
    <t>Special Education- I.D.E.A. Room &amp; Board</t>
  </si>
  <si>
    <t>Title 1-School Improvement Accountability*</t>
  </si>
  <si>
    <t>Therapy Travelers</t>
  </si>
  <si>
    <t>Julie Kirkpatrick</t>
  </si>
  <si>
    <t>Michael Nelson</t>
  </si>
  <si>
    <t>Kelsey Hoster</t>
  </si>
  <si>
    <t>City of Ottawa - D.A.R.E</t>
  </si>
  <si>
    <t>Waste Management</t>
  </si>
  <si>
    <t>Orkin</t>
  </si>
  <si>
    <t>Verizon</t>
  </si>
  <si>
    <t>TR - Transportation Services - Purchased Service</t>
  </si>
  <si>
    <t>40-2550-300</t>
  </si>
  <si>
    <t>Marco, Inc.</t>
  </si>
  <si>
    <t>Zendesk, Inc.</t>
  </si>
  <si>
    <t>Ottawa ESD 141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</si>
</sst>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u/>
      <sz val="10"/>
      <color rgb="FFFF0000"/>
      <name val="Arial"/>
      <family val="2"/>
    </font>
    <font>
      <sz val="10"/>
      <color rgb="FF000000"/>
      <name val="Times New Roman"/>
      <family val="1"/>
    </font>
    <font>
      <sz val="11"/>
      <name val="Calibri"/>
      <family val="2"/>
    </font>
    <font>
      <u/>
      <sz val="7.5"/>
      <color indexed="12"/>
      <name val="Arial"/>
      <family val="2"/>
    </font>
    <font>
      <b/>
      <u/>
      <sz val="10"/>
      <color theme="1"/>
      <name val="Arial"/>
      <family val="2"/>
    </font>
    <font>
      <sz val="10"/>
      <color theme="1"/>
      <name val="Arial"/>
      <family val="2"/>
    </font>
    <font>
      <b/>
      <vertAlign val="superscript"/>
      <sz val="9"/>
      <name val="Arial"/>
      <family val="2"/>
    </font>
    <font>
      <b/>
      <u/>
      <sz val="8"/>
      <name val="Arial"/>
      <family val="2"/>
    </font>
    <font>
      <b/>
      <i/>
      <sz val="10"/>
      <name val="Arial"/>
      <family val="2"/>
    </font>
    <font>
      <vertAlign val="superscript"/>
      <sz val="8"/>
      <name val="Arial"/>
      <family val="2"/>
    </font>
    <font>
      <b/>
      <sz val="8"/>
      <color theme="1"/>
      <name val="Arial"/>
      <family val="2"/>
    </font>
    <font>
      <b/>
      <sz val="9"/>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8953">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9" fillId="0" borderId="0"/>
    <xf numFmtId="0" fontId="7" fillId="0" borderId="0"/>
    <xf numFmtId="0" fontId="7" fillId="0" borderId="0"/>
    <xf numFmtId="0" fontId="143" fillId="0" borderId="0">
      <alignment vertical="top"/>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145" fillId="0" borderId="0"/>
    <xf numFmtId="0" fontId="146" fillId="0" borderId="0"/>
    <xf numFmtId="0" fontId="146" fillId="0" borderId="0"/>
    <xf numFmtId="0" fontId="146" fillId="0" borderId="0"/>
    <xf numFmtId="44" fontId="14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0" fontId="146"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43" fillId="0" borderId="0">
      <alignment vertical="top"/>
    </xf>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4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4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7" fillId="0" borderId="0" applyNumberFormat="0" applyFill="0" applyBorder="0" applyAlignment="0" applyProtection="0">
      <alignment vertical="top"/>
      <protection locked="0"/>
    </xf>
    <xf numFmtId="0" fontId="3" fillId="0" borderId="0"/>
    <xf numFmtId="0" fontId="3"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44">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7" fillId="0" borderId="0" xfId="12" applyFont="1" applyBorder="1" applyAlignment="1" applyProtection="1">
      <alignment horizontal="left" vertical="center"/>
    </xf>
    <xf numFmtId="0" fontId="19" fillId="0" borderId="0" xfId="12" quotePrefix="1" applyNumberFormat="1" applyFont="1" applyBorder="1" applyAlignment="1" applyProtection="1">
      <alignment horizontal="left" vertical="center"/>
    </xf>
    <xf numFmtId="0" fontId="16" fillId="0" borderId="12" xfId="12" applyFont="1" applyBorder="1" applyAlignment="1" applyProtection="1">
      <alignmen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6" fillId="0" borderId="17"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1" fontId="15" fillId="0" borderId="0" xfId="0" applyNumberFormat="1" applyFont="1" applyFill="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2" xfId="12" applyNumberFormat="1" applyFont="1" applyBorder="1" applyAlignment="1" applyProtection="1">
      <alignment horizontal="right" vertical="center"/>
    </xf>
    <xf numFmtId="0" fontId="16" fillId="0" borderId="122" xfId="12" applyFont="1" applyBorder="1" applyAlignment="1" applyProtection="1">
      <alignment vertical="center"/>
    </xf>
    <xf numFmtId="0" fontId="19" fillId="0" borderId="125" xfId="12" applyFont="1" applyBorder="1" applyAlignment="1" applyProtection="1">
      <alignment vertical="center"/>
    </xf>
    <xf numFmtId="0" fontId="19" fillId="0" borderId="123" xfId="12" applyFont="1" applyBorder="1" applyAlignment="1" applyProtection="1">
      <alignment vertical="center"/>
    </xf>
    <xf numFmtId="1" fontId="15" fillId="0" borderId="0" xfId="0" applyNumberFormat="1" applyFont="1" applyAlignment="1">
      <alignment horizontal="center" vertical="center"/>
    </xf>
    <xf numFmtId="0" fontId="16" fillId="0" borderId="132"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20" xfId="0" applyFont="1" applyFill="1" applyBorder="1" applyAlignment="1" applyProtection="1">
      <alignment horizontal="left" vertical="center"/>
    </xf>
    <xf numFmtId="164" fontId="59" fillId="17" borderId="120" xfId="0" applyNumberFormat="1" applyFont="1" applyFill="1" applyBorder="1" applyAlignment="1" applyProtection="1">
      <alignment horizontal="center" vertical="center"/>
    </xf>
    <xf numFmtId="164" fontId="69" fillId="17" borderId="120" xfId="0" applyNumberFormat="1" applyFont="1" applyFill="1" applyBorder="1" applyAlignment="1" applyProtection="1">
      <alignment vertical="center"/>
    </xf>
    <xf numFmtId="0" fontId="82" fillId="10" borderId="121"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83" fillId="11" borderId="103" xfId="0" applyFont="1" applyFill="1" applyBorder="1" applyAlignment="1">
      <alignment vertical="center"/>
    </xf>
    <xf numFmtId="164" fontId="59" fillId="13" borderId="116" xfId="0" applyNumberFormat="1" applyFont="1" applyFill="1" applyBorder="1" applyAlignment="1" applyProtection="1">
      <alignment horizontal="center" vertical="center"/>
    </xf>
    <xf numFmtId="164" fontId="69" fillId="13" borderId="110" xfId="0" applyNumberFormat="1" applyFont="1" applyFill="1" applyBorder="1" applyAlignment="1" applyProtection="1">
      <alignment vertical="center"/>
    </xf>
    <xf numFmtId="0" fontId="62" fillId="13" borderId="103" xfId="0" applyFont="1" applyFill="1" applyBorder="1" applyAlignment="1" applyProtection="1">
      <alignment vertical="center"/>
    </xf>
    <xf numFmtId="38" fontId="54" fillId="11" borderId="119" xfId="0" applyNumberFormat="1" applyFont="1" applyFill="1" applyBorder="1" applyAlignment="1" applyProtection="1">
      <alignment horizontal="right"/>
      <protection locked="0"/>
    </xf>
    <xf numFmtId="38" fontId="54" fillId="11" borderId="103" xfId="0" applyNumberFormat="1" applyFont="1" applyFill="1" applyBorder="1" applyAlignment="1" applyProtection="1">
      <alignment horizontal="right"/>
      <protection locked="0"/>
    </xf>
    <xf numFmtId="38" fontId="54" fillId="11" borderId="110" xfId="0" applyNumberFormat="1" applyFont="1" applyFill="1" applyBorder="1" applyAlignment="1" applyProtection="1">
      <alignment horizontal="right"/>
      <protection locked="0"/>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67" fillId="13" borderId="116" xfId="0" applyFont="1" applyFill="1" applyBorder="1" applyAlignment="1" applyProtection="1">
      <alignment horizontal="left" vertical="center"/>
    </xf>
    <xf numFmtId="164" fontId="59" fillId="13" borderId="110"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83" fillId="11" borderId="103" xfId="0" applyFont="1" applyFill="1" applyBorder="1" applyAlignment="1">
      <alignment horizontal="left" vertical="center"/>
    </xf>
    <xf numFmtId="0" fontId="59" fillId="13" borderId="117" xfId="0" applyFont="1" applyFill="1" applyBorder="1" applyAlignment="1" applyProtection="1">
      <alignment horizontal="center" vertical="center"/>
    </xf>
    <xf numFmtId="164" fontId="59" fillId="13" borderId="118" xfId="0" applyNumberFormat="1" applyFont="1" applyFill="1" applyBorder="1" applyAlignment="1" applyProtection="1">
      <alignment horizontal="center" vertical="center"/>
    </xf>
    <xf numFmtId="164" fontId="69" fillId="13" borderId="118" xfId="0" applyNumberFormat="1" applyFont="1" applyFill="1" applyBorder="1" applyAlignment="1" applyProtection="1">
      <alignment vertical="center"/>
    </xf>
    <xf numFmtId="38" fontId="54" fillId="11" borderId="110" xfId="0" applyNumberFormat="1" applyFont="1" applyFill="1" applyBorder="1" applyAlignment="1">
      <alignment horizontal="right"/>
    </xf>
    <xf numFmtId="0" fontId="82" fillId="10" borderId="104" xfId="0" applyFont="1" applyFill="1" applyBorder="1" applyAlignment="1">
      <alignment horizontal="left" vertical="center"/>
    </xf>
    <xf numFmtId="38" fontId="54" fillId="10" borderId="104" xfId="0" applyNumberFormat="1" applyFont="1" applyFill="1" applyBorder="1" applyAlignment="1">
      <alignment horizontal="right"/>
    </xf>
    <xf numFmtId="38" fontId="54" fillId="10" borderId="0" xfId="0" applyNumberFormat="1" applyFont="1" applyFill="1" applyBorder="1" applyAlignment="1" applyProtection="1">
      <alignment horizontal="right"/>
      <protection locked="0"/>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38" fontId="62" fillId="0" borderId="2" xfId="0" applyNumberFormat="1" applyFont="1" applyBorder="1" applyAlignment="1" applyProtection="1">
      <alignment vertical="center"/>
      <protection locked="0"/>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0" fontId="62" fillId="0" borderId="0" xfId="5" applyNumberFormat="1"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5" fontId="67" fillId="0" borderId="0" xfId="0" applyNumberFormat="1" applyFont="1" applyFill="1" applyBorder="1" applyAlignment="1" applyProtection="1">
      <alignment horizontal="right"/>
    </xf>
    <xf numFmtId="173" fontId="67" fillId="0" borderId="0" xfId="0" applyNumberFormat="1" applyFont="1" applyBorder="1" applyProtection="1"/>
    <xf numFmtId="0" fontId="67" fillId="0" borderId="0" xfId="5" applyNumberFormat="1" applyFont="1" applyBorder="1" applyAlignment="1" applyProtection="1">
      <alignment horizontal="right"/>
    </xf>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2" fontId="67" fillId="0" borderId="0" xfId="0" applyNumberFormat="1"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5" quotePrefix="1" applyNumberFormat="1" applyFont="1" applyBorder="1" applyAlignment="1" applyProtection="1">
      <alignment horizontal="right"/>
    </xf>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40" fontId="67" fillId="0" borderId="0" xfId="0" applyNumberFormat="1" applyFont="1" applyFill="1" applyBorder="1" applyAlignment="1" applyProtection="1">
      <alignment horizontal="right"/>
    </xf>
    <xf numFmtId="1" fontId="67" fillId="0" borderId="0" xfId="0" applyNumberFormat="1" applyFont="1" applyBorder="1" applyProtection="1"/>
    <xf numFmtId="39" fontId="67" fillId="0" borderId="0" xfId="0" applyNumberFormat="1" applyFont="1" applyBorder="1" applyProtection="1"/>
    <xf numFmtId="1" fontId="62" fillId="0" borderId="0" xfId="5" applyNumberFormat="1" applyFont="1" applyBorder="1" applyAlignment="1" applyProtection="1">
      <alignment horizontal="right"/>
    </xf>
    <xf numFmtId="40" fontId="67" fillId="0" borderId="0" xfId="0" applyNumberFormat="1" applyFont="1" applyBorder="1" applyAlignment="1" applyProtection="1">
      <alignment horizontal="right" vertical="center"/>
    </xf>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2" fontId="67" fillId="0" borderId="0" xfId="0" applyNumberFormat="1" applyFont="1" applyBorder="1" applyAlignment="1" applyProtection="1">
      <alignment horizontal="right" vertical="center"/>
    </xf>
    <xf numFmtId="40" fontId="67" fillId="0" borderId="0" xfId="0" applyNumberFormat="1" applyFont="1" applyFill="1" applyBorder="1" applyAlignment="1" applyProtection="1">
      <alignment horizontal="right" vertical="center"/>
    </xf>
    <xf numFmtId="49" fontId="67" fillId="0" borderId="0" xfId="0" applyNumberFormat="1" applyFont="1" applyBorder="1" applyProtection="1"/>
    <xf numFmtId="0" fontId="67" fillId="0" borderId="0" xfId="0" applyFont="1" applyBorder="1" applyAlignment="1" applyProtection="1">
      <alignment horizontal="center"/>
    </xf>
    <xf numFmtId="172" fontId="67" fillId="0" borderId="0" xfId="0" applyNumberFormat="1" applyFont="1" applyBorder="1" applyAlignment="1" applyProtection="1">
      <alignment horizontal="right"/>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2" fontId="70" fillId="0" borderId="0" xfId="0" applyNumberFormat="1"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0" fontId="71" fillId="0" borderId="0" xfId="5" applyNumberFormat="1" applyFont="1" applyFill="1" applyBorder="1" applyAlignment="1" applyProtection="1">
      <alignment horizontal="right"/>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38" fontId="60" fillId="0" borderId="14" xfId="0" applyNumberFormat="1" applyFont="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3" borderId="26" xfId="0" applyNumberFormat="1" applyFont="1" applyFill="1" applyBorder="1" applyAlignment="1" applyProtection="1">
      <alignment horizontal="right"/>
    </xf>
    <xf numFmtId="38" fontId="60" fillId="3" borderId="18" xfId="0" applyNumberFormat="1" applyFont="1" applyFill="1" applyBorder="1" applyAlignment="1" applyProtection="1">
      <alignment horizontal="right"/>
    </xf>
    <xf numFmtId="0" fontId="67" fillId="0" borderId="2" xfId="0" applyFont="1" applyBorder="1" applyAlignment="1" applyProtection="1">
      <alignment horizontal="center" vertical="center"/>
    </xf>
    <xf numFmtId="38" fontId="60" fillId="0" borderId="0" xfId="0" applyNumberFormat="1" applyFont="1" applyBorder="1" applyAlignment="1" applyProtection="1">
      <alignment horizontal="right"/>
      <protection locked="0"/>
    </xf>
    <xf numFmtId="0" fontId="67" fillId="0" borderId="14" xfId="0" applyFont="1" applyBorder="1" applyAlignment="1" applyProtection="1">
      <alignment horizontal="left" vertical="center" indent="1"/>
    </xf>
    <xf numFmtId="38" fontId="60" fillId="6" borderId="3" xfId="0" applyNumberFormat="1" applyFont="1" applyFill="1" applyBorder="1" applyAlignment="1" applyProtection="1">
      <alignment horizontal="right"/>
    </xf>
    <xf numFmtId="38" fontId="60" fillId="6" borderId="26" xfId="0" applyNumberFormat="1" applyFont="1" applyFill="1" applyBorder="1" applyAlignment="1" applyProtection="1">
      <alignment horizontal="right"/>
    </xf>
    <xf numFmtId="38" fontId="60" fillId="0" borderId="4" xfId="0" applyNumberFormat="1" applyFont="1" applyFill="1" applyBorder="1" applyAlignment="1" applyProtection="1">
      <alignment horizontal="right"/>
      <protection locked="0"/>
    </xf>
    <xf numFmtId="38" fontId="60" fillId="6" borderId="4" xfId="0" applyNumberFormat="1" applyFont="1" applyFill="1" applyBorder="1" applyAlignment="1" applyProtection="1">
      <alignment horizontal="right"/>
    </xf>
    <xf numFmtId="38" fontId="60" fillId="0" borderId="4" xfId="0" applyNumberFormat="1" applyFont="1" applyBorder="1" applyAlignment="1" applyProtection="1">
      <alignment horizontal="right"/>
      <protection locked="0"/>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38" fontId="60" fillId="6" borderId="18" xfId="0" applyNumberFormat="1" applyFont="1" applyFill="1" applyBorder="1" applyAlignment="1" applyProtection="1">
      <alignment horizontal="right"/>
    </xf>
    <xf numFmtId="0" fontId="62" fillId="0" borderId="0" xfId="0" applyFont="1" applyFill="1" applyAlignment="1" applyProtection="1">
      <alignment vertical="center"/>
    </xf>
    <xf numFmtId="38" fontId="60" fillId="6" borderId="0"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38" fontId="60" fillId="0" borderId="4" xfId="0" applyNumberFormat="1" applyFont="1" applyBorder="1" applyAlignment="1" applyProtection="1">
      <alignment horizontal="right"/>
    </xf>
    <xf numFmtId="0" fontId="67" fillId="0" borderId="2" xfId="0" applyFont="1" applyFill="1" applyBorder="1" applyAlignment="1" applyProtection="1">
      <alignment horizontal="left" vertical="center" indent="1"/>
    </xf>
    <xf numFmtId="38" fontId="62" fillId="6" borderId="26" xfId="0" applyNumberFormat="1" applyFont="1" applyFill="1" applyBorder="1" applyAlignment="1">
      <alignment horizontal="right"/>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38" fontId="60" fillId="6" borderId="3" xfId="0" applyNumberFormat="1" applyFont="1" applyFill="1" applyBorder="1" applyAlignment="1">
      <alignment horizontal="right"/>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8" fontId="60" fillId="3" borderId="21" xfId="0" applyNumberFormat="1" applyFont="1" applyFill="1" applyBorder="1" applyAlignment="1" applyProtection="1">
      <alignment horizontal="right"/>
    </xf>
    <xf numFmtId="38" fontId="60" fillId="3" borderId="0" xfId="0" applyNumberFormat="1" applyFont="1" applyFill="1" applyBorder="1" applyAlignment="1" applyProtection="1">
      <alignment horizontal="right"/>
    </xf>
    <xf numFmtId="38" fontId="60" fillId="3" borderId="3" xfId="0" applyNumberFormat="1" applyFont="1" applyFill="1" applyBorder="1" applyAlignment="1" applyProtection="1">
      <alignment horizontal="right"/>
    </xf>
    <xf numFmtId="38" fontId="60" fillId="3" borderId="13" xfId="0" applyNumberFormat="1" applyFont="1" applyFill="1" applyBorder="1" applyAlignment="1" applyProtection="1">
      <alignment horizontal="right"/>
    </xf>
    <xf numFmtId="38" fontId="60" fillId="3" borderId="2" xfId="0" applyNumberFormat="1" applyFont="1" applyFill="1" applyBorder="1" applyAlignment="1" applyProtection="1">
      <alignment horizontal="right"/>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38" fontId="60" fillId="0" borderId="19" xfId="0" applyNumberFormat="1" applyFont="1" applyBorder="1" applyAlignment="1" applyProtection="1">
      <alignment horizontal="right"/>
      <protection locked="0"/>
    </xf>
    <xf numFmtId="38" fontId="60" fillId="0" borderId="11" xfId="0" applyNumberFormat="1" applyFont="1" applyBorder="1" applyAlignment="1" applyProtection="1">
      <alignment horizontal="right"/>
      <protection locked="0"/>
    </xf>
    <xf numFmtId="0" fontId="59" fillId="0" borderId="0" xfId="0" applyFont="1" applyAlignment="1" applyProtection="1">
      <alignment vertical="center"/>
    </xf>
    <xf numFmtId="0" fontId="70" fillId="0" borderId="0" xfId="0" applyFont="1" applyAlignment="1" applyProtection="1">
      <alignment vertical="center"/>
    </xf>
    <xf numFmtId="38" fontId="60" fillId="3" borderId="11" xfId="0" applyNumberFormat="1" applyFont="1" applyFill="1" applyBorder="1" applyAlignment="1" applyProtection="1">
      <alignment horizontal="right"/>
    </xf>
    <xf numFmtId="38" fontId="60" fillId="3" borderId="4" xfId="0" applyNumberFormat="1" applyFont="1" applyFill="1" applyBorder="1" applyAlignment="1" applyProtection="1">
      <alignment horizontal="right"/>
    </xf>
    <xf numFmtId="38" fontId="60" fillId="3" borderId="19" xfId="0" applyNumberFormat="1" applyFont="1" applyFill="1" applyBorder="1" applyAlignment="1" applyProtection="1">
      <alignment horizontal="right"/>
    </xf>
    <xf numFmtId="38" fontId="60" fillId="3" borderId="14" xfId="0" applyNumberFormat="1" applyFont="1" applyFill="1" applyBorder="1" applyAlignment="1" applyProtection="1">
      <alignment horizontal="right"/>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38" fontId="60" fillId="6" borderId="2" xfId="0" applyNumberFormat="1" applyFont="1" applyFill="1" applyBorder="1" applyAlignment="1" applyProtection="1">
      <alignment horizontal="right"/>
    </xf>
    <xf numFmtId="0" fontId="67" fillId="0" borderId="2" xfId="0" applyFont="1" applyFill="1" applyBorder="1" applyAlignment="1" applyProtection="1">
      <alignment horizontal="center" vertical="top"/>
    </xf>
    <xf numFmtId="38" fontId="60" fillId="6" borderId="28" xfId="0" applyNumberFormat="1" applyFont="1" applyFill="1" applyBorder="1" applyAlignment="1" applyProtection="1">
      <alignment horizontal="right"/>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38" fontId="60" fillId="0" borderId="29" xfId="0" applyNumberFormat="1" applyFont="1" applyFill="1" applyBorder="1" applyAlignment="1" applyProtection="1">
      <alignment horizontal="right"/>
      <protection locked="0"/>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38" fontId="60" fillId="3" borderId="17" xfId="0" applyNumberFormat="1" applyFont="1" applyFill="1" applyBorder="1" applyAlignment="1" applyProtection="1">
      <alignment horizontal="right"/>
    </xf>
    <xf numFmtId="37" fontId="60" fillId="3" borderId="17" xfId="0" applyNumberFormat="1" applyFont="1" applyFill="1" applyBorder="1" applyAlignment="1" applyProtection="1">
      <alignment horizontal="right"/>
    </xf>
    <xf numFmtId="37" fontId="60" fillId="3" borderId="26" xfId="0" applyNumberFormat="1" applyFont="1" applyFill="1" applyBorder="1" applyAlignment="1" applyProtection="1">
      <alignment horizontal="right"/>
    </xf>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38" fontId="60" fillId="3" borderId="0" xfId="0" applyNumberFormat="1" applyFont="1" applyFill="1" applyAlignment="1" applyProtection="1">
      <alignment horizontal="right"/>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38" fontId="60" fillId="3" borderId="38" xfId="0" applyNumberFormat="1" applyFont="1" applyFill="1" applyBorder="1" applyAlignment="1" applyProtection="1">
      <alignment horizontal="right"/>
    </xf>
    <xf numFmtId="38" fontId="60" fillId="3" borderId="28" xfId="0" applyNumberFormat="1" applyFont="1" applyFill="1" applyBorder="1" applyAlignment="1" applyProtection="1">
      <alignment horizontal="right"/>
    </xf>
    <xf numFmtId="1" fontId="67" fillId="0" borderId="4" xfId="0" applyNumberFormat="1" applyFont="1" applyBorder="1" applyAlignment="1" applyProtection="1">
      <alignment horizontal="center" vertical="center"/>
    </xf>
    <xf numFmtId="1" fontId="67" fillId="0" borderId="124" xfId="0" applyNumberFormat="1" applyFont="1" applyBorder="1" applyAlignment="1" applyProtection="1">
      <alignment horizontal="center" vertical="center"/>
    </xf>
    <xf numFmtId="38" fontId="60" fillId="3" borderId="124" xfId="0" applyNumberFormat="1" applyFont="1" applyFill="1" applyBorder="1" applyAlignment="1" applyProtection="1">
      <alignment horizontal="right"/>
    </xf>
    <xf numFmtId="38" fontId="60" fillId="3" borderId="29" xfId="0" applyNumberFormat="1" applyFont="1" applyFill="1" applyBorder="1" applyAlignment="1" applyProtection="1">
      <alignment horizontal="right"/>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38" fontId="60" fillId="0" borderId="33"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0" fontId="67" fillId="0" borderId="2" xfId="0" applyFont="1" applyBorder="1" applyAlignment="1" applyProtection="1">
      <alignment horizontal="center" vertical="top" wrapText="1"/>
    </xf>
    <xf numFmtId="38" fontId="60" fillId="3" borderId="39"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vertical="center"/>
      <protection locked="0"/>
    </xf>
    <xf numFmtId="38" fontId="60" fillId="6" borderId="2" xfId="0" applyNumberFormat="1" applyFont="1" applyFill="1" applyBorder="1" applyAlignment="1" applyProtection="1">
      <alignment horizontal="right" vertical="center"/>
    </xf>
    <xf numFmtId="0" fontId="67" fillId="0" borderId="26" xfId="0" applyFont="1" applyBorder="1" applyAlignment="1" applyProtection="1">
      <alignment horizontal="center" vertical="center"/>
    </xf>
    <xf numFmtId="0" fontId="67" fillId="0" borderId="127"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38" fontId="60" fillId="3" borderId="31" xfId="0" applyNumberFormat="1" applyFont="1" applyFill="1" applyBorder="1" applyAlignment="1" applyProtection="1">
      <alignment horizontal="right" vertical="center"/>
    </xf>
    <xf numFmtId="38" fontId="60" fillId="3" borderId="28" xfId="0" applyNumberFormat="1" applyFont="1" applyFill="1" applyBorder="1" applyAlignment="1" applyProtection="1">
      <alignment horizontal="right" vertical="center"/>
    </xf>
    <xf numFmtId="38" fontId="60" fillId="3" borderId="0" xfId="0" applyNumberFormat="1" applyFont="1" applyFill="1" applyAlignment="1" applyProtection="1">
      <alignment horizontal="right" vertical="center"/>
    </xf>
    <xf numFmtId="38" fontId="60" fillId="3" borderId="26" xfId="0" applyNumberFormat="1" applyFont="1" applyFill="1" applyBorder="1" applyAlignment="1" applyProtection="1">
      <alignment horizontal="right" vertical="center"/>
    </xf>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3" fontId="60" fillId="3" borderId="124" xfId="0" applyNumberFormat="1" applyFont="1" applyFill="1" applyBorder="1" applyAlignment="1">
      <alignment horizontal="center"/>
    </xf>
    <xf numFmtId="3" fontId="60" fillId="3" borderId="26" xfId="0" applyNumberFormat="1" applyFont="1" applyFill="1" applyBorder="1" applyAlignment="1">
      <alignment horizontal="center"/>
    </xf>
    <xf numFmtId="3" fontId="60" fillId="3" borderId="124" xfId="0" applyNumberFormat="1" applyFont="1" applyFill="1" applyBorder="1" applyAlignment="1">
      <alignment horizontal="right"/>
    </xf>
    <xf numFmtId="0" fontId="67" fillId="0" borderId="0" xfId="0" applyFont="1" applyBorder="1" applyAlignment="1"/>
    <xf numFmtId="49" fontId="67" fillId="0" borderId="2" xfId="0" applyNumberFormat="1" applyFont="1" applyBorder="1" applyAlignment="1">
      <alignment horizontal="center" vertical="center"/>
    </xf>
    <xf numFmtId="38" fontId="60" fillId="2" borderId="2" xfId="0" applyNumberFormat="1" applyFont="1" applyFill="1" applyBorder="1" applyAlignment="1">
      <alignment horizontal="right"/>
    </xf>
    <xf numFmtId="38" fontId="60" fillId="3" borderId="26" xfId="0" applyNumberFormat="1" applyFont="1" applyFill="1" applyBorder="1" applyAlignment="1">
      <alignment horizontal="right"/>
    </xf>
    <xf numFmtId="49" fontId="69" fillId="2" borderId="27" xfId="0" applyNumberFormat="1" applyFont="1" applyFill="1" applyBorder="1" applyAlignment="1">
      <alignment horizontal="center" vertical="center"/>
    </xf>
    <xf numFmtId="38" fontId="60" fillId="3" borderId="28" xfId="0" applyNumberFormat="1" applyFont="1" applyFill="1" applyBorder="1" applyAlignment="1">
      <alignment horizontal="right"/>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38" fontId="60" fillId="3" borderId="4" xfId="0" applyNumberFormat="1" applyFont="1" applyFill="1" applyBorder="1" applyAlignment="1">
      <alignment horizontal="right"/>
    </xf>
    <xf numFmtId="164" fontId="69" fillId="3" borderId="122"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38" fontId="60" fillId="3" borderId="29" xfId="0" applyNumberFormat="1" applyFont="1" applyFill="1" applyBorder="1" applyAlignment="1">
      <alignment horizontal="right"/>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38" fontId="60" fillId="3" borderId="31" xfId="0" applyNumberFormat="1" applyFont="1" applyFill="1" applyBorder="1" applyAlignment="1">
      <alignment horizontal="right"/>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38" fontId="60" fillId="6" borderId="28" xfId="0" applyNumberFormat="1" applyFont="1" applyFill="1" applyBorder="1" applyAlignment="1">
      <alignment horizontal="right"/>
    </xf>
    <xf numFmtId="0" fontId="67" fillId="0" borderId="4" xfId="0" applyFont="1" applyFill="1" applyBorder="1" applyAlignment="1">
      <alignment horizontal="center" vertical="center"/>
    </xf>
    <xf numFmtId="38" fontId="60" fillId="6" borderId="26" xfId="0" applyNumberFormat="1" applyFont="1" applyFill="1" applyBorder="1" applyAlignment="1">
      <alignment horizontal="right"/>
    </xf>
    <xf numFmtId="0" fontId="67" fillId="0" borderId="2" xfId="0" applyFont="1" applyFill="1" applyBorder="1" applyAlignment="1">
      <alignment horizontal="center" vertical="center"/>
    </xf>
    <xf numFmtId="0" fontId="67" fillId="0" borderId="124" xfId="0" applyFont="1" applyFill="1" applyBorder="1" applyAlignment="1">
      <alignment horizontal="center" vertical="center"/>
    </xf>
    <xf numFmtId="38" fontId="60" fillId="6" borderId="4" xfId="0" applyNumberFormat="1" applyFont="1" applyFill="1" applyBorder="1" applyAlignment="1">
      <alignment horizontal="right"/>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38" fontId="60" fillId="0" borderId="21" xfId="0" applyNumberFormat="1" applyFont="1" applyFill="1" applyBorder="1" applyAlignment="1">
      <alignment horizontal="right"/>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38" fontId="60" fillId="3" borderId="2" xfId="0" applyNumberFormat="1" applyFont="1" applyFill="1" applyBorder="1" applyAlignment="1">
      <alignment horizontal="right"/>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8" fontId="60" fillId="6" borderId="29" xfId="0" applyNumberFormat="1" applyFont="1" applyFill="1" applyBorder="1" applyAlignment="1">
      <alignment horizontal="right"/>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2"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3" xfId="0" applyNumberFormat="1" applyFont="1" applyFill="1" applyBorder="1" applyAlignment="1">
      <alignment horizontal="center" vertical="center"/>
    </xf>
    <xf numFmtId="49" fontId="67" fillId="0" borderId="124"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38" fontId="60" fillId="3" borderId="124" xfId="0" applyNumberFormat="1" applyFont="1" applyFill="1" applyBorder="1" applyAlignment="1">
      <alignment horizontal="right"/>
    </xf>
    <xf numFmtId="38" fontId="60" fillId="3" borderId="3" xfId="0" applyNumberFormat="1" applyFont="1" applyFill="1" applyBorder="1" applyAlignment="1">
      <alignment horizontal="right"/>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2"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38" fontId="60" fillId="0" borderId="20" xfId="0" applyNumberFormat="1" applyFont="1" applyFill="1" applyBorder="1" applyAlignment="1">
      <alignment horizontal="right"/>
    </xf>
    <xf numFmtId="38" fontId="60" fillId="0" borderId="0" xfId="0" applyNumberFormat="1" applyFont="1" applyFill="1" applyBorder="1" applyAlignment="1">
      <alignment horizontal="right"/>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0" fontId="62" fillId="6" borderId="0" xfId="0" applyFont="1" applyFill="1" applyAlignment="1">
      <alignment vertical="center"/>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38" fontId="60" fillId="6" borderId="0" xfId="8" applyNumberFormat="1" applyFont="1" applyFill="1" applyBorder="1" applyAlignment="1" applyProtection="1">
      <alignment horizontal="right"/>
    </xf>
    <xf numFmtId="38" fontId="60" fillId="6" borderId="26" xfId="8" applyNumberFormat="1" applyFont="1" applyFill="1" applyBorder="1" applyAlignment="1" applyProtection="1">
      <alignment horizontal="right"/>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38" fontId="69" fillId="6" borderId="3" xfId="0" applyNumberFormat="1" applyFont="1" applyFill="1" applyBorder="1" applyAlignment="1">
      <alignment horizontal="center" vertical="center" wrapText="1"/>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9" fillId="0" borderId="2" xfId="0" applyNumberFormat="1" applyFont="1" applyFill="1" applyBorder="1" applyAlignment="1" applyProtection="1">
      <alignment horizontal="center" vertical="center" wrapText="1"/>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0" borderId="2" xfId="0" applyNumberFormat="1" applyFont="1" applyBorder="1" applyAlignment="1" applyProtection="1">
      <alignment horizontal="right" vertical="center"/>
      <protection locked="0"/>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 fontId="60" fillId="0" borderId="2" xfId="9" applyNumberFormat="1" applyFont="1" applyFill="1" applyBorder="1" applyAlignment="1" applyProtection="1">
      <alignment horizontal="right" vertical="center"/>
      <protection locked="0"/>
    </xf>
    <xf numFmtId="0" fontId="62" fillId="0" borderId="0" xfId="9" applyFont="1" applyFill="1" applyAlignment="1"/>
    <xf numFmtId="0" fontId="67" fillId="0" borderId="0" xfId="9" applyFont="1" applyFill="1" applyAlignment="1"/>
    <xf numFmtId="38" fontId="60" fillId="0" borderId="2" xfId="9" applyNumberFormat="1" applyFont="1" applyFill="1" applyBorder="1" applyAlignment="1" applyProtection="1">
      <alignment horizontal="right" vertical="center"/>
      <protection locked="0"/>
    </xf>
    <xf numFmtId="0" fontId="86" fillId="0" borderId="0" xfId="9" applyFont="1" applyFill="1" applyAlignment="1">
      <alignment vertical="top"/>
    </xf>
    <xf numFmtId="0" fontId="60" fillId="0" borderId="2" xfId="0" applyFont="1" applyFill="1" applyBorder="1" applyAlignment="1" applyProtection="1">
      <alignment horizontal="right"/>
      <protection locked="0"/>
    </xf>
    <xf numFmtId="0" fontId="60" fillId="0" borderId="2" xfId="9" applyFont="1" applyFill="1" applyBorder="1" applyAlignment="1" applyProtection="1">
      <alignment horizontal="right" vertical="top"/>
      <protection locked="0"/>
    </xf>
    <xf numFmtId="38" fontId="60" fillId="0" borderId="2" xfId="9" applyNumberFormat="1" applyFont="1" applyFill="1" applyBorder="1" applyAlignment="1" applyProtection="1">
      <alignment horizontal="right" vertical="top"/>
      <protection locked="0"/>
    </xf>
    <xf numFmtId="38" fontId="60" fillId="0" borderId="2" xfId="9" quotePrefix="1" applyNumberFormat="1" applyFont="1" applyFill="1" applyBorder="1" applyAlignment="1" applyProtection="1">
      <alignment horizontal="right"/>
      <protection locked="0"/>
    </xf>
    <xf numFmtId="0" fontId="67" fillId="0" borderId="0" xfId="9" applyFont="1" applyFill="1" applyBorder="1" applyAlignment="1"/>
    <xf numFmtId="38" fontId="60" fillId="6" borderId="2" xfId="9" applyNumberFormat="1" applyFont="1" applyFill="1" applyBorder="1" applyAlignment="1" applyProtection="1">
      <alignment horizontal="right"/>
    </xf>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vertical="center"/>
    </xf>
    <xf numFmtId="38" fontId="60" fillId="6" borderId="22" xfId="0" applyNumberFormat="1"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0" borderId="22" xfId="0" applyNumberFormat="1" applyFont="1" applyFill="1" applyBorder="1" applyAlignment="1" applyProtection="1">
      <alignment vertical="center"/>
      <protection locked="0"/>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vertical="center"/>
    </xf>
    <xf numFmtId="49" fontId="67" fillId="0" borderId="6" xfId="0" applyNumberFormat="1" applyFont="1" applyBorder="1" applyAlignment="1" applyProtection="1">
      <alignment horizontal="center" vertical="center"/>
    </xf>
    <xf numFmtId="38" fontId="60" fillId="0" borderId="7" xfId="0" applyNumberFormat="1" applyFont="1" applyBorder="1" applyAlignment="1" applyProtection="1">
      <alignment vertical="center"/>
      <protection locked="0"/>
    </xf>
    <xf numFmtId="49" fontId="67" fillId="6" borderId="59" xfId="0" applyNumberFormat="1" applyFont="1" applyFill="1" applyBorder="1" applyAlignment="1" applyProtection="1">
      <alignment horizontal="center" vertical="center"/>
    </xf>
    <xf numFmtId="0" fontId="60" fillId="6" borderId="42" xfId="0" applyFont="1" applyFill="1" applyBorder="1" applyAlignment="1" applyProtection="1">
      <alignment horizontal="right" vertical="center"/>
    </xf>
    <xf numFmtId="0" fontId="60" fillId="6" borderId="43" xfId="0" applyFont="1" applyFill="1" applyBorder="1" applyAlignment="1" applyProtection="1">
      <alignment horizontal="right" vertical="center"/>
    </xf>
    <xf numFmtId="0" fontId="60" fillId="6" borderId="40" xfId="0" applyFont="1" applyFill="1" applyBorder="1" applyAlignment="1" applyProtection="1">
      <alignment horizontal="right"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45" xfId="0" applyNumberFormat="1" applyFont="1" applyFill="1" applyBorder="1" applyAlignment="1" applyProtection="1">
      <alignment vertical="center"/>
    </xf>
    <xf numFmtId="38" fontId="60" fillId="3" borderId="44" xfId="0" applyNumberFormat="1" applyFont="1" applyFill="1" applyBorder="1" applyAlignment="1" applyProtection="1">
      <alignment vertical="center"/>
    </xf>
    <xf numFmtId="38" fontId="60" fillId="3" borderId="8" xfId="0" applyNumberFormat="1" applyFont="1" applyFill="1" applyBorder="1" applyAlignment="1" applyProtection="1">
      <alignment horizontal="right" vertical="center"/>
    </xf>
    <xf numFmtId="38" fontId="60" fillId="3" borderId="44"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38" fontId="60" fillId="3" borderId="8" xfId="0" applyNumberFormat="1" applyFont="1" applyFill="1" applyBorder="1" applyAlignment="1" applyProtection="1">
      <alignment vertical="center"/>
    </xf>
    <xf numFmtId="38" fontId="60" fillId="0" borderId="8" xfId="0" applyNumberFormat="1" applyFont="1" applyFill="1" applyBorder="1" applyAlignment="1" applyProtection="1">
      <alignment horizontal="right" vertical="center"/>
      <protection locked="0"/>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38" fontId="60" fillId="0" borderId="8" xfId="0" applyNumberFormat="1" applyFont="1" applyFill="1" applyBorder="1" applyAlignment="1" applyProtection="1">
      <alignment vertical="center"/>
      <protection locked="0"/>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5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38" fontId="60" fillId="0" borderId="8" xfId="0" applyNumberFormat="1" applyFont="1" applyBorder="1" applyAlignment="1" applyProtection="1">
      <alignment horizontal="right" vertical="center"/>
      <protection locked="0"/>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38" fontId="60" fillId="0" borderId="22" xfId="0" applyNumberFormat="1" applyFont="1" applyBorder="1" applyAlignment="1" applyProtection="1">
      <alignment horizontal="right" vertical="center"/>
      <protection locked="0"/>
    </xf>
    <xf numFmtId="0" fontId="67" fillId="0" borderId="46" xfId="0" applyFont="1" applyBorder="1" applyAlignment="1" applyProtection="1">
      <alignment horizontal="left" vertical="center" wrapText="1" indent="1"/>
    </xf>
    <xf numFmtId="38" fontId="60" fillId="0" borderId="22" xfId="0" applyNumberFormat="1" applyFont="1" applyBorder="1" applyAlignment="1" applyProtection="1">
      <alignment horizontal="right"/>
      <protection locked="0"/>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38" fontId="67" fillId="0" borderId="0" xfId="10" applyNumberFormat="1" applyFont="1" applyFill="1" applyAlignment="1">
      <alignment horizontal="right"/>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40" fontId="67" fillId="0" borderId="9" xfId="10" applyNumberFormat="1" applyFont="1" applyFill="1" applyBorder="1" applyAlignment="1" applyProtection="1">
      <alignment horizontal="right"/>
      <protection locked="0"/>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4" fontId="69" fillId="0" borderId="0" xfId="10" applyNumberFormat="1" applyFont="1" applyFill="1" applyBorder="1" applyAlignment="1" applyProtection="1">
      <alignmen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38" fontId="67" fillId="0" borderId="0" xfId="11" applyNumberFormat="1" applyFont="1" applyFill="1" applyAlignment="1">
      <alignment horizontal="right"/>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38" fontId="60" fillId="0" borderId="13" xfId="0" applyNumberFormat="1" applyFont="1" applyBorder="1" applyAlignment="1" applyProtection="1">
      <alignment vertical="center"/>
      <protection locked="0"/>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19" borderId="13" xfId="0" applyNumberFormat="1" applyFont="1" applyFill="1" applyBorder="1" applyAlignment="1" applyProtection="1">
      <protection locked="0"/>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0" fontId="67" fillId="0" borderId="0" xfId="3" applyNumberFormat="1" applyFont="1" applyBorder="1" applyAlignment="1">
      <alignment vertical="center"/>
    </xf>
    <xf numFmtId="0" fontId="62" fillId="0" borderId="0" xfId="3" applyNumberFormat="1" applyFont="1" applyBorder="1" applyAlignment="1">
      <alignment vertical="center"/>
    </xf>
    <xf numFmtId="0" fontId="62" fillId="0" borderId="0" xfId="3" applyNumberFormat="1" applyFont="1" applyAlignment="1">
      <alignment vertical="center"/>
    </xf>
    <xf numFmtId="0" fontId="67" fillId="0" borderId="0" xfId="3" applyNumberFormat="1" applyFont="1" applyAlignment="1">
      <alignment vertical="center"/>
    </xf>
    <xf numFmtId="0" fontId="69" fillId="0" borderId="0" xfId="3" applyNumberFormat="1" applyFont="1" applyAlignment="1">
      <alignment horizontal="center" vertical="center"/>
    </xf>
    <xf numFmtId="0" fontId="69" fillId="0" borderId="0" xfId="3" applyNumberFormat="1" applyFont="1" applyBorder="1" applyAlignment="1">
      <alignment horizontal="left" vertical="center"/>
    </xf>
    <xf numFmtId="0" fontId="67" fillId="0" borderId="0" xfId="3" applyNumberFormat="1" applyFont="1" applyAlignment="1">
      <alignment horizontal="center" vertical="center"/>
    </xf>
    <xf numFmtId="0" fontId="67" fillId="0" borderId="17" xfId="3" applyNumberFormat="1" applyFont="1" applyBorder="1" applyAlignment="1">
      <alignment horizontal="center" vertical="center"/>
    </xf>
    <xf numFmtId="0" fontId="67" fillId="0" borderId="0" xfId="3" applyNumberFormat="1" applyFont="1" applyBorder="1" applyAlignment="1">
      <alignment horizontal="right" vertical="center" indent="1"/>
    </xf>
    <xf numFmtId="0" fontId="62" fillId="0" borderId="17" xfId="3" applyNumberFormat="1" applyFont="1" applyBorder="1" applyAlignment="1">
      <alignment vertical="center"/>
    </xf>
    <xf numFmtId="0" fontId="62" fillId="0" borderId="19" xfId="3" applyNumberFormat="1" applyFont="1" applyBorder="1" applyAlignment="1">
      <alignment vertical="center"/>
    </xf>
    <xf numFmtId="0" fontId="62" fillId="0" borderId="20" xfId="3" applyNumberFormat="1" applyFont="1" applyBorder="1" applyAlignment="1">
      <alignment vertical="center"/>
    </xf>
    <xf numFmtId="0" fontId="62" fillId="0" borderId="12" xfId="3" applyNumberFormat="1" applyFont="1" applyBorder="1" applyAlignment="1">
      <alignment vertical="center"/>
    </xf>
    <xf numFmtId="0" fontId="62" fillId="0" borderId="16" xfId="3" applyNumberFormat="1" applyFont="1" applyBorder="1" applyAlignment="1">
      <alignment vertical="center"/>
    </xf>
    <xf numFmtId="0" fontId="62" fillId="0" borderId="3" xfId="3" applyNumberFormat="1" applyFont="1" applyBorder="1" applyAlignment="1">
      <alignment vertical="center"/>
    </xf>
    <xf numFmtId="0" fontId="62" fillId="0" borderId="16" xfId="3" applyNumberFormat="1" applyFont="1" applyFill="1" applyBorder="1" applyAlignment="1">
      <alignment horizontal="centerContinuous" vertical="center"/>
    </xf>
    <xf numFmtId="0" fontId="62" fillId="0" borderId="10" xfId="3" applyNumberFormat="1" applyFont="1" applyFill="1" applyBorder="1" applyAlignment="1">
      <alignment horizontal="centerContinuous" vertical="center"/>
    </xf>
    <xf numFmtId="0" fontId="60" fillId="0" borderId="17" xfId="3" applyNumberFormat="1" applyFont="1" applyFill="1" applyBorder="1" applyAlignment="1">
      <alignment vertical="center"/>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9" fillId="0" borderId="10" xfId="3" applyNumberFormat="1" applyFont="1" applyBorder="1" applyAlignment="1">
      <alignment horizontal="center" vertical="center"/>
    </xf>
    <xf numFmtId="0" fontId="69" fillId="0" borderId="3"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0" fillId="0" borderId="0" xfId="3" applyNumberFormat="1" applyFont="1" applyAlignment="1">
      <alignment vertical="center"/>
    </xf>
    <xf numFmtId="0" fontId="69" fillId="0" borderId="4" xfId="3" applyNumberFormat="1" applyFont="1" applyBorder="1" applyAlignment="1">
      <alignment horizontal="center" vertical="center" wrapText="1"/>
    </xf>
    <xf numFmtId="0" fontId="69" fillId="0" borderId="4" xfId="3" applyNumberFormat="1" applyFont="1" applyBorder="1" applyAlignment="1">
      <alignment horizontal="center" vertical="center"/>
    </xf>
    <xf numFmtId="164" fontId="69" fillId="0" borderId="13" xfId="3" applyNumberFormat="1" applyFont="1" applyBorder="1" applyAlignment="1">
      <alignment horizontal="right" vertical="center"/>
    </xf>
    <xf numFmtId="0" fontId="67" fillId="0" borderId="21" xfId="3" applyNumberFormat="1" applyFont="1" applyBorder="1" applyAlignment="1">
      <alignment horizontal="left" vertical="center"/>
    </xf>
    <xf numFmtId="0" fontId="62" fillId="0" borderId="14" xfId="3" applyNumberFormat="1" applyFont="1" applyBorder="1" applyAlignment="1">
      <alignment horizontal="left" vertical="center"/>
    </xf>
    <xf numFmtId="0" fontId="67" fillId="0" borderId="2" xfId="3" applyNumberFormat="1" applyFont="1" applyBorder="1" applyAlignment="1">
      <alignment horizontal="left" vertical="center" indent="1"/>
    </xf>
    <xf numFmtId="0" fontId="60" fillId="15" borderId="2" xfId="3" applyNumberFormat="1" applyFont="1" applyFill="1" applyBorder="1" applyAlignment="1">
      <alignment vertical="center"/>
    </xf>
    <xf numFmtId="38" fontId="60" fillId="0" borderId="2" xfId="3" applyNumberFormat="1" applyFont="1" applyBorder="1" applyAlignment="1" applyProtection="1">
      <alignment vertical="center"/>
      <protection locked="0"/>
    </xf>
    <xf numFmtId="0" fontId="67" fillId="0" borderId="2" xfId="3" applyNumberFormat="1" applyFont="1" applyBorder="1" applyAlignment="1">
      <alignment horizontal="left" vertical="top" indent="1"/>
    </xf>
    <xf numFmtId="164" fontId="69" fillId="0" borderId="13" xfId="3" applyNumberFormat="1" applyFont="1" applyBorder="1" applyAlignment="1">
      <alignment vertical="top"/>
    </xf>
    <xf numFmtId="38" fontId="60" fillId="0" borderId="2" xfId="3" applyNumberFormat="1" applyFont="1" applyFill="1" applyBorder="1" applyAlignment="1" applyProtection="1">
      <alignment vertical="center"/>
      <protection locked="0"/>
    </xf>
    <xf numFmtId="0" fontId="69" fillId="0" borderId="21" xfId="3" applyNumberFormat="1" applyFont="1" applyBorder="1" applyAlignment="1">
      <alignment horizontal="left" vertical="center"/>
    </xf>
    <xf numFmtId="0" fontId="67" fillId="0" borderId="14" xfId="3" applyNumberFormat="1" applyFont="1" applyBorder="1" applyAlignment="1">
      <alignment horizontal="center" vertical="center"/>
    </xf>
    <xf numFmtId="0" fontId="60" fillId="15" borderId="4" xfId="3" applyNumberFormat="1" applyFont="1" applyFill="1" applyBorder="1" applyAlignment="1">
      <alignment vertical="center"/>
    </xf>
    <xf numFmtId="0" fontId="62" fillId="0" borderId="0" xfId="3" applyNumberFormat="1" applyFont="1" applyAlignment="1">
      <alignment horizontal="right" vertical="center"/>
    </xf>
    <xf numFmtId="0" fontId="70" fillId="0" borderId="0" xfId="3" applyNumberFormat="1" applyFont="1" applyAlignment="1">
      <alignment vertical="center"/>
    </xf>
    <xf numFmtId="0" fontId="78" fillId="0" borderId="0" xfId="3" applyNumberFormat="1" applyFont="1" applyAlignment="1">
      <alignment vertical="center"/>
    </xf>
    <xf numFmtId="171" fontId="62" fillId="0" borderId="0" xfId="3" applyNumberFormat="1" applyFont="1" applyBorder="1" applyAlignment="1" applyProtection="1">
      <alignment horizontal="center"/>
    </xf>
    <xf numFmtId="0" fontId="78" fillId="0" borderId="130" xfId="3" applyNumberFormat="1" applyFont="1" applyBorder="1" applyAlignment="1">
      <alignment horizontal="center" vertical="center"/>
    </xf>
    <xf numFmtId="0" fontId="62" fillId="0" borderId="130" xfId="3" applyNumberFormat="1" applyFont="1" applyBorder="1" applyAlignment="1">
      <alignment vertical="center"/>
    </xf>
    <xf numFmtId="0" fontId="78" fillId="0" borderId="0" xfId="3" applyNumberFormat="1" applyFont="1" applyBorder="1" applyAlignment="1">
      <alignment vertical="center" wrapText="1"/>
    </xf>
    <xf numFmtId="0" fontId="62" fillId="0" borderId="0" xfId="3" applyNumberFormat="1" applyFont="1" applyBorder="1" applyAlignment="1">
      <alignment wrapText="1"/>
    </xf>
    <xf numFmtId="0" fontId="78" fillId="0" borderId="130" xfId="3" applyNumberFormat="1" applyFont="1" applyBorder="1" applyAlignment="1">
      <alignment horizontal="center"/>
    </xf>
    <xf numFmtId="0" fontId="78" fillId="0" borderId="0" xfId="3" applyNumberFormat="1" applyFont="1" applyBorder="1" applyAlignment="1"/>
    <xf numFmtId="0" fontId="69" fillId="0" borderId="0" xfId="3" applyNumberFormat="1" applyFont="1" applyAlignment="1">
      <alignment horizontal="right"/>
    </xf>
    <xf numFmtId="0" fontId="60" fillId="0" borderId="0" xfId="3" applyNumberFormat="1" applyFont="1" applyBorder="1" applyAlignment="1">
      <alignment horizontal="center" wrapText="1"/>
    </xf>
    <xf numFmtId="0" fontId="78" fillId="0" borderId="0" xfId="3" applyFont="1" applyBorder="1" applyAlignment="1">
      <alignment horizontal="center" vertical="center" wrapText="1"/>
    </xf>
    <xf numFmtId="0" fontId="84" fillId="0" borderId="0" xfId="3" applyNumberFormat="1" applyFont="1" applyAlignment="1">
      <alignment vertical="center"/>
    </xf>
    <xf numFmtId="0" fontId="70" fillId="0" borderId="22" xfId="3" applyNumberFormat="1" applyFont="1" applyBorder="1" applyAlignment="1" applyProtection="1">
      <alignment horizontal="center" vertical="center"/>
      <protection locked="0"/>
    </xf>
    <xf numFmtId="0" fontId="67" fillId="0" borderId="0" xfId="3" applyNumberFormat="1" applyFont="1" applyAlignment="1">
      <alignment horizontal="left" vertical="center" indent="2"/>
    </xf>
    <xf numFmtId="0" fontId="62" fillId="0" borderId="0" xfId="3" applyFont="1" applyAlignment="1">
      <alignment horizontal="left" wrapText="1" indent="2"/>
    </xf>
    <xf numFmtId="0" fontId="60" fillId="0" borderId="0" xfId="3" applyNumberFormat="1" applyFont="1" applyBorder="1" applyAlignment="1">
      <alignment vertical="center"/>
    </xf>
    <xf numFmtId="0" fontId="88" fillId="0" borderId="0" xfId="3" applyNumberFormat="1" applyFont="1" applyBorder="1" applyAlignment="1">
      <alignment horizontal="centerContinuous" vertical="center"/>
    </xf>
    <xf numFmtId="0" fontId="61" fillId="0" borderId="0" xfId="2" applyNumberFormat="1" applyFont="1" applyBorder="1" applyAlignment="1" applyProtection="1">
      <alignment horizontal="centerContinuous" vertical="center"/>
    </xf>
    <xf numFmtId="0" fontId="62" fillId="0" borderId="0" xfId="3" applyFont="1" applyAlignment="1">
      <alignment vertical="top" wrapText="1"/>
    </xf>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49" xfId="0" applyFont="1" applyBorder="1"/>
    <xf numFmtId="0" fontId="60" fillId="0" borderId="13" xfId="0" applyFont="1" applyBorder="1"/>
    <xf numFmtId="0" fontId="60" fillId="0" borderId="122" xfId="0" applyFont="1" applyBorder="1" applyAlignment="1">
      <alignment horizontal="left" vertical="top"/>
    </xf>
    <xf numFmtId="164" fontId="118" fillId="0" borderId="125" xfId="0" applyNumberFormat="1" applyFont="1" applyBorder="1" applyAlignment="1">
      <alignment horizontal="right" vertical="top"/>
    </xf>
    <xf numFmtId="0" fontId="60" fillId="0" borderId="125" xfId="0" applyNumberFormat="1" applyFont="1" applyBorder="1" applyAlignment="1">
      <alignment horizontal="left" vertical="center" wrapText="1" indent="1"/>
    </xf>
    <xf numFmtId="0" fontId="90" fillId="0" borderId="124" xfId="0" applyFont="1" applyBorder="1" applyAlignment="1">
      <alignment horizontal="left" vertical="center" wrapText="1"/>
    </xf>
    <xf numFmtId="0" fontId="60" fillId="0" borderId="125" xfId="0" applyFont="1" applyBorder="1" applyAlignment="1">
      <alignment horizontal="left" vertical="top"/>
    </xf>
    <xf numFmtId="0" fontId="60" fillId="0" borderId="0" xfId="0" applyFont="1" applyBorder="1" applyAlignment="1">
      <alignment vertical="top"/>
    </xf>
    <xf numFmtId="0" fontId="120" fillId="0" borderId="125" xfId="0" applyNumberFormat="1" applyFont="1" applyBorder="1" applyAlignment="1">
      <alignment horizontal="left" vertical="center"/>
    </xf>
    <xf numFmtId="0" fontId="118" fillId="0" borderId="125" xfId="0" applyFont="1" applyBorder="1" applyAlignment="1">
      <alignment vertical="top"/>
    </xf>
    <xf numFmtId="0" fontId="118" fillId="0" borderId="125" xfId="0" applyFont="1" applyBorder="1" applyAlignment="1">
      <alignment horizontal="left" vertical="top"/>
    </xf>
    <xf numFmtId="0" fontId="60" fillId="0" borderId="122" xfId="0" applyFont="1" applyBorder="1" applyAlignment="1"/>
    <xf numFmtId="164" fontId="118" fillId="0" borderId="125" xfId="0" applyNumberFormat="1" applyFont="1" applyBorder="1" applyAlignment="1"/>
    <xf numFmtId="0" fontId="60" fillId="0" borderId="125" xfId="0" applyFont="1" applyBorder="1" applyAlignment="1"/>
    <xf numFmtId="0" fontId="67" fillId="0" borderId="123"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1"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2" xfId="0" applyFont="1" applyFill="1" applyBorder="1" applyAlignment="1"/>
    <xf numFmtId="0" fontId="59" fillId="0" borderId="125" xfId="0" applyFont="1" applyFill="1" applyBorder="1" applyAlignment="1">
      <alignment horizontal="left" vertical="top"/>
    </xf>
    <xf numFmtId="0" fontId="59" fillId="0" borderId="123"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3"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0" xfId="3" quotePrefix="1" applyNumberFormat="1" applyFont="1" applyBorder="1" applyAlignment="1" applyProtection="1">
      <alignment horizontal="left"/>
    </xf>
    <xf numFmtId="0" fontId="67" fillId="0" borderId="141" xfId="3" applyNumberFormat="1" applyFont="1" applyBorder="1" applyAlignment="1" applyProtection="1">
      <alignment horizontal="center"/>
    </xf>
    <xf numFmtId="0" fontId="67" fillId="0" borderId="141" xfId="3" applyNumberFormat="1" applyFont="1" applyBorder="1" applyProtection="1"/>
    <xf numFmtId="0" fontId="60" fillId="0" borderId="140" xfId="3" applyNumberFormat="1" applyFont="1" applyBorder="1" applyAlignment="1" applyProtection="1"/>
    <xf numFmtId="0" fontId="67" fillId="0" borderId="142" xfId="3" applyNumberFormat="1" applyFont="1" applyBorder="1" applyAlignment="1" applyProtection="1">
      <alignment horizontal="centerContinuous"/>
    </xf>
    <xf numFmtId="0" fontId="60" fillId="0" borderId="140" xfId="3" applyNumberFormat="1" applyFont="1" applyBorder="1" applyAlignment="1" applyProtection="1">
      <alignment horizontal="left"/>
    </xf>
    <xf numFmtId="0" fontId="67" fillId="0" borderId="142" xfId="3" applyNumberFormat="1" applyFont="1" applyBorder="1" applyProtection="1"/>
    <xf numFmtId="0" fontId="67" fillId="0" borderId="141"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0"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4"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1"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5"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3" xfId="3" applyFont="1" applyBorder="1" applyProtection="1"/>
    <xf numFmtId="0" fontId="60" fillId="0" borderId="144" xfId="3" applyFont="1" applyBorder="1" applyProtection="1">
      <protection locked="0"/>
    </xf>
    <xf numFmtId="0" fontId="60" fillId="0" borderId="143"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0" fontId="77" fillId="0" borderId="0" xfId="3" applyFont="1" applyAlignment="1" applyProtection="1">
      <alignment horizontal="center" vertical="center"/>
    </xf>
    <xf numFmtId="0" fontId="62" fillId="0" borderId="45" xfId="3" applyFont="1" applyBorder="1" applyProtection="1"/>
    <xf numFmtId="169" fontId="69" fillId="0" borderId="45" xfId="3" applyNumberFormat="1" applyFont="1" applyBorder="1" applyAlignment="1" applyProtection="1">
      <alignment horizontal="center"/>
    </xf>
    <xf numFmtId="1" fontId="69" fillId="0" borderId="142" xfId="3" applyNumberFormat="1" applyFont="1" applyBorder="1" applyAlignment="1" applyProtection="1">
      <alignment horizontal="center"/>
    </xf>
    <xf numFmtId="0" fontId="69" fillId="0" borderId="141" xfId="3" applyFont="1" applyBorder="1" applyAlignment="1" applyProtection="1">
      <alignment horizontal="centerContinuous"/>
    </xf>
    <xf numFmtId="0" fontId="69" fillId="0" borderId="142"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45" xfId="3" applyFont="1" applyBorder="1" applyAlignment="1" applyProtection="1">
      <alignment horizontal="center"/>
    </xf>
    <xf numFmtId="0" fontId="69" fillId="5" borderId="45" xfId="3" applyFont="1" applyFill="1" applyBorder="1" applyAlignment="1" applyProtection="1">
      <alignment horizontal="center"/>
    </xf>
    <xf numFmtId="0" fontId="69" fillId="5" borderId="142" xfId="3" applyFont="1" applyFill="1" applyBorder="1" applyAlignment="1" applyProtection="1">
      <alignment horizontal="center"/>
    </xf>
    <xf numFmtId="0" fontId="69" fillId="0" borderId="5" xfId="3" applyFont="1" applyBorder="1" applyAlignment="1" applyProtection="1">
      <alignment horizontal="left"/>
    </xf>
    <xf numFmtId="169" fontId="69" fillId="0" borderId="44" xfId="3" applyNumberFormat="1" applyFont="1" applyBorder="1" applyAlignment="1" applyProtection="1">
      <alignment horizontal="center"/>
    </xf>
    <xf numFmtId="1" fontId="69" fillId="0" borderId="40" xfId="3" applyNumberFormat="1" applyFont="1" applyBorder="1" applyAlignment="1" applyProtection="1">
      <alignment horizontal="center"/>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20" borderId="72" xfId="3" applyFont="1" applyFill="1" applyBorder="1" applyAlignment="1" applyProtection="1">
      <alignment horizontal="center"/>
    </xf>
    <xf numFmtId="0" fontId="69" fillId="21" borderId="72" xfId="3" applyFont="1" applyFill="1" applyBorder="1" applyAlignment="1" applyProtection="1">
      <alignment horizontal="center"/>
    </xf>
    <xf numFmtId="0" fontId="69" fillId="0" borderId="72" xfId="3" applyFont="1" applyBorder="1" applyAlignment="1" applyProtection="1">
      <alignment horizontal="center"/>
    </xf>
    <xf numFmtId="0" fontId="69" fillId="5" borderId="72" xfId="3" applyFont="1" applyFill="1" applyBorder="1" applyAlignment="1" applyProtection="1">
      <alignment horizontal="center"/>
    </xf>
    <xf numFmtId="0" fontId="69" fillId="5" borderId="40" xfId="3" applyFont="1" applyFill="1" applyBorder="1" applyAlignment="1" applyProtection="1">
      <alignment horizontal="center"/>
    </xf>
    <xf numFmtId="0" fontId="69" fillId="0" borderId="44" xfId="3" applyFont="1" applyBorder="1" applyAlignment="1" applyProtection="1">
      <alignment horizontal="center"/>
    </xf>
    <xf numFmtId="0" fontId="69" fillId="0" borderId="40" xfId="3" applyFont="1" applyBorder="1" applyAlignment="1" applyProtection="1">
      <alignment horizontal="center"/>
    </xf>
    <xf numFmtId="0" fontId="69" fillId="0" borderId="5" xfId="3" applyFont="1" applyBorder="1" applyAlignment="1" applyProtection="1">
      <alignment horizontal="center"/>
    </xf>
    <xf numFmtId="0" fontId="69" fillId="0" borderId="71" xfId="3" applyFont="1" applyBorder="1" applyAlignment="1" applyProtection="1"/>
    <xf numFmtId="0" fontId="69" fillId="5" borderId="72" xfId="3" quotePrefix="1" applyFont="1" applyFill="1" applyBorder="1" applyAlignment="1" applyProtection="1">
      <alignment horizontal="center"/>
    </xf>
    <xf numFmtId="169" fontId="69" fillId="0" borderId="8" xfId="3" applyNumberFormat="1" applyFont="1" applyBorder="1" applyAlignment="1" applyProtection="1">
      <alignment horizontal="center"/>
    </xf>
    <xf numFmtId="1" fontId="69" fillId="0" borderId="59" xfId="3" applyNumberFormat="1" applyFont="1" applyBorder="1" applyAlignment="1" applyProtection="1">
      <alignment horizontal="center"/>
    </xf>
    <xf numFmtId="0" fontId="69" fillId="0" borderId="8" xfId="3" applyFont="1" applyBorder="1" applyAlignment="1" applyProtection="1">
      <alignment horizontal="center"/>
    </xf>
    <xf numFmtId="0" fontId="69" fillId="0" borderId="59" xfId="3" applyFont="1" applyBorder="1" applyAlignment="1" applyProtection="1">
      <alignment horizontal="center"/>
    </xf>
    <xf numFmtId="0" fontId="69" fillId="0" borderId="50" xfId="3" applyFont="1" applyBorder="1" applyAlignment="1" applyProtection="1">
      <alignment horizontal="center"/>
    </xf>
    <xf numFmtId="0" fontId="69" fillId="20" borderId="70" xfId="3" applyFont="1" applyFill="1" applyBorder="1" applyAlignment="1" applyProtection="1">
      <alignment horizontal="center"/>
    </xf>
    <xf numFmtId="0" fontId="69" fillId="5" borderId="70" xfId="3" applyFont="1" applyFill="1" applyBorder="1" applyAlignment="1" applyProtection="1">
      <alignment horizontal="center"/>
    </xf>
    <xf numFmtId="0" fontId="69" fillId="21" borderId="70" xfId="3" applyFont="1" applyFill="1" applyBorder="1" applyAlignment="1" applyProtection="1">
      <alignment horizontal="center"/>
    </xf>
    <xf numFmtId="0" fontId="69" fillId="0" borderId="70" xfId="3" applyFont="1" applyBorder="1" applyAlignment="1" applyProtection="1">
      <alignment horizontal="center"/>
    </xf>
    <xf numFmtId="0" fontId="69" fillId="5" borderId="59" xfId="3" applyFont="1" applyFill="1" applyBorder="1" applyAlignment="1" applyProtection="1">
      <alignment horizontal="center"/>
    </xf>
    <xf numFmtId="3" fontId="67" fillId="0" borderId="22" xfId="3" applyNumberFormat="1" applyFont="1" applyBorder="1" applyAlignment="1" applyProtection="1">
      <alignment horizontal="left" vertical="center" wrapText="1"/>
      <protection locked="0"/>
    </xf>
    <xf numFmtId="169" fontId="67" fillId="0" borderId="8" xfId="3" applyNumberFormat="1" applyFont="1" applyBorder="1" applyAlignment="1" applyProtection="1">
      <alignment horizontal="center"/>
      <protection locked="0"/>
    </xf>
    <xf numFmtId="1" fontId="67" fillId="0" borderId="8" xfId="3" applyNumberFormat="1" applyFont="1" applyBorder="1" applyAlignment="1" applyProtection="1">
      <alignment horizontal="center"/>
      <protection locked="0"/>
    </xf>
    <xf numFmtId="3" fontId="67" fillId="0" borderId="8" xfId="3" applyNumberFormat="1" applyFont="1" applyBorder="1" applyAlignment="1" applyProtection="1">
      <alignment horizontal="center"/>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0" fontId="62" fillId="0" borderId="0" xfId="3" applyFont="1" applyAlignment="1" applyProtection="1">
      <alignment textRotation="180" wrapText="1"/>
    </xf>
    <xf numFmtId="3" fontId="67" fillId="0" borderId="0" xfId="3" applyNumberFormat="1" applyFont="1" applyBorder="1" applyAlignment="1" applyProtection="1">
      <alignment horizontal="left" vertical="center" wrapText="1"/>
      <protection locked="0"/>
    </xf>
    <xf numFmtId="169" fontId="67" fillId="0" borderId="0" xfId="3" applyNumberFormat="1" applyFont="1" applyBorder="1" applyAlignment="1" applyProtection="1">
      <alignment horizontal="center"/>
      <protection locked="0"/>
    </xf>
    <xf numFmtId="1" fontId="67" fillId="0" borderId="0" xfId="3" applyNumberFormat="1" applyFont="1" applyBorder="1" applyAlignment="1" applyProtection="1">
      <alignment horizontal="center"/>
      <protection locked="0"/>
    </xf>
    <xf numFmtId="3" fontId="67" fillId="0" borderId="0" xfId="3" applyNumberFormat="1" applyFont="1" applyBorder="1" applyAlignment="1" applyProtection="1">
      <alignment horizontal="center"/>
      <protection locked="0"/>
    </xf>
    <xf numFmtId="169" fontId="67" fillId="0" borderId="0" xfId="3" applyNumberFormat="1" applyFont="1" applyBorder="1" applyProtection="1"/>
    <xf numFmtId="1" fontId="67" fillId="0" borderId="0" xfId="3" applyNumberFormat="1" applyFont="1" applyBorder="1" applyProtection="1"/>
    <xf numFmtId="0" fontId="59" fillId="20" borderId="0" xfId="3" applyFont="1" applyFill="1" applyProtection="1"/>
    <xf numFmtId="169" fontId="62" fillId="20" borderId="0" xfId="3" applyNumberFormat="1" applyFont="1" applyFill="1" applyProtection="1"/>
    <xf numFmtId="1" fontId="62" fillId="20" borderId="0" xfId="3" applyNumberFormat="1" applyFont="1" applyFill="1" applyProtection="1"/>
    <xf numFmtId="0" fontId="62" fillId="20" borderId="0" xfId="3" applyFont="1" applyFill="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 fontId="62" fillId="0" borderId="0" xfId="3" applyNumberFormat="1" applyFont="1" applyProtection="1"/>
    <xf numFmtId="0" fontId="59" fillId="0" borderId="78" xfId="3" applyFont="1" applyBorder="1" applyProtection="1"/>
    <xf numFmtId="169" fontId="62" fillId="0" borderId="78" xfId="3" applyNumberFormat="1" applyFont="1" applyBorder="1" applyProtection="1"/>
    <xf numFmtId="1" fontId="62" fillId="0" borderId="78" xfId="3" applyNumberFormat="1" applyFont="1" applyBorder="1" applyProtection="1"/>
    <xf numFmtId="0" fontId="62" fillId="0" borderId="78" xfId="3" applyFont="1" applyBorder="1" applyAlignment="1" applyProtection="1">
      <alignment horizontal="center"/>
    </xf>
    <xf numFmtId="0" fontId="124" fillId="0" borderId="0" xfId="3" applyFont="1" applyAlignment="1" applyProtection="1">
      <alignment horizontal="left" wrapText="1"/>
    </xf>
    <xf numFmtId="0" fontId="124" fillId="0" borderId="0" xfId="3" applyFont="1" applyAlignment="1" applyProtection="1"/>
    <xf numFmtId="0" fontId="124" fillId="0" borderId="0" xfId="3" applyFont="1" applyAlignment="1" applyProtection="1">
      <alignment wrapText="1"/>
    </xf>
    <xf numFmtId="0" fontId="67" fillId="0" borderId="0" xfId="3" applyFont="1" applyAlignment="1" applyProtection="1">
      <alignment horizontal="left" wrapText="1"/>
    </xf>
    <xf numFmtId="0" fontId="67" fillId="0" borderId="0" xfId="3" applyFont="1" applyAlignment="1" applyProtection="1">
      <alignment horizontal="left"/>
    </xf>
    <xf numFmtId="169" fontId="67" fillId="0" borderId="0" xfId="3" applyNumberFormat="1" applyFont="1" applyProtection="1"/>
    <xf numFmtId="1" fontId="67" fillId="0" borderId="0" xfId="3" applyNumberFormat="1" applyFont="1" applyProtection="1"/>
    <xf numFmtId="0" fontId="67" fillId="0" borderId="0" xfId="3" applyFont="1" applyAlignment="1" applyProtection="1">
      <alignment horizontal="center"/>
    </xf>
    <xf numFmtId="0" fontId="124" fillId="0" borderId="0" xfId="3" applyFont="1" applyAlignment="1" applyProtection="1">
      <alignment vertical="center"/>
    </xf>
    <xf numFmtId="0" fontId="125" fillId="0" borderId="0" xfId="3" applyFont="1" applyFill="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1" xfId="3" applyFont="1" applyBorder="1" applyProtection="1"/>
    <xf numFmtId="0" fontId="62" fillId="0" borderId="141" xfId="3" applyFont="1" applyBorder="1" applyProtection="1"/>
    <xf numFmtId="0" fontId="62" fillId="0" borderId="141"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0" fontId="70" fillId="0" borderId="0" xfId="3" applyFont="1" applyBorder="1" applyAlignment="1" applyProtection="1">
      <alignment horizontal="right"/>
    </xf>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1" xfId="3" quotePrefix="1" applyFont="1" applyBorder="1" applyAlignment="1" applyProtection="1">
      <alignment horizontal="left"/>
    </xf>
    <xf numFmtId="0" fontId="60" fillId="0" borderId="141" xfId="3" applyFont="1" applyBorder="1" applyProtection="1"/>
    <xf numFmtId="0" fontId="60" fillId="0" borderId="141"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1" xfId="3" applyFont="1" applyBorder="1" applyProtection="1"/>
    <xf numFmtId="0" fontId="62" fillId="0" borderId="0" xfId="3" applyFont="1" applyBorder="1" applyAlignment="1" applyProtection="1">
      <alignment horizontal="left"/>
    </xf>
    <xf numFmtId="0" fontId="69" fillId="0" borderId="141"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1"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6"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0" fontId="70" fillId="0" borderId="0" xfId="3" applyFont="1" applyAlignment="1" applyProtection="1">
      <alignment horizontal="right"/>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8" xfId="3" applyFont="1" applyBorder="1" applyAlignment="1" applyProtection="1">
      <alignment horizontal="left"/>
    </xf>
    <xf numFmtId="0" fontId="62" fillId="0" borderId="148" xfId="3" applyFont="1" applyBorder="1" applyProtection="1"/>
    <xf numFmtId="0" fontId="62" fillId="0" borderId="148"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9" fillId="0" borderId="20" xfId="0" applyFont="1" applyFill="1" applyBorder="1" applyAlignment="1" applyProtection="1">
      <alignment horizontal="left" vertical="center" indent="2"/>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5"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6"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4" xfId="0" applyNumberFormat="1" applyFont="1" applyBorder="1" applyAlignment="1">
      <alignment horizontal="left" vertical="center" wrapText="1" indent="1"/>
    </xf>
    <xf numFmtId="3" fontId="67" fillId="0" borderId="122"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4"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60" fillId="0" borderId="124" xfId="0" applyNumberFormat="1" applyFont="1" applyFill="1" applyBorder="1" applyAlignment="1" applyProtection="1">
      <alignment horizontal="right" vertical="center"/>
      <protection locked="0"/>
    </xf>
    <xf numFmtId="38" fontId="59" fillId="6" borderId="152" xfId="0" applyNumberFormat="1" applyFont="1" applyFill="1" applyBorder="1" applyAlignment="1">
      <alignment horizontal="center" vertical="center" wrapText="1"/>
    </xf>
    <xf numFmtId="38" fontId="59" fillId="6" borderId="152" xfId="0" applyNumberFormat="1" applyFont="1" applyFill="1" applyBorder="1" applyAlignment="1">
      <alignment horizontal="center" vertical="top" wrapText="1"/>
    </xf>
    <xf numFmtId="38" fontId="69" fillId="6" borderId="152" xfId="0" applyNumberFormat="1" applyFont="1" applyFill="1" applyBorder="1" applyAlignment="1">
      <alignment horizontal="center" vertical="center" wrapText="1"/>
    </xf>
    <xf numFmtId="38" fontId="69" fillId="6" borderId="10"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0" fontId="12" fillId="0" borderId="0" xfId="17"/>
    <xf numFmtId="0" fontId="104" fillId="0" borderId="137" xfId="17" applyFont="1" applyBorder="1" applyAlignment="1">
      <alignment horizontal="left" vertical="top"/>
    </xf>
    <xf numFmtId="0" fontId="131" fillId="0" borderId="138" xfId="17" applyFont="1" applyBorder="1" applyAlignment="1">
      <alignment horizontal="center" vertical="top"/>
    </xf>
    <xf numFmtId="0" fontId="131" fillId="0" borderId="139" xfId="17" applyFont="1" applyBorder="1" applyAlignment="1">
      <alignment horizontal="center" vertical="top"/>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38" fontId="12" fillId="22" borderId="154" xfId="17" applyNumberFormat="1" applyFill="1" applyBorder="1" applyAlignment="1">
      <alignment horizontal="right" vertical="top"/>
    </xf>
    <xf numFmtId="38" fontId="12" fillId="22" borderId="155" xfId="17" applyNumberFormat="1" applyFill="1" applyBorder="1" applyAlignment="1">
      <alignment horizontal="right" vertical="top"/>
    </xf>
    <xf numFmtId="0" fontId="12" fillId="0" borderId="0" xfId="17" applyAlignment="1">
      <alignment horizontal="left" vertical="top" wrapText="1"/>
    </xf>
    <xf numFmtId="0" fontId="12" fillId="0" borderId="0" xfId="17" applyAlignment="1">
      <alignment vertical="top"/>
    </xf>
    <xf numFmtId="38" fontId="12" fillId="0" borderId="0" xfId="17" applyNumberFormat="1" applyAlignment="1">
      <alignment horizontal="right" vertical="top"/>
    </xf>
    <xf numFmtId="0" fontId="12" fillId="0" borderId="0" xfId="17" applyAlignment="1">
      <alignment horizontal="center" vertical="top" wrapText="1"/>
    </xf>
    <xf numFmtId="0" fontId="130" fillId="23" borderId="153" xfId="17" applyFont="1" applyFill="1" applyBorder="1" applyAlignment="1">
      <alignment horizontal="center" vertical="center" wrapText="1"/>
    </xf>
    <xf numFmtId="38" fontId="130" fillId="23" borderId="153" xfId="17" applyNumberFormat="1" applyFont="1" applyFill="1" applyBorder="1" applyAlignment="1">
      <alignment horizontal="center" vertical="center" wrapText="1"/>
    </xf>
    <xf numFmtId="3" fontId="60" fillId="23" borderId="128" xfId="0" applyNumberFormat="1" applyFont="1" applyFill="1" applyBorder="1" applyAlignment="1">
      <alignment horizontal="center"/>
    </xf>
    <xf numFmtId="3" fontId="60" fillId="23" borderId="128" xfId="0" applyNumberFormat="1" applyFont="1" applyFill="1" applyBorder="1" applyAlignment="1">
      <alignment horizontal="right"/>
    </xf>
    <xf numFmtId="3" fontId="60" fillId="23" borderId="129" xfId="0" applyNumberFormat="1" applyFont="1" applyFill="1" applyBorder="1" applyAlignment="1">
      <alignment horizontal="center"/>
    </xf>
    <xf numFmtId="38" fontId="60" fillId="23" borderId="19" xfId="0" applyNumberFormat="1" applyFont="1" applyFill="1" applyBorder="1" applyAlignment="1">
      <alignment horizontal="right"/>
    </xf>
    <xf numFmtId="38" fontId="60" fillId="23" borderId="20" xfId="0" applyNumberFormat="1" applyFont="1" applyFill="1" applyBorder="1" applyAlignment="1">
      <alignment horizontal="right"/>
    </xf>
    <xf numFmtId="38" fontId="60" fillId="23" borderId="11" xfId="0" applyNumberFormat="1" applyFont="1" applyFill="1" applyBorder="1" applyAlignment="1">
      <alignment horizontal="right"/>
    </xf>
    <xf numFmtId="3" fontId="70" fillId="23" borderId="122" xfId="0" applyNumberFormat="1" applyFont="1" applyFill="1" applyBorder="1" applyAlignment="1">
      <alignment horizontal="center" vertical="center" wrapText="1"/>
    </xf>
    <xf numFmtId="49" fontId="67" fillId="23" borderId="11" xfId="0" applyNumberFormat="1" applyFont="1" applyFill="1" applyBorder="1" applyAlignment="1">
      <alignment horizontal="center" vertical="center"/>
    </xf>
    <xf numFmtId="38" fontId="60" fillId="23" borderId="13" xfId="0" applyNumberFormat="1" applyFont="1" applyFill="1" applyBorder="1" applyAlignment="1">
      <alignment horizontal="right"/>
    </xf>
    <xf numFmtId="38" fontId="60" fillId="23" borderId="21" xfId="0" applyNumberFormat="1" applyFont="1" applyFill="1" applyBorder="1" applyAlignment="1">
      <alignment horizontal="right"/>
    </xf>
    <xf numFmtId="38" fontId="60" fillId="23" borderId="14" xfId="0" applyNumberFormat="1" applyFont="1" applyFill="1" applyBorder="1" applyAlignment="1">
      <alignment horizontal="right"/>
    </xf>
    <xf numFmtId="38" fontId="59" fillId="23" borderId="13"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21" xfId="1"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38" fontId="60" fillId="23" borderId="19" xfId="0" applyNumberFormat="1" applyFont="1" applyFill="1" applyBorder="1" applyAlignment="1" applyProtection="1">
      <alignment horizontal="right"/>
    </xf>
    <xf numFmtId="38" fontId="60" fillId="23" borderId="20" xfId="0" applyNumberFormat="1" applyFont="1" applyFill="1" applyBorder="1" applyAlignment="1" applyProtection="1">
      <alignment horizontal="right"/>
    </xf>
    <xf numFmtId="38" fontId="60" fillId="23" borderId="21" xfId="0" applyNumberFormat="1" applyFont="1" applyFill="1" applyBorder="1" applyAlignment="1" applyProtection="1">
      <alignment horizontal="right"/>
    </xf>
    <xf numFmtId="38" fontId="60" fillId="23" borderId="14" xfId="0" applyNumberFormat="1" applyFont="1" applyFill="1" applyBorder="1" applyAlignment="1" applyProtection="1">
      <alignment horizontal="right"/>
    </xf>
    <xf numFmtId="0" fontId="62" fillId="23" borderId="31" xfId="0" applyFont="1" applyFill="1" applyBorder="1" applyAlignment="1">
      <alignment horizontal="center" vertical="center"/>
    </xf>
    <xf numFmtId="38" fontId="60" fillId="23" borderId="13" xfId="0" applyNumberFormat="1" applyFont="1" applyFill="1" applyBorder="1" applyAlignment="1" applyProtection="1">
      <alignment horizontal="right"/>
    </xf>
    <xf numFmtId="38" fontId="60" fillId="23" borderId="11" xfId="0" applyNumberFormat="1" applyFont="1" applyFill="1" applyBorder="1" applyAlignment="1" applyProtection="1">
      <alignment horizontal="right"/>
    </xf>
    <xf numFmtId="38" fontId="60" fillId="23" borderId="49" xfId="0" applyNumberFormat="1" applyFont="1" applyFill="1" applyBorder="1" applyAlignment="1" applyProtection="1">
      <alignment horizontal="right"/>
    </xf>
    <xf numFmtId="38" fontId="60" fillId="23" borderId="34" xfId="0" applyNumberFormat="1" applyFont="1" applyFill="1" applyBorder="1" applyAlignment="1" applyProtection="1">
      <alignment horizontal="right"/>
    </xf>
    <xf numFmtId="38" fontId="60" fillId="23" borderId="31" xfId="0" applyNumberFormat="1" applyFont="1" applyFill="1" applyBorder="1" applyAlignment="1" applyProtection="1">
      <alignment horizontal="right"/>
    </xf>
    <xf numFmtId="3" fontId="59" fillId="23" borderId="13" xfId="0" applyNumberFormat="1" applyFont="1" applyFill="1" applyBorder="1" applyAlignment="1" applyProtection="1">
      <alignment horizontal="right" vertical="center"/>
    </xf>
    <xf numFmtId="3" fontId="59" fillId="23" borderId="21" xfId="0" applyNumberFormat="1" applyFont="1" applyFill="1" applyBorder="1" applyAlignment="1" applyProtection="1">
      <alignment horizontal="right" vertical="center"/>
    </xf>
    <xf numFmtId="3" fontId="59" fillId="23"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3" borderId="13" xfId="0" applyNumberFormat="1" applyFont="1" applyFill="1" applyBorder="1" applyAlignment="1" applyProtection="1">
      <alignment horizontal="center" vertical="center"/>
    </xf>
    <xf numFmtId="49" fontId="69" fillId="23" borderId="21" xfId="0" applyNumberFormat="1" applyFont="1" applyFill="1" applyBorder="1" applyAlignment="1" applyProtection="1">
      <alignment horizontal="center" vertical="center"/>
    </xf>
    <xf numFmtId="3" fontId="60" fillId="23" borderId="21" xfId="0" applyNumberFormat="1" applyFont="1" applyFill="1" applyBorder="1" applyAlignment="1" applyProtection="1">
      <alignment horizontal="center"/>
    </xf>
    <xf numFmtId="3" fontId="62" fillId="23" borderId="21" xfId="0" applyNumberFormat="1" applyFont="1" applyFill="1" applyBorder="1" applyAlignment="1" applyProtection="1">
      <alignment horizontal="center"/>
    </xf>
    <xf numFmtId="38" fontId="62" fillId="23" borderId="21" xfId="0" applyNumberFormat="1" applyFont="1" applyFill="1" applyBorder="1" applyAlignment="1" applyProtection="1">
      <alignment horizontal="center"/>
    </xf>
    <xf numFmtId="3" fontId="62" fillId="23" borderId="14" xfId="0" applyNumberFormat="1" applyFont="1" applyFill="1" applyBorder="1" applyAlignment="1" applyProtection="1">
      <alignment horizontal="center"/>
    </xf>
    <xf numFmtId="0" fontId="59" fillId="23" borderId="49" xfId="0" applyFont="1" applyFill="1" applyBorder="1" applyAlignment="1" applyProtection="1">
      <alignment horizontal="center" vertical="center" wrapText="1"/>
    </xf>
    <xf numFmtId="0" fontId="60" fillId="23" borderId="34"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wrapText="1"/>
    </xf>
    <xf numFmtId="0" fontId="62" fillId="23" borderId="31"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4"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2" xfId="0" applyNumberFormat="1" applyFont="1" applyFill="1" applyBorder="1" applyAlignment="1">
      <alignment horizontal="left" vertical="center" wrapText="1"/>
    </xf>
    <xf numFmtId="49" fontId="69" fillId="17" borderId="124"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2"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4" xfId="0" applyFont="1" applyFill="1" applyBorder="1" applyAlignment="1">
      <alignment horizontal="left" vertical="center" wrapText="1"/>
    </xf>
    <xf numFmtId="3" fontId="69" fillId="17" borderId="124" xfId="0" applyNumberFormat="1" applyFont="1" applyFill="1" applyBorder="1" applyAlignment="1">
      <alignment horizontal="left" vertical="center" wrapText="1"/>
    </xf>
    <xf numFmtId="38" fontId="60" fillId="24" borderId="19" xfId="0" applyNumberFormat="1" applyFont="1" applyFill="1" applyBorder="1" applyAlignment="1">
      <alignment horizontal="right"/>
    </xf>
    <xf numFmtId="38" fontId="60" fillId="24" borderId="20" xfId="0" applyNumberFormat="1" applyFont="1" applyFill="1" applyBorder="1" applyAlignment="1">
      <alignment horizontal="right"/>
    </xf>
    <xf numFmtId="38" fontId="60" fillId="24" borderId="11" xfId="0" applyNumberFormat="1" applyFont="1" applyFill="1" applyBorder="1" applyAlignment="1">
      <alignment horizontal="right"/>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3" borderId="13" xfId="0" applyFont="1" applyFill="1" applyBorder="1" applyAlignment="1">
      <alignment horizontal="left" vertical="center"/>
    </xf>
    <xf numFmtId="0" fontId="70" fillId="23" borderId="21" xfId="0" applyFont="1" applyFill="1" applyBorder="1" applyAlignment="1">
      <alignment horizontal="left" vertical="center"/>
    </xf>
    <xf numFmtId="0" fontId="70" fillId="23"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6" xfId="0" applyFont="1" applyBorder="1" applyAlignment="1">
      <alignment horizontal="centerContinuous" vertical="center"/>
    </xf>
    <xf numFmtId="0" fontId="60" fillId="0" borderId="157" xfId="0" applyFont="1" applyBorder="1" applyAlignment="1">
      <alignment horizontal="centerContinuous" vertical="center"/>
    </xf>
    <xf numFmtId="0" fontId="62" fillId="0" borderId="157" xfId="0" applyFont="1" applyBorder="1" applyAlignment="1">
      <alignment horizontal="centerContinuous" vertical="center"/>
    </xf>
    <xf numFmtId="0" fontId="69" fillId="0" borderId="105" xfId="0" applyFont="1" applyBorder="1" applyAlignment="1">
      <alignment horizontal="center"/>
    </xf>
    <xf numFmtId="0" fontId="62" fillId="23" borderId="16" xfId="3" applyFont="1" applyFill="1" applyBorder="1" applyAlignment="1">
      <alignment horizontal="left" vertical="center"/>
    </xf>
    <xf numFmtId="0" fontId="62" fillId="23" borderId="10" xfId="3" applyFont="1" applyFill="1" applyBorder="1" applyAlignment="1">
      <alignment horizontal="left" vertical="center"/>
    </xf>
    <xf numFmtId="0" fontId="62" fillId="23" borderId="19" xfId="3" applyNumberFormat="1" applyFont="1" applyFill="1" applyBorder="1" applyAlignment="1">
      <alignment vertical="center"/>
    </xf>
    <xf numFmtId="0" fontId="62" fillId="23" borderId="20" xfId="3" applyNumberFormat="1" applyFont="1" applyFill="1" applyBorder="1" applyAlignment="1">
      <alignment vertical="center"/>
    </xf>
    <xf numFmtId="0" fontId="62" fillId="23" borderId="11" xfId="3" applyNumberFormat="1" applyFont="1" applyFill="1" applyBorder="1" applyAlignment="1">
      <alignment vertical="center"/>
    </xf>
    <xf numFmtId="0" fontId="11" fillId="0" borderId="0" xfId="17" quotePrefix="1" applyNumberFormat="1" applyFont="1"/>
    <xf numFmtId="0" fontId="132" fillId="20" borderId="154" xfId="17" applyFont="1" applyFill="1" applyBorder="1" applyAlignment="1" applyProtection="1">
      <alignment horizontal="left" vertical="top" wrapText="1"/>
    </xf>
    <xf numFmtId="49" fontId="132" fillId="20" borderId="154" xfId="17" applyNumberFormat="1" applyFont="1" applyFill="1" applyBorder="1" applyAlignment="1" applyProtection="1">
      <alignment horizontal="center" vertical="top"/>
    </xf>
    <xf numFmtId="0" fontId="132" fillId="20" borderId="154" xfId="17" applyFont="1" applyFill="1" applyBorder="1" applyAlignment="1" applyProtection="1">
      <alignment vertical="top"/>
    </xf>
    <xf numFmtId="38" fontId="132" fillId="20" borderId="154" xfId="17" applyNumberFormat="1" applyFont="1" applyFill="1" applyBorder="1" applyAlignment="1" applyProtection="1">
      <alignment horizontal="right" vertical="top"/>
    </xf>
    <xf numFmtId="38" fontId="132" fillId="20" borderId="154" xfId="17" applyNumberFormat="1" applyFont="1" applyFill="1" applyBorder="1" applyAlignment="1" applyProtection="1">
      <alignment vertical="top"/>
    </xf>
    <xf numFmtId="0" fontId="12" fillId="0" borderId="154" xfId="17" applyBorder="1" applyAlignment="1" applyProtection="1">
      <alignment horizontal="left" vertical="top" wrapText="1"/>
      <protection locked="0"/>
    </xf>
    <xf numFmtId="0" fontId="12" fillId="0" borderId="154" xfId="17" applyBorder="1" applyAlignment="1" applyProtection="1">
      <alignment vertical="top"/>
      <protection locked="0"/>
    </xf>
    <xf numFmtId="0" fontId="11" fillId="0" borderId="154" xfId="17" applyFont="1" applyBorder="1" applyAlignment="1" applyProtection="1">
      <alignment horizontal="left" vertical="top" wrapText="1"/>
      <protection locked="0"/>
    </xf>
    <xf numFmtId="0" fontId="11" fillId="0" borderId="154" xfId="17" applyFont="1" applyBorder="1" applyAlignment="1" applyProtection="1">
      <alignment vertical="top"/>
      <protection locked="0"/>
    </xf>
    <xf numFmtId="0" fontId="12" fillId="0" borderId="0" xfId="17" applyAlignment="1">
      <alignment horizontal="center" vertical="center" wrapText="1"/>
    </xf>
    <xf numFmtId="0" fontId="10" fillId="0" borderId="0" xfId="17" applyFont="1" applyAlignment="1">
      <alignment horizontal="left" vertical="center" wrapText="1"/>
    </xf>
    <xf numFmtId="0" fontId="10" fillId="0" borderId="0" xfId="17" applyFont="1" applyAlignment="1">
      <alignment vertical="center"/>
    </xf>
    <xf numFmtId="0" fontId="12" fillId="0" borderId="0" xfId="17" applyAlignment="1">
      <alignment vertical="center"/>
    </xf>
    <xf numFmtId="0" fontId="132" fillId="0" borderId="98" xfId="17" applyFont="1" applyBorder="1" applyAlignment="1">
      <alignment horizontal="left" vertical="top"/>
    </xf>
    <xf numFmtId="0" fontId="132" fillId="0" borderId="78" xfId="17" applyFont="1" applyBorder="1" applyAlignment="1">
      <alignment horizontal="left" vertical="top"/>
    </xf>
    <xf numFmtId="0" fontId="132" fillId="0" borderId="99" xfId="17" applyFont="1" applyBorder="1" applyAlignment="1">
      <alignment horizontal="left" vertical="top"/>
    </xf>
    <xf numFmtId="0" fontId="38" fillId="0" borderId="0" xfId="2" applyNumberFormat="1" applyAlignment="1" applyProtection="1">
      <alignment vertical="center"/>
    </xf>
    <xf numFmtId="0" fontId="69" fillId="0" borderId="5" xfId="3" applyFont="1" applyFill="1" applyBorder="1" applyAlignment="1" applyProtection="1"/>
    <xf numFmtId="49" fontId="12" fillId="0" borderId="154" xfId="17" applyNumberFormat="1" applyBorder="1" applyAlignment="1" applyProtection="1">
      <alignment horizontal="center" vertical="center"/>
      <protection locked="0"/>
    </xf>
    <xf numFmtId="49" fontId="10" fillId="0" borderId="154" xfId="17" applyNumberFormat="1" applyFont="1" applyBorder="1" applyAlignment="1" applyProtection="1">
      <alignment horizontal="center" vertical="center"/>
      <protection locked="0"/>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38" fontId="60" fillId="16" borderId="27" xfId="0" applyNumberFormat="1" applyFont="1" applyFill="1" applyBorder="1" applyAlignment="1">
      <alignment horizontal="right"/>
    </xf>
    <xf numFmtId="38" fontId="60" fillId="16" borderId="2" xfId="0" applyNumberFormat="1" applyFont="1" applyFill="1" applyBorder="1" applyAlignment="1">
      <alignment horizontal="right"/>
    </xf>
    <xf numFmtId="38" fontId="60" fillId="16" borderId="4" xfId="0" applyNumberFormat="1" applyFont="1" applyFill="1" applyBorder="1" applyAlignment="1">
      <alignment horizontal="right"/>
    </xf>
    <xf numFmtId="49" fontId="69" fillId="16" borderId="36" xfId="0" applyNumberFormat="1" applyFont="1" applyFill="1" applyBorder="1" applyAlignment="1">
      <alignment horizontal="center" vertical="center"/>
    </xf>
    <xf numFmtId="38" fontId="60" fillId="16" borderId="30" xfId="0" applyNumberFormat="1" applyFont="1" applyFill="1" applyBorder="1" applyAlignment="1">
      <alignment horizontal="right"/>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38" fontId="60" fillId="16" borderId="32" xfId="0" applyNumberFormat="1" applyFont="1" applyFill="1" applyBorder="1" applyAlignment="1">
      <alignment horizontal="right"/>
    </xf>
    <xf numFmtId="0" fontId="69" fillId="16" borderId="27" xfId="0" applyFont="1" applyFill="1" applyBorder="1" applyAlignment="1">
      <alignment horizontal="center" vertical="center"/>
    </xf>
    <xf numFmtId="38" fontId="60" fillId="16" borderId="33" xfId="0" applyNumberFormat="1" applyFont="1" applyFill="1" applyBorder="1" applyAlignment="1">
      <alignment horizontal="right"/>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8" fontId="60" fillId="16" borderId="26" xfId="0" applyNumberFormat="1" applyFont="1" applyFill="1" applyBorder="1" applyAlignment="1">
      <alignment horizontal="right"/>
    </xf>
    <xf numFmtId="38" fontId="60" fillId="16" borderId="28" xfId="0" applyNumberFormat="1" applyFont="1" applyFill="1" applyBorder="1" applyAlignment="1">
      <alignment horizontal="right"/>
    </xf>
    <xf numFmtId="38" fontId="60" fillId="16" borderId="29" xfId="0" applyNumberFormat="1" applyFont="1" applyFill="1" applyBorder="1" applyAlignment="1">
      <alignment horizontal="right"/>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8" fontId="60" fillId="16" borderId="27" xfId="0" applyNumberFormat="1" applyFont="1" applyFill="1" applyBorder="1" applyAlignment="1" applyProtection="1">
      <alignment horizontal="right"/>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38" fontId="60" fillId="16" borderId="3" xfId="0" applyNumberFormat="1" applyFont="1" applyFill="1" applyBorder="1" applyAlignment="1">
      <alignment horizontal="right"/>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38" fontId="60" fillId="16" borderId="33" xfId="0" applyNumberFormat="1" applyFont="1" applyFill="1" applyBorder="1" applyAlignment="1" applyProtection="1">
      <alignment horizontal="right"/>
    </xf>
    <xf numFmtId="38" fontId="60" fillId="16" borderId="32" xfId="0" applyNumberFormat="1" applyFont="1" applyFill="1" applyBorder="1" applyAlignment="1" applyProtection="1">
      <alignment horizontal="right"/>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38" fontId="60" fillId="16" borderId="36" xfId="0" applyNumberFormat="1" applyFont="1" applyFill="1" applyBorder="1" applyAlignment="1" applyProtection="1">
      <alignment horizontal="right"/>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37" fontId="60" fillId="16" borderId="36" xfId="0" applyNumberFormat="1" applyFont="1" applyFill="1" applyBorder="1" applyAlignment="1" applyProtection="1">
      <alignment horizontal="right"/>
    </xf>
    <xf numFmtId="37" fontId="60" fillId="16" borderId="27" xfId="0" applyNumberFormat="1" applyFont="1" applyFill="1" applyBorder="1" applyAlignment="1" applyProtection="1">
      <alignment horizontal="right"/>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38" fontId="60" fillId="16" borderId="37" xfId="0" applyNumberFormat="1" applyFont="1" applyFill="1" applyBorder="1" applyAlignment="1" applyProtection="1">
      <alignment horizontal="right"/>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38" fontId="60" fillId="16" borderId="12" xfId="0" applyNumberFormat="1" applyFont="1" applyFill="1" applyBorder="1" applyAlignment="1" applyProtection="1">
      <alignment horizontal="right"/>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38" fontId="60" fillId="16" borderId="3" xfId="0" applyNumberFormat="1" applyFont="1" applyFill="1" applyBorder="1" applyAlignment="1" applyProtection="1">
      <alignment horizontal="right"/>
    </xf>
    <xf numFmtId="38" fontId="60" fillId="16" borderId="55" xfId="0" applyNumberFormat="1" applyFont="1" applyFill="1" applyBorder="1" applyAlignment="1" applyProtection="1">
      <alignment horizontal="right"/>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8" fontId="62" fillId="16" borderId="2" xfId="0" applyNumberFormat="1" applyFont="1" applyFill="1" applyBorder="1" applyAlignment="1" applyProtection="1">
      <alignment horizontal="right" vertical="center"/>
    </xf>
    <xf numFmtId="38"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38" fontId="60" fillId="16" borderId="30"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38" fontId="60" fillId="16" borderId="26" xfId="0" applyNumberFormat="1" applyFont="1" applyFill="1" applyBorder="1" applyAlignment="1" applyProtection="1">
      <alignment horizontal="right"/>
    </xf>
    <xf numFmtId="0" fontId="69" fillId="16" borderId="30" xfId="0" applyFont="1" applyFill="1" applyBorder="1" applyAlignment="1" applyProtection="1">
      <alignment horizontal="center" vertical="center"/>
    </xf>
    <xf numFmtId="38" fontId="60" fillId="16" borderId="4" xfId="0" applyNumberFormat="1" applyFont="1" applyFill="1" applyBorder="1" applyAlignment="1" applyProtection="1">
      <alignment horizontal="right"/>
    </xf>
    <xf numFmtId="38" fontId="60" fillId="16" borderId="2" xfId="0" applyNumberFormat="1" applyFont="1" applyFill="1" applyBorder="1" applyAlignment="1" applyProtection="1">
      <alignment horizontal="right"/>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38" fontId="60" fillId="16" borderId="28" xfId="0" applyNumberFormat="1" applyFont="1" applyFill="1" applyBorder="1" applyAlignment="1" applyProtection="1">
      <alignment horizontal="right"/>
    </xf>
    <xf numFmtId="38" fontId="60" fillId="16" borderId="18" xfId="0" applyNumberFormat="1" applyFont="1" applyFill="1" applyBorder="1" applyAlignment="1" applyProtection="1">
      <alignment horizontal="right"/>
    </xf>
    <xf numFmtId="38" fontId="60" fillId="16" borderId="0" xfId="0" applyNumberFormat="1" applyFont="1" applyFill="1" applyAlignment="1" applyProtection="1">
      <alignment horizontal="right"/>
    </xf>
    <xf numFmtId="38" fontId="60" fillId="16" borderId="124" xfId="0" applyNumberFormat="1" applyFont="1" applyFill="1" applyBorder="1" applyAlignment="1" applyProtection="1">
      <alignment horizontal="right" vertical="center"/>
      <protection locked="0"/>
    </xf>
    <xf numFmtId="38" fontId="60" fillId="16" borderId="2" xfId="0" applyNumberFormat="1" applyFont="1" applyFill="1" applyBorder="1" applyAlignment="1" applyProtection="1">
      <alignment horizontal="right" vertical="center"/>
      <protection locked="0"/>
    </xf>
    <xf numFmtId="38" fontId="60" fillId="16" borderId="27" xfId="0" applyNumberFormat="1" applyFont="1" applyFill="1" applyBorder="1" applyAlignment="1" applyProtection="1">
      <alignment horizontal="right" vertical="center"/>
      <protection locked="0"/>
    </xf>
    <xf numFmtId="38" fontId="60" fillId="16" borderId="124"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horizontal="right" vertical="center"/>
    </xf>
    <xf numFmtId="0" fontId="69" fillId="16" borderId="27" xfId="0" applyFont="1" applyFill="1" applyBorder="1" applyAlignment="1">
      <alignment horizontal="left" vertical="center" wrapText="1" indent="1"/>
    </xf>
    <xf numFmtId="38" fontId="60" fillId="16" borderId="27" xfId="0" applyNumberFormat="1" applyFont="1" applyFill="1" applyBorder="1" applyAlignment="1" applyProtection="1">
      <alignment horizontal="right" vertical="center"/>
    </xf>
    <xf numFmtId="38" fontId="60" fillId="16" borderId="2" xfId="9" applyNumberFormat="1" applyFont="1" applyFill="1" applyBorder="1" applyAlignment="1" applyProtection="1">
      <alignment horizontal="right"/>
    </xf>
    <xf numFmtId="49" fontId="67" fillId="16" borderId="41"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38" fontId="60" fillId="16" borderId="60" xfId="0" applyNumberFormat="1" applyFont="1" applyFill="1" applyBorder="1" applyAlignment="1" applyProtection="1"/>
    <xf numFmtId="38" fontId="60" fillId="16" borderId="41" xfId="0" applyNumberFormat="1" applyFont="1" applyFill="1" applyBorder="1" applyAlignment="1" applyProtection="1">
      <alignment horizontal="right"/>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3" fontId="69" fillId="16" borderId="57" xfId="10" applyNumberFormat="1" applyFont="1" applyFill="1" applyBorder="1" applyAlignment="1" applyProtection="1">
      <alignmen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38" fontId="69" fillId="16" borderId="47" xfId="10" applyNumberFormat="1" applyFont="1" applyFill="1" applyBorder="1" applyAlignment="1">
      <alignment horizontal="right"/>
    </xf>
    <xf numFmtId="0" fontId="67" fillId="16" borderId="0" xfId="10" quotePrefix="1" applyFont="1" applyFill="1" applyAlignment="1">
      <alignment horizontal="left" vertical="center"/>
    </xf>
    <xf numFmtId="38" fontId="67" fillId="16" borderId="58" xfId="10" applyNumberFormat="1" applyFont="1" applyFill="1" applyBorder="1" applyAlignment="1" applyProtection="1">
      <alignment horizontal="right"/>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40" fontId="69" fillId="16" borderId="47" xfId="10" applyNumberFormat="1" applyFont="1" applyFill="1" applyBorder="1" applyAlignment="1" applyProtection="1">
      <alignment horizontal="right"/>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38" fontId="69" fillId="16" borderId="9" xfId="11" applyNumberFormat="1" applyFont="1" applyFill="1" applyBorder="1" applyAlignment="1" applyProtection="1">
      <alignment horizontal="right"/>
    </xf>
    <xf numFmtId="38" fontId="67" fillId="16" borderId="6" xfId="11" applyNumberFormat="1" applyFont="1" applyFill="1" applyBorder="1" applyAlignment="1" applyProtection="1">
      <alignment horizontal="right"/>
    </xf>
    <xf numFmtId="0" fontId="67" fillId="16" borderId="0" xfId="11" applyFont="1" applyFill="1" applyAlignment="1">
      <alignment vertical="center"/>
    </xf>
    <xf numFmtId="40" fontId="67" fillId="16" borderId="9" xfId="11" applyNumberFormat="1" applyFont="1" applyFill="1" applyBorder="1" applyAlignment="1" applyProtection="1">
      <alignment horizontal="right"/>
    </xf>
    <xf numFmtId="40" fontId="69" fillId="16" borderId="57" xfId="11" applyNumberFormat="1" applyFont="1" applyFill="1" applyBorder="1" applyAlignment="1" applyProtection="1">
      <alignment horizontal="right"/>
    </xf>
    <xf numFmtId="38" fontId="12" fillId="16" borderId="154" xfId="17" applyNumberFormat="1" applyFill="1" applyBorder="1" applyAlignment="1" applyProtection="1">
      <alignment vertical="top"/>
    </xf>
    <xf numFmtId="38" fontId="12" fillId="16" borderId="155" xfId="17" applyNumberFormat="1" applyFill="1" applyBorder="1" applyAlignment="1" applyProtection="1">
      <alignment horizontal="right" vertical="top"/>
    </xf>
    <xf numFmtId="38" fontId="12" fillId="16" borderId="155" xfId="17" applyNumberFormat="1" applyFill="1" applyBorder="1" applyAlignment="1" applyProtection="1">
      <alignment vertical="top"/>
    </xf>
    <xf numFmtId="0" fontId="12" fillId="16" borderId="155" xfId="17" applyFill="1" applyBorder="1" applyAlignment="1" applyProtection="1">
      <alignment horizontal="left" vertical="top" wrapText="1"/>
    </xf>
    <xf numFmtId="49" fontId="12" fillId="16" borderId="155" xfId="17" applyNumberFormat="1" applyFill="1" applyBorder="1" applyAlignment="1" applyProtection="1">
      <alignment vertical="top"/>
    </xf>
    <xf numFmtId="0" fontId="12" fillId="16" borderId="155" xfId="17" applyFill="1" applyBorder="1" applyAlignment="1" applyProtection="1">
      <alignment vertical="top"/>
    </xf>
    <xf numFmtId="0" fontId="60" fillId="16" borderId="123" xfId="0" applyFont="1" applyFill="1" applyBorder="1"/>
    <xf numFmtId="37" fontId="60" fillId="16" borderId="123" xfId="0" applyNumberFormat="1" applyFont="1" applyFill="1" applyBorder="1"/>
    <xf numFmtId="37" fontId="60" fillId="16" borderId="125" xfId="0" applyNumberFormat="1" applyFont="1" applyFill="1" applyBorder="1"/>
    <xf numFmtId="0" fontId="60" fillId="16" borderId="14" xfId="0" applyFont="1" applyFill="1" applyBorder="1"/>
    <xf numFmtId="0" fontId="60" fillId="16" borderId="21" xfId="0" applyFont="1" applyFill="1" applyBorder="1"/>
    <xf numFmtId="37" fontId="60" fillId="16" borderId="14" xfId="0" applyNumberFormat="1" applyFont="1" applyFill="1" applyBorder="1"/>
    <xf numFmtId="37" fontId="60" fillId="16" borderId="21" xfId="0" applyNumberFormat="1" applyFont="1" applyFill="1" applyBorder="1"/>
    <xf numFmtId="38" fontId="60" fillId="16" borderId="14" xfId="0" applyNumberFormat="1" applyFont="1" applyFill="1" applyBorder="1"/>
    <xf numFmtId="0" fontId="67" fillId="16" borderId="0" xfId="0" applyFont="1" applyFill="1" applyBorder="1" applyAlignment="1">
      <alignment horizontal="right"/>
    </xf>
    <xf numFmtId="38" fontId="60" fillId="16" borderId="18" xfId="0" applyNumberFormat="1" applyFont="1" applyFill="1" applyBorder="1"/>
    <xf numFmtId="0" fontId="60" fillId="16" borderId="13" xfId="0" applyFont="1" applyFill="1" applyBorder="1" applyAlignment="1">
      <alignment horizontal="right"/>
    </xf>
    <xf numFmtId="10" fontId="59" fillId="16" borderId="14" xfId="0" applyNumberFormat="1" applyFont="1" applyFill="1" applyBorder="1" applyAlignment="1">
      <alignment horizontal="left" indent="2"/>
    </xf>
    <xf numFmtId="38" fontId="60" fillId="16" borderId="2" xfId="3" applyNumberFormat="1" applyFont="1" applyFill="1" applyBorder="1" applyAlignment="1">
      <alignment vertical="center"/>
    </xf>
    <xf numFmtId="38" fontId="60" fillId="16" borderId="2" xfId="3" applyNumberFormat="1" applyFont="1" applyFill="1" applyBorder="1" applyAlignment="1" applyProtection="1">
      <alignment vertical="center"/>
    </xf>
    <xf numFmtId="38" fontId="60" fillId="16" borderId="27" xfId="3" applyNumberFormat="1" applyFont="1" applyFill="1" applyBorder="1" applyAlignment="1">
      <alignment vertical="center"/>
    </xf>
    <xf numFmtId="9" fontId="60" fillId="16" borderId="4" xfId="3" applyNumberFormat="1" applyFont="1" applyFill="1" applyBorder="1" applyAlignment="1">
      <alignment horizontal="center" vertical="center"/>
    </xf>
    <xf numFmtId="38" fontId="60" fillId="16" borderId="22" xfId="3" applyNumberFormat="1" applyFont="1" applyFill="1" applyBorder="1" applyAlignment="1">
      <alignment horizontal="right" vertical="center"/>
    </xf>
    <xf numFmtId="38" fontId="60" fillId="16" borderId="41"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60" fillId="16" borderId="124" xfId="0" applyNumberFormat="1" applyFont="1" applyFill="1" applyBorder="1" applyAlignment="1" applyProtection="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38" fontId="60" fillId="15" borderId="26" xfId="0" applyNumberFormat="1" applyFont="1" applyFill="1" applyBorder="1" applyAlignment="1">
      <alignment horizontal="right"/>
    </xf>
    <xf numFmtId="38" fontId="60" fillId="15" borderId="3" xfId="0" applyNumberFormat="1" applyFont="1" applyFill="1" applyBorder="1" applyAlignment="1">
      <alignment horizontal="right"/>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8" fontId="60" fillId="26" borderId="26" xfId="0" applyNumberFormat="1" applyFont="1" applyFill="1" applyBorder="1" applyAlignment="1">
      <alignment horizontal="right"/>
    </xf>
    <xf numFmtId="3" fontId="67" fillId="0" borderId="12" xfId="0" applyNumberFormat="1" applyFont="1" applyBorder="1" applyAlignment="1">
      <alignment horizontal="left" vertical="top" wrapText="1" indent="1"/>
    </xf>
    <xf numFmtId="38" fontId="60" fillId="16" borderId="19" xfId="0" applyNumberFormat="1" applyFont="1" applyFill="1" applyBorder="1" applyAlignment="1" applyProtection="1">
      <alignment horizontal="right"/>
    </xf>
    <xf numFmtId="49" fontId="38" fillId="0" borderId="0" xfId="2" applyNumberFormat="1" applyBorder="1" applyAlignment="1" applyProtection="1">
      <alignment horizontal="center"/>
    </xf>
    <xf numFmtId="49" fontId="9" fillId="0" borderId="154" xfId="17" applyNumberFormat="1" applyFont="1" applyBorder="1" applyAlignment="1" applyProtection="1">
      <alignment horizontal="center" vertical="center"/>
      <protection locked="0"/>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8" xfId="3" applyFont="1" applyBorder="1" applyProtection="1"/>
    <xf numFmtId="49" fontId="67" fillId="0" borderId="14" xfId="0" applyNumberFormat="1" applyFont="1" applyFill="1" applyBorder="1" applyAlignment="1" applyProtection="1">
      <alignment horizontal="center" vertical="center"/>
    </xf>
    <xf numFmtId="38" fontId="60" fillId="15" borderId="3" xfId="0" applyNumberFormat="1" applyFont="1" applyFill="1" applyBorder="1" applyAlignment="1" applyProtection="1">
      <alignment horizontal="right"/>
    </xf>
    <xf numFmtId="38" fontId="60" fillId="15" borderId="26" xfId="0" applyNumberFormat="1" applyFont="1" applyFill="1" applyBorder="1" applyAlignment="1" applyProtection="1">
      <alignment horizontal="right"/>
    </xf>
    <xf numFmtId="38" fontId="12" fillId="0" borderId="154" xfId="17" applyNumberFormat="1" applyBorder="1" applyAlignment="1" applyProtection="1">
      <alignment horizontal="right" vertical="top"/>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3" borderId="0" xfId="18" applyFont="1" applyFill="1" applyAlignment="1">
      <alignment horizontal="centerContinuous" vertical="center"/>
    </xf>
    <xf numFmtId="0" fontId="105" fillId="23" borderId="0" xfId="18" applyFont="1" applyFill="1" applyAlignment="1">
      <alignment horizontal="centerContinuous"/>
    </xf>
    <xf numFmtId="0" fontId="93" fillId="0" borderId="134"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9" fillId="0" borderId="0" xfId="18" applyFont="1" applyAlignment="1">
      <alignment wrapText="1"/>
    </xf>
    <xf numFmtId="0" fontId="137" fillId="0" borderId="159"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1"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6" xfId="18" applyFont="1" applyBorder="1" applyAlignment="1">
      <alignment horizontal="left" vertical="center" wrapText="1"/>
    </xf>
    <xf numFmtId="0" fontId="109" fillId="0" borderId="157"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29" xfId="18" applyFont="1" applyFill="1" applyBorder="1" applyAlignment="1">
      <alignment horizontal="left" vertical="center" wrapText="1"/>
    </xf>
    <xf numFmtId="0" fontId="105" fillId="0" borderId="0" xfId="18" applyFont="1" applyProtection="1"/>
    <xf numFmtId="0" fontId="9" fillId="0" borderId="0" xfId="18" applyFont="1"/>
    <xf numFmtId="0" fontId="53" fillId="0" borderId="137" xfId="18" applyFont="1" applyBorder="1" applyAlignment="1">
      <alignment vertical="top"/>
    </xf>
    <xf numFmtId="0" fontId="53" fillId="0" borderId="138" xfId="18" applyFont="1" applyBorder="1" applyAlignment="1">
      <alignment vertical="top"/>
    </xf>
    <xf numFmtId="0" fontId="54" fillId="15" borderId="76" xfId="18" applyFont="1" applyFill="1" applyBorder="1" applyAlignment="1">
      <alignment vertical="top"/>
    </xf>
    <xf numFmtId="0" fontId="53" fillId="0" borderId="137" xfId="18" applyFont="1" applyBorder="1" applyAlignment="1">
      <alignment vertical="top" wrapText="1"/>
    </xf>
    <xf numFmtId="0" fontId="53" fillId="0" borderId="138"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9"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49" fontId="69" fillId="0" borderId="2" xfId="0" applyNumberFormat="1" applyFont="1" applyFill="1" applyBorder="1" applyAlignment="1" applyProtection="1">
      <alignment horizontal="center" vertical="top" wrapText="1"/>
    </xf>
    <xf numFmtId="49" fontId="69" fillId="0" borderId="2" xfId="9" applyNumberFormat="1" applyFont="1" applyFill="1" applyBorder="1" applyAlignment="1">
      <alignment horizontal="center" vertical="top" wrapText="1"/>
    </xf>
    <xf numFmtId="49" fontId="69" fillId="5" borderId="2" xfId="9" applyNumberFormat="1" applyFont="1" applyFill="1" applyBorder="1" applyAlignment="1" applyProtection="1">
      <alignment horizontal="center" vertical="top" wrapText="1"/>
    </xf>
    <xf numFmtId="0" fontId="105" fillId="23" borderId="0" xfId="18" applyFont="1" applyFill="1" applyAlignment="1">
      <alignment horizontal="centerContinuous" vertical="center"/>
    </xf>
    <xf numFmtId="0" fontId="109" fillId="23" borderId="135" xfId="18" applyFont="1" applyFill="1" applyBorder="1" applyAlignment="1">
      <alignment horizontal="center" vertical="center" wrapText="1"/>
    </xf>
    <xf numFmtId="0" fontId="109" fillId="23" borderId="160" xfId="18" applyFont="1" applyFill="1" applyBorder="1" applyAlignment="1">
      <alignment horizontal="center" vertical="center" wrapText="1"/>
    </xf>
    <xf numFmtId="0" fontId="109" fillId="17" borderId="136"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6" xfId="18" applyFont="1" applyFill="1" applyBorder="1" applyAlignment="1" applyProtection="1">
      <alignment horizontal="right"/>
    </xf>
    <xf numFmtId="0" fontId="70" fillId="23" borderId="12" xfId="3" applyNumberFormat="1" applyFont="1" applyFill="1" applyBorder="1" applyAlignment="1">
      <alignment horizontal="left"/>
    </xf>
    <xf numFmtId="0" fontId="59" fillId="0" borderId="12" xfId="3" applyNumberFormat="1" applyFont="1" applyFill="1" applyBorder="1" applyAlignment="1">
      <alignment horizontal="centerContinuous" vertical="center"/>
    </xf>
    <xf numFmtId="0" fontId="59" fillId="0" borderId="3" xfId="3" applyNumberFormat="1" applyFont="1" applyFill="1" applyBorder="1" applyAlignment="1">
      <alignment horizontal="centerContinuous" vertical="center"/>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38" fontId="67" fillId="0" borderId="144" xfId="11" applyNumberFormat="1" applyFont="1" applyFill="1" applyBorder="1" applyAlignment="1" applyProtection="1">
      <alignment horizontal="right"/>
      <protection locked="0"/>
    </xf>
    <xf numFmtId="38" fontId="67" fillId="16" borderId="9" xfId="11" applyNumberFormat="1" applyFont="1" applyFill="1" applyBorder="1" applyAlignment="1" applyProtection="1">
      <alignment horizontal="right"/>
    </xf>
    <xf numFmtId="3" fontId="67" fillId="16" borderId="9" xfId="10" applyNumberFormat="1" applyFont="1" applyFill="1" applyBorder="1" applyAlignment="1" applyProtection="1">
      <alignment vertical="center"/>
    </xf>
    <xf numFmtId="3" fontId="67" fillId="16" borderId="6" xfId="10" applyNumberFormat="1" applyFont="1" applyFill="1" applyBorder="1" applyAlignment="1" applyProtection="1">
      <alignment vertical="center"/>
    </xf>
    <xf numFmtId="38" fontId="67" fillId="16" borderId="9" xfId="10" applyNumberFormat="1" applyFont="1" applyFill="1" applyBorder="1" applyAlignment="1" applyProtection="1">
      <alignment horizontal="right" vertical="center"/>
    </xf>
    <xf numFmtId="38" fontId="67" fillId="16" borderId="0" xfId="10" applyNumberFormat="1" applyFont="1" applyFill="1" applyAlignment="1">
      <alignment vertical="top"/>
    </xf>
    <xf numFmtId="38" fontId="67" fillId="16" borderId="6" xfId="10" applyNumberFormat="1" applyFont="1" applyFill="1" applyBorder="1" applyAlignment="1" applyProtection="1">
      <alignment horizontal="right" vertical="center"/>
    </xf>
    <xf numFmtId="38" fontId="67" fillId="16" borderId="6" xfId="10" applyNumberFormat="1" applyFont="1" applyFill="1" applyBorder="1" applyAlignment="1" applyProtection="1">
      <alignment horizontal="right"/>
    </xf>
    <xf numFmtId="38" fontId="67" fillId="16" borderId="0" xfId="10" applyNumberFormat="1" applyFont="1" applyFill="1" applyAlignment="1">
      <alignment horizontal="right"/>
    </xf>
    <xf numFmtId="38" fontId="67" fillId="16" borderId="9" xfId="10" applyNumberFormat="1" applyFont="1" applyFill="1" applyBorder="1" applyAlignment="1" applyProtection="1">
      <alignment horizontal="right"/>
    </xf>
    <xf numFmtId="38" fontId="67" fillId="16" borderId="6" xfId="10" applyNumberFormat="1" applyFont="1" applyFill="1" applyBorder="1" applyAlignment="1">
      <alignment horizontal="right"/>
    </xf>
    <xf numFmtId="38" fontId="67" fillId="16" borderId="144" xfId="10" applyNumberFormat="1" applyFont="1" applyFill="1" applyBorder="1" applyAlignment="1" applyProtection="1">
      <alignment horizontal="right"/>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69" fillId="0" borderId="0" xfId="11" applyFont="1" applyAlignment="1">
      <alignment horizontal="right" vertical="center"/>
    </xf>
    <xf numFmtId="0" fontId="69" fillId="0" borderId="0" xfId="0" applyFont="1" applyBorder="1" applyAlignment="1" applyProtection="1">
      <alignment horizontal="lef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38" fontId="8" fillId="16" borderId="154" xfId="17" applyNumberFormat="1" applyFont="1" applyFill="1" applyBorder="1" applyAlignment="1" applyProtection="1">
      <alignment horizontal="right" vertical="top"/>
    </xf>
    <xf numFmtId="38" fontId="8" fillId="16" borderId="155" xfId="17" applyNumberFormat="1" applyFont="1" applyFill="1" applyBorder="1" applyAlignment="1" applyProtection="1">
      <alignment horizontal="right" vertical="top"/>
    </xf>
    <xf numFmtId="0" fontId="62" fillId="0" borderId="77" xfId="3" applyNumberFormat="1" applyFont="1" applyBorder="1" applyAlignment="1" applyProtection="1">
      <alignment horizontal="center"/>
      <protection locked="0"/>
    </xf>
    <xf numFmtId="0" fontId="143" fillId="0" borderId="0" xfId="21" applyAlignment="1"/>
    <xf numFmtId="4" fontId="143" fillId="0" borderId="0" xfId="21" applyNumberFormat="1" applyAlignment="1"/>
    <xf numFmtId="0" fontId="6" fillId="0" borderId="0" xfId="230"/>
    <xf numFmtId="4" fontId="6" fillId="0" borderId="0" xfId="230" applyNumberFormat="1"/>
    <xf numFmtId="0" fontId="6" fillId="0" borderId="0" xfId="231"/>
    <xf numFmtId="4" fontId="6" fillId="0" borderId="0" xfId="231" applyNumberFormat="1"/>
    <xf numFmtId="0" fontId="6" fillId="0" borderId="0" xfId="230" applyFont="1"/>
    <xf numFmtId="0" fontId="6" fillId="0" borderId="0" xfId="230" applyAlignment="1">
      <alignment horizontal="center" wrapText="1"/>
    </xf>
    <xf numFmtId="0" fontId="133" fillId="0" borderId="0" xfId="230" applyFont="1" applyAlignment="1">
      <alignment horizontal="center" wrapText="1"/>
    </xf>
    <xf numFmtId="0" fontId="18" fillId="0" borderId="0" xfId="0" applyFont="1" applyAlignment="1">
      <alignment horizontal="center" vertical="center"/>
    </xf>
    <xf numFmtId="0" fontId="140" fillId="20" borderId="0" xfId="0"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xf numFmtId="0" fontId="18" fillId="0" borderId="0" xfId="0" applyFont="1" applyAlignment="1">
      <alignment horizontal="center" vertical="center" wrapText="1"/>
    </xf>
    <xf numFmtId="0" fontId="6" fillId="0" borderId="0" xfId="230" applyFill="1"/>
    <xf numFmtId="4" fontId="6" fillId="0" borderId="0" xfId="231" applyNumberFormat="1" applyFill="1"/>
    <xf numFmtId="0" fontId="6" fillId="0" borderId="0" xfId="231" applyFill="1"/>
    <xf numFmtId="0" fontId="6" fillId="0" borderId="0" xfId="231" applyFont="1" applyFill="1"/>
    <xf numFmtId="4" fontId="6" fillId="0" borderId="0" xfId="231" applyNumberFormat="1" applyFont="1" applyFill="1"/>
    <xf numFmtId="0" fontId="143" fillId="0" borderId="0" xfId="21" applyFill="1" applyAlignment="1"/>
    <xf numFmtId="4" fontId="143" fillId="0" borderId="0" xfId="21" applyNumberFormat="1" applyFill="1" applyAlignment="1"/>
    <xf numFmtId="4" fontId="6" fillId="0" borderId="0" xfId="230" applyNumberFormat="1" applyFill="1"/>
    <xf numFmtId="0" fontId="133" fillId="20" borderId="0" xfId="230" applyFont="1" applyFill="1" applyAlignment="1">
      <alignment horizontal="center" wrapText="1"/>
    </xf>
    <xf numFmtId="38" fontId="60" fillId="0" borderId="14" xfId="3" applyNumberFormat="1" applyFont="1" applyBorder="1" applyAlignment="1" applyProtection="1">
      <alignment horizontal="right"/>
      <protection locked="0"/>
    </xf>
    <xf numFmtId="39" fontId="143" fillId="0" borderId="0" xfId="21" applyNumberFormat="1" applyAlignment="1"/>
    <xf numFmtId="39" fontId="6" fillId="0" borderId="0" xfId="230" applyNumberFormat="1"/>
    <xf numFmtId="0" fontId="143" fillId="0" borderId="0" xfId="3288" applyAlignment="1"/>
    <xf numFmtId="39" fontId="143" fillId="0" borderId="0" xfId="3288" applyNumberFormat="1" applyAlignment="1"/>
    <xf numFmtId="0" fontId="143" fillId="20" borderId="0" xfId="21" applyFill="1" applyAlignment="1"/>
    <xf numFmtId="0" fontId="6" fillId="20" borderId="0" xfId="231" applyFill="1"/>
    <xf numFmtId="39" fontId="143" fillId="20" borderId="0" xfId="21" applyNumberFormat="1" applyFill="1" applyAlignment="1"/>
    <xf numFmtId="164" fontId="16" fillId="0" borderId="2" xfId="9" applyNumberFormat="1" applyFont="1" applyFill="1" applyBorder="1" applyAlignment="1" applyProtection="1">
      <alignment horizontal="left" vertical="center"/>
      <protection locked="0"/>
    </xf>
    <xf numFmtId="177" fontId="16" fillId="0" borderId="2" xfId="9" applyNumberFormat="1" applyFont="1" applyFill="1" applyBorder="1" applyAlignment="1" applyProtection="1">
      <alignment horizontal="right"/>
      <protection locked="0"/>
    </xf>
    <xf numFmtId="38" fontId="21" fillId="0" borderId="2" xfId="9" applyNumberFormat="1" applyFont="1" applyFill="1" applyBorder="1" applyAlignment="1" applyProtection="1">
      <alignment horizontal="right"/>
      <protection locked="0"/>
    </xf>
    <xf numFmtId="3" fontId="21" fillId="0" borderId="2" xfId="9" applyNumberFormat="1" applyFont="1" applyFill="1" applyBorder="1" applyAlignment="1" applyProtection="1">
      <alignment horizontal="right" vertical="center"/>
      <protection locked="0"/>
    </xf>
    <xf numFmtId="0" fontId="62" fillId="0" borderId="0" xfId="3" applyFont="1"/>
    <xf numFmtId="164" fontId="67" fillId="0" borderId="0" xfId="3" applyNumberFormat="1" applyFont="1"/>
    <xf numFmtId="164" fontId="67" fillId="0" borderId="0" xfId="3" applyNumberFormat="1" applyFont="1"/>
    <xf numFmtId="0" fontId="143" fillId="0" borderId="0" xfId="3288" applyFont="1" applyAlignment="1"/>
    <xf numFmtId="0" fontId="143" fillId="20" borderId="0" xfId="3288" applyFont="1" applyFill="1" applyAlignment="1"/>
    <xf numFmtId="0" fontId="143" fillId="0" borderId="0" xfId="3288" applyFont="1" applyAlignment="1">
      <alignment horizontal="left"/>
    </xf>
    <xf numFmtId="17" fontId="143" fillId="0" borderId="0" xfId="3288" applyNumberFormat="1" applyFont="1" applyAlignment="1">
      <alignment horizontal="left"/>
    </xf>
    <xf numFmtId="0" fontId="148" fillId="20" borderId="0" xfId="230" applyFont="1" applyFill="1" applyAlignment="1">
      <alignment horizontal="center" wrapText="1"/>
    </xf>
    <xf numFmtId="0" fontId="149" fillId="0" borderId="0" xfId="230" applyFont="1" applyAlignment="1">
      <alignment horizontal="left"/>
    </xf>
    <xf numFmtId="0" fontId="149" fillId="0" borderId="0" xfId="230" applyFont="1"/>
    <xf numFmtId="49" fontId="18" fillId="0" borderId="0" xfId="3" applyNumberFormat="1" applyFont="1" applyBorder="1" applyAlignment="1" applyProtection="1">
      <alignment horizontal="center" vertical="center"/>
    </xf>
    <xf numFmtId="0" fontId="15" fillId="0" borderId="0" xfId="3" applyProtection="1"/>
    <xf numFmtId="166" fontId="18" fillId="0" borderId="0" xfId="3" applyNumberFormat="1" applyFont="1" applyBorder="1" applyAlignment="1" applyProtection="1">
      <alignment horizontal="center" vertical="center"/>
    </xf>
    <xf numFmtId="0" fontId="18" fillId="0" borderId="0" xfId="3" applyFont="1" applyAlignment="1" applyProtection="1">
      <alignment horizontal="center" vertical="center"/>
    </xf>
    <xf numFmtId="171" fontId="18" fillId="0" borderId="0" xfId="3" applyNumberFormat="1" applyFont="1" applyAlignment="1" applyProtection="1">
      <alignment horizontal="center" vertical="center"/>
    </xf>
    <xf numFmtId="0" fontId="15" fillId="0" borderId="0" xfId="3" applyBorder="1" applyProtection="1"/>
    <xf numFmtId="0" fontId="151" fillId="0" borderId="0" xfId="3" applyFont="1" applyBorder="1" applyAlignment="1" applyProtection="1">
      <alignment horizontal="left"/>
    </xf>
    <xf numFmtId="0" fontId="39" fillId="0" borderId="0" xfId="3" applyFont="1" applyBorder="1" applyAlignment="1" applyProtection="1">
      <alignment horizontal="left"/>
    </xf>
    <xf numFmtId="0" fontId="39" fillId="0" borderId="0" xfId="3" applyFont="1" applyBorder="1" applyProtection="1"/>
    <xf numFmtId="0" fontId="18" fillId="0" borderId="0" xfId="3" applyFont="1" applyBorder="1" applyAlignment="1" applyProtection="1">
      <alignment horizontal="left"/>
    </xf>
    <xf numFmtId="0" fontId="16" fillId="0" borderId="0" xfId="3" applyFont="1" applyBorder="1" applyProtection="1"/>
    <xf numFmtId="0" fontId="18" fillId="0" borderId="0" xfId="3" applyFont="1" applyBorder="1" applyAlignment="1" applyProtection="1">
      <alignment horizontal="center"/>
    </xf>
    <xf numFmtId="178" fontId="18" fillId="0" borderId="9" xfId="3" applyNumberFormat="1" applyFont="1" applyBorder="1" applyAlignment="1" applyProtection="1">
      <alignment horizontal="center"/>
      <protection locked="0"/>
    </xf>
    <xf numFmtId="0" fontId="152" fillId="0" borderId="0" xfId="3" applyFont="1" applyBorder="1" applyAlignment="1" applyProtection="1">
      <alignment horizontal="left"/>
    </xf>
    <xf numFmtId="14" fontId="15" fillId="0" borderId="0" xfId="3" applyNumberFormat="1" applyAlignment="1" applyProtection="1">
      <alignment horizontal="left" indent="2"/>
      <protection locked="0"/>
    </xf>
    <xf numFmtId="0" fontId="15" fillId="0" borderId="0" xfId="3" applyBorder="1" applyProtection="1">
      <protection locked="0"/>
    </xf>
    <xf numFmtId="0" fontId="15" fillId="0" borderId="0" xfId="3" applyProtection="1">
      <protection locked="0"/>
    </xf>
    <xf numFmtId="0" fontId="17" fillId="0" borderId="0" xfId="3" applyFont="1" applyProtection="1"/>
    <xf numFmtId="0" fontId="153" fillId="0" borderId="0" xfId="3" applyFont="1" applyBorder="1" applyAlignment="1" applyProtection="1">
      <alignment horizontal="left"/>
    </xf>
    <xf numFmtId="0" fontId="16" fillId="0" borderId="0" xfId="3" applyFont="1" applyAlignment="1" applyProtection="1">
      <alignment horizontal="left"/>
    </xf>
    <xf numFmtId="0" fontId="16" fillId="0" borderId="0" xfId="3" applyFont="1" applyProtection="1"/>
    <xf numFmtId="0" fontId="41" fillId="0" borderId="0" xfId="3" applyFont="1" applyProtection="1"/>
    <xf numFmtId="0" fontId="153" fillId="0" borderId="0" xfId="3" applyFont="1" applyBorder="1" applyProtection="1"/>
    <xf numFmtId="0" fontId="153" fillId="0" borderId="0" xfId="3" applyFont="1" applyProtection="1"/>
    <xf numFmtId="49" fontId="138" fillId="0" borderId="105" xfId="4502" applyNumberFormat="1" applyFont="1" applyBorder="1" applyAlignment="1" applyProtection="1">
      <alignment horizontal="center" vertical="center"/>
      <protection locked="0"/>
    </xf>
    <xf numFmtId="49" fontId="138" fillId="0" borderId="109" xfId="4502" applyNumberFormat="1" applyFont="1" applyFill="1" applyBorder="1" applyAlignment="1" applyProtection="1">
      <alignment horizontal="center" vertical="center"/>
      <protection locked="0"/>
    </xf>
    <xf numFmtId="0" fontId="105" fillId="0" borderId="105" xfId="4502" applyFont="1" applyBorder="1" applyProtection="1">
      <protection locked="0"/>
    </xf>
    <xf numFmtId="49" fontId="138" fillId="0" borderId="107" xfId="4502" applyNumberFormat="1" applyFont="1" applyFill="1" applyBorder="1" applyAlignment="1" applyProtection="1">
      <alignment horizontal="center" vertical="center"/>
      <protection locked="0"/>
    </xf>
    <xf numFmtId="49" fontId="155" fillId="0" borderId="105" xfId="5693" applyNumberFormat="1" applyFont="1" applyBorder="1" applyAlignment="1" applyProtection="1">
      <alignment horizontal="center" vertical="center"/>
      <protection locked="0"/>
    </xf>
    <xf numFmtId="0" fontId="149" fillId="0" borderId="105" xfId="5693" applyFont="1" applyBorder="1" applyProtection="1">
      <protection locked="0"/>
    </xf>
    <xf numFmtId="49" fontId="154" fillId="0" borderId="107" xfId="5693" applyNumberFormat="1" applyFont="1" applyFill="1" applyBorder="1" applyAlignment="1" applyProtection="1">
      <alignment horizontal="center" vertical="center"/>
      <protection locked="0"/>
    </xf>
    <xf numFmtId="49" fontId="2" fillId="0" borderId="154" xfId="5043" applyNumberFormat="1" applyFont="1" applyBorder="1" applyAlignment="1" applyProtection="1">
      <alignment horizontal="center" vertical="center"/>
      <protection locked="0"/>
    </xf>
    <xf numFmtId="0" fontId="2" fillId="0" borderId="154" xfId="5043" applyFont="1" applyBorder="1" applyAlignment="1" applyProtection="1">
      <alignment horizontal="left" vertical="top" wrapText="1"/>
      <protection locked="0"/>
    </xf>
    <xf numFmtId="0" fontId="2" fillId="0" borderId="154" xfId="5043" applyFont="1" applyBorder="1" applyAlignment="1" applyProtection="1">
      <alignment vertical="top"/>
      <protection locked="0"/>
    </xf>
    <xf numFmtId="0" fontId="2" fillId="0" borderId="0" xfId="5043" applyFont="1" applyAlignment="1" applyProtection="1">
      <alignment horizontal="left" vertical="top" wrapText="1"/>
      <protection locked="0"/>
    </xf>
    <xf numFmtId="49" fontId="2" fillId="0" borderId="154" xfId="5043" applyNumberFormat="1" applyFont="1" applyBorder="1" applyAlignment="1" applyProtection="1">
      <alignment horizontal="center" vertical="top"/>
      <protection locked="0"/>
    </xf>
    <xf numFmtId="39" fontId="143" fillId="20" borderId="0" xfId="3288" applyNumberFormat="1" applyFill="1" applyAlignment="1"/>
    <xf numFmtId="38" fontId="60" fillId="0" borderId="2" xfId="9" applyNumberFormat="1" applyFont="1" applyFill="1" applyBorder="1" applyAlignment="1" applyProtection="1">
      <alignment horizontal="right"/>
      <protection locked="0"/>
    </xf>
    <xf numFmtId="0" fontId="143" fillId="0" borderId="0" xfId="21" applyAlignment="1"/>
    <xf numFmtId="39" fontId="143" fillId="0" borderId="0" xfId="21" applyNumberFormat="1" applyAlignment="1"/>
    <xf numFmtId="0" fontId="143" fillId="0" borderId="0" xfId="3288" applyAlignment="1"/>
    <xf numFmtId="0" fontId="143" fillId="0" borderId="0" xfId="3288" applyFont="1" applyAlignment="1"/>
    <xf numFmtId="0" fontId="143" fillId="0" borderId="0" xfId="3288" applyFont="1" applyAlignment="1">
      <alignment horizontal="left"/>
    </xf>
    <xf numFmtId="0" fontId="1" fillId="0" borderId="154" xfId="5043" applyFont="1" applyBorder="1" applyAlignment="1" applyProtection="1">
      <alignment vertical="top"/>
      <protection locked="0"/>
    </xf>
    <xf numFmtId="0" fontId="1" fillId="0" borderId="154" xfId="5043" applyFont="1" applyBorder="1" applyAlignment="1" applyProtection="1">
      <alignment horizontal="left" vertical="top" wrapText="1"/>
      <protection locked="0"/>
    </xf>
    <xf numFmtId="49" fontId="1" fillId="0" borderId="154" xfId="5043" applyNumberFormat="1" applyFont="1" applyBorder="1" applyAlignment="1" applyProtection="1">
      <alignment horizontal="center" vertical="center"/>
      <protection locked="0"/>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19"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9"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0" fontId="140" fillId="0" borderId="0" xfId="12" applyFont="1" applyBorder="1" applyAlignment="1" applyProtection="1">
      <alignment horizontal="center" vertical="center" wrapText="1"/>
    </xf>
    <xf numFmtId="0" fontId="140" fillId="0" borderId="18" xfId="12" applyFont="1" applyBorder="1" applyAlignment="1" applyProtection="1">
      <alignment horizontal="center" vertical="center" wrapText="1"/>
    </xf>
    <xf numFmtId="0" fontId="140" fillId="0" borderId="125" xfId="12" applyFont="1" applyBorder="1" applyAlignment="1" applyProtection="1">
      <alignment horizontal="center" vertical="center" wrapText="1"/>
    </xf>
    <xf numFmtId="0" fontId="140" fillId="0" borderId="123" xfId="12" applyFont="1" applyBorder="1" applyAlignment="1" applyProtection="1">
      <alignment horizontal="center" vertical="center" wrapText="1"/>
    </xf>
    <xf numFmtId="0" fontId="19" fillId="0" borderId="20" xfId="12" applyFont="1" applyBorder="1" applyAlignment="1" applyProtection="1">
      <alignment vertical="center"/>
    </xf>
    <xf numFmtId="180" fontId="18" fillId="0" borderId="19" xfId="12"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8" fillId="0" borderId="17" xfId="12" applyNumberFormat="1" applyFont="1" applyBorder="1" applyAlignment="1" applyProtection="1">
      <alignment horizontal="left" vertical="center" indent="1"/>
      <protection locked="0"/>
    </xf>
    <xf numFmtId="0" fontId="18" fillId="0" borderId="0" xfId="0" applyNumberFormat="1"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0" fontId="0" fillId="0" borderId="0" xfId="0" applyBorder="1" applyAlignment="1">
      <alignment horizontal="center" vertical="center"/>
    </xf>
    <xf numFmtId="49" fontId="18" fillId="0" borderId="0" xfId="12" applyNumberFormat="1" applyFont="1" applyBorder="1" applyAlignment="1" applyProtection="1">
      <alignment horizontal="center" vertical="center"/>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18" fillId="0" borderId="18" xfId="0"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19" xfId="12" applyNumberFormat="1"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8" fillId="0" borderId="19" xfId="12" applyNumberFormat="1" applyFont="1" applyBorder="1" applyAlignment="1" applyProtection="1">
      <alignment horizontal="left" vertical="center"/>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3" xfId="12" applyFont="1" applyBorder="1" applyAlignment="1" applyProtection="1">
      <alignment horizontal="left" vertical="center" indent="1"/>
      <protection locked="0"/>
    </xf>
    <xf numFmtId="0" fontId="18" fillId="0" borderId="123"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5"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0" xfId="0" applyFont="1" applyBorder="1" applyAlignment="1" applyProtection="1">
      <alignment horizontal="left" vertical="center" indent="1"/>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protection locked="0"/>
    </xf>
    <xf numFmtId="14" fontId="18" fillId="0" borderId="122" xfId="12" applyNumberFormat="1"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indent="1"/>
      <protection locked="0"/>
    </xf>
    <xf numFmtId="0" fontId="18" fillId="0" borderId="123" xfId="12" applyNumberFormat="1" applyFont="1" applyBorder="1" applyAlignment="1" applyProtection="1">
      <alignment horizontal="left" vertical="center" indent="1"/>
      <protection locked="0"/>
    </xf>
    <xf numFmtId="180" fontId="18" fillId="0" borderId="122" xfId="12" applyNumberFormat="1" applyFont="1" applyBorder="1" applyAlignment="1" applyProtection="1">
      <alignment horizontal="left" vertical="center" indent="1"/>
      <protection locked="0"/>
    </xf>
    <xf numFmtId="180" fontId="18" fillId="0" borderId="125" xfId="12" applyNumberFormat="1"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0" fontId="59" fillId="0" borderId="0" xfId="0" applyFont="1" applyBorder="1" applyAlignment="1">
      <alignment horizontal="center" vertical="center"/>
    </xf>
    <xf numFmtId="0" fontId="59" fillId="0" borderId="0" xfId="0" applyFont="1" applyBorder="1" applyAlignment="1">
      <alignment horizontal="center"/>
    </xf>
    <xf numFmtId="0" fontId="63" fillId="0" borderId="0" xfId="2" applyFont="1"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2" xfId="3" applyFont="1" applyBorder="1" applyAlignment="1" applyProtection="1">
      <alignment horizontal="left" vertical="top"/>
      <protection locked="0"/>
    </xf>
    <xf numFmtId="0" fontId="60" fillId="0" borderId="125"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59" fillId="0" borderId="131"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2" xfId="0" applyFont="1" applyBorder="1" applyAlignment="1" applyProtection="1">
      <alignment horizontal="left" vertical="top" wrapText="1"/>
      <protection locked="0"/>
    </xf>
    <xf numFmtId="0" fontId="60" fillId="0" borderId="125"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3" xfId="0" applyFont="1" applyFill="1" applyBorder="1" applyAlignment="1" applyProtection="1">
      <alignment horizontal="center" vertical="center" wrapText="1"/>
    </xf>
    <xf numFmtId="3" fontId="69" fillId="23" borderId="13" xfId="0" applyNumberFormat="1" applyFont="1" applyFill="1" applyBorder="1" applyAlignment="1" applyProtection="1">
      <alignment horizontal="left" vertical="center"/>
    </xf>
    <xf numFmtId="3" fontId="69" fillId="23" borderId="14" xfId="0" applyNumberFormat="1" applyFont="1" applyFill="1" applyBorder="1" applyAlignment="1" applyProtection="1">
      <alignment horizontal="left" vertical="center"/>
    </xf>
    <xf numFmtId="164" fontId="69" fillId="23" borderId="49" xfId="0" applyNumberFormat="1" applyFont="1" applyFill="1" applyBorder="1" applyAlignment="1" applyProtection="1">
      <alignment horizontal="left" vertical="center"/>
    </xf>
    <xf numFmtId="164" fontId="69" fillId="23" borderId="31" xfId="0" applyNumberFormat="1" applyFont="1" applyFill="1" applyBorder="1" applyAlignment="1" applyProtection="1">
      <alignment horizontal="left" vertical="center"/>
    </xf>
    <xf numFmtId="0" fontId="69" fillId="23" borderId="34" xfId="0" applyFont="1" applyFill="1" applyBorder="1" applyAlignment="1" applyProtection="1">
      <alignment horizontal="left" vertical="center"/>
    </xf>
    <xf numFmtId="0" fontId="69" fillId="23" borderId="31" xfId="0" applyFont="1" applyFill="1" applyBorder="1" applyAlignment="1" applyProtection="1">
      <alignment horizontal="left" vertical="center"/>
    </xf>
    <xf numFmtId="164" fontId="69" fillId="23" borderId="13" xfId="0" applyNumberFormat="1" applyFont="1" applyFill="1" applyBorder="1" applyAlignment="1" applyProtection="1">
      <alignment horizontal="left" vertical="center"/>
    </xf>
    <xf numFmtId="164" fontId="69" fillId="23"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xf>
    <xf numFmtId="0" fontId="69"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3"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5" borderId="13" xfId="0" applyNumberFormat="1" applyFont="1" applyFill="1" applyBorder="1" applyAlignment="1" applyProtection="1">
      <alignment horizontal="left" vertical="center" wrapText="1" indent="1"/>
    </xf>
    <xf numFmtId="164" fontId="69" fillId="25"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3" borderId="13" xfId="0" applyNumberFormat="1" applyFont="1" applyFill="1" applyBorder="1" applyAlignment="1" applyProtection="1">
      <alignment horizontal="left" vertical="center"/>
    </xf>
    <xf numFmtId="49" fontId="69" fillId="23" borderId="14" xfId="0" applyNumberFormat="1" applyFont="1" applyFill="1" applyBorder="1" applyAlignment="1" applyProtection="1">
      <alignment horizontal="left" vertical="center"/>
    </xf>
    <xf numFmtId="0" fontId="69" fillId="23" borderId="13" xfId="0" applyFont="1" applyFill="1" applyBorder="1" applyAlignment="1" applyProtection="1">
      <alignment vertical="center"/>
    </xf>
    <xf numFmtId="0" fontId="69" fillId="23"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0" borderId="18" xfId="0" applyNumberFormat="1" applyFont="1" applyBorder="1" applyAlignment="1" applyProtection="1">
      <alignment horizontal="center" vertical="center" wrapText="1"/>
    </xf>
    <xf numFmtId="0" fontId="70" fillId="23" borderId="19" xfId="0" applyFont="1" applyFill="1" applyBorder="1" applyAlignment="1">
      <alignment horizontal="center" vertical="center"/>
    </xf>
    <xf numFmtId="0" fontId="62" fillId="23" borderId="11" xfId="0" applyFont="1" applyFill="1" applyBorder="1" applyAlignment="1">
      <alignment horizontal="center" vertical="center"/>
    </xf>
    <xf numFmtId="0" fontId="70" fillId="24" borderId="20" xfId="0" applyFont="1" applyFill="1" applyBorder="1" applyAlignment="1">
      <alignment horizontal="center" vertical="center"/>
    </xf>
    <xf numFmtId="0" fontId="70" fillId="24" borderId="11" xfId="0" applyFont="1" applyFill="1" applyBorder="1" applyAlignment="1">
      <alignment horizontal="center" vertical="center"/>
    </xf>
    <xf numFmtId="0" fontId="62" fillId="24" borderId="11" xfId="0" applyFont="1" applyFill="1" applyBorder="1" applyAlignment="1">
      <alignment horizontal="center" vertical="center"/>
    </xf>
    <xf numFmtId="0" fontId="70" fillId="23" borderId="107" xfId="0" applyFont="1" applyFill="1" applyBorder="1" applyAlignment="1">
      <alignment horizontal="center" vertical="center"/>
    </xf>
    <xf numFmtId="0" fontId="62" fillId="23" borderId="128" xfId="0" applyFont="1" applyFill="1" applyBorder="1" applyAlignment="1">
      <alignment horizontal="center" vertical="center"/>
    </xf>
    <xf numFmtId="0" fontId="70" fillId="23"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3" borderId="20" xfId="0" applyFont="1" applyFill="1" applyBorder="1" applyAlignment="1">
      <alignment horizontal="center" vertical="center" wrapText="1"/>
    </xf>
    <xf numFmtId="0" fontId="62" fillId="23" borderId="11" xfId="0" applyFont="1" applyFill="1" applyBorder="1" applyAlignment="1">
      <alignment horizontal="center" vertical="center" wrapText="1"/>
    </xf>
    <xf numFmtId="3" fontId="70" fillId="23" borderId="13" xfId="0" applyNumberFormat="1" applyFont="1" applyFill="1" applyBorder="1" applyAlignment="1">
      <alignment horizontal="center" vertical="center"/>
    </xf>
    <xf numFmtId="0" fontId="62" fillId="23" borderId="14" xfId="0" applyFont="1" applyFill="1" applyBorder="1" applyAlignment="1">
      <alignment horizontal="center" vertical="center"/>
    </xf>
    <xf numFmtId="0" fontId="70" fillId="23" borderId="21" xfId="0" applyFont="1" applyFill="1" applyBorder="1" applyAlignment="1">
      <alignment horizontal="center" vertical="center"/>
    </xf>
    <xf numFmtId="3" fontId="69" fillId="15" borderId="10" xfId="0" applyNumberFormat="1" applyFont="1" applyFill="1" applyBorder="1" applyAlignment="1" applyProtection="1">
      <alignment horizontal="center" vertical="center" wrapText="1"/>
    </xf>
    <xf numFmtId="3" fontId="69" fillId="15" borderId="123" xfId="0" applyNumberFormat="1" applyFont="1" applyFill="1" applyBorder="1" applyAlignment="1" applyProtection="1">
      <alignment horizontal="center" vertical="center" wrapText="1"/>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0" fontId="70" fillId="12" borderId="13" xfId="9" applyFont="1" applyFill="1" applyBorder="1" applyAlignment="1">
      <alignment horizontal="center" vertical="center"/>
    </xf>
    <xf numFmtId="0" fontId="62" fillId="12" borderId="14" xfId="0" applyFont="1" applyFill="1" applyBorder="1" applyAlignment="1">
      <alignment horizontal="center" vertical="center"/>
    </xf>
    <xf numFmtId="0" fontId="69" fillId="6" borderId="13" xfId="0" applyFont="1" applyFill="1" applyBorder="1" applyAlignment="1" applyProtection="1">
      <alignment horizontal="left" vertical="center" wrapText="1"/>
    </xf>
    <xf numFmtId="49" fontId="70" fillId="12" borderId="13" xfId="0" applyNumberFormat="1" applyFont="1" applyFill="1" applyBorder="1" applyAlignment="1" applyProtection="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4" xfId="0" applyFont="1" applyBorder="1" applyAlignment="1" applyProtection="1">
      <alignment horizontal="left" vertical="center" wrapText="1" indent="1"/>
    </xf>
    <xf numFmtId="0" fontId="67" fillId="0" borderId="145" xfId="0" applyFont="1" applyBorder="1" applyAlignment="1" applyProtection="1">
      <alignment horizontal="left" vertical="center" wrapText="1" inden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Border="1" applyAlignment="1" applyProtection="1">
      <alignment horizontal="left" vertical="center" wrapText="1"/>
    </xf>
    <xf numFmtId="0" fontId="69" fillId="0" borderId="6" xfId="0" applyFont="1" applyBorder="1" applyAlignment="1" applyProtection="1">
      <alignment horizontal="left" vertical="center" wrapText="1"/>
    </xf>
    <xf numFmtId="0" fontId="62" fillId="0" borderId="6" xfId="0" applyFont="1" applyBorder="1" applyAlignment="1">
      <alignment wrapText="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3" xfId="0" applyFont="1" applyFill="1" applyBorder="1" applyAlignment="1" applyProtection="1">
      <alignment horizontal="left" vertical="center" indent="1"/>
    </xf>
    <xf numFmtId="0" fontId="69" fillId="3" borderId="144" xfId="0" applyFont="1" applyFill="1" applyBorder="1" applyAlignment="1" applyProtection="1">
      <alignment horizontal="left" vertical="center"/>
    </xf>
    <xf numFmtId="0" fontId="69" fillId="3" borderId="145" xfId="0" applyFont="1" applyFill="1" applyBorder="1" applyAlignment="1" applyProtection="1">
      <alignment horizontal="left" vertical="center"/>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3" borderId="143" xfId="0" applyFont="1" applyFill="1" applyBorder="1" applyAlignment="1" applyProtection="1">
      <alignment horizontal="left" vertical="center" indent="1"/>
    </xf>
    <xf numFmtId="0" fontId="70" fillId="23" borderId="144" xfId="0" applyFont="1" applyFill="1" applyBorder="1" applyAlignment="1" applyProtection="1">
      <alignment horizontal="left" vertical="center" indent="1"/>
    </xf>
    <xf numFmtId="0" fontId="70" fillId="23" borderId="145"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3" borderId="92" xfId="10" applyFont="1" applyFill="1" applyBorder="1" applyAlignment="1">
      <alignment horizontal="center" vertical="center" wrapText="1"/>
    </xf>
    <xf numFmtId="0" fontId="70" fillId="23" borderId="25" xfId="0" applyFont="1" applyFill="1" applyBorder="1" applyAlignment="1">
      <alignment horizontal="center" vertical="center" wrapText="1"/>
    </xf>
    <xf numFmtId="0" fontId="70" fillId="23" borderId="93" xfId="0" applyFont="1" applyFill="1" applyBorder="1" applyAlignment="1">
      <alignment horizontal="center" vertical="center" wrapText="1"/>
    </xf>
    <xf numFmtId="0" fontId="135" fillId="23" borderId="94" xfId="10" applyFont="1" applyFill="1" applyBorder="1" applyAlignment="1">
      <alignment horizontal="center" vertical="center"/>
    </xf>
    <xf numFmtId="0" fontId="60" fillId="23" borderId="47" xfId="0" applyFont="1" applyFill="1" applyBorder="1" applyAlignment="1">
      <alignment horizontal="center" vertical="center"/>
    </xf>
    <xf numFmtId="0" fontId="60" fillId="23"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7" applyFont="1" applyBorder="1" applyAlignment="1">
      <alignment horizontal="left" vertical="top" wrapText="1"/>
    </xf>
    <xf numFmtId="0" fontId="132" fillId="0" borderId="0" xfId="17" applyFont="1" applyBorder="1" applyAlignment="1">
      <alignment horizontal="left" vertical="top" wrapText="1"/>
    </xf>
    <xf numFmtId="0" fontId="132" fillId="0" borderId="97" xfId="17" applyFont="1" applyBorder="1" applyAlignment="1">
      <alignment horizontal="left" vertical="top" wrapText="1"/>
    </xf>
    <xf numFmtId="0" fontId="131" fillId="23" borderId="137" xfId="17" applyFont="1" applyFill="1" applyBorder="1" applyAlignment="1">
      <alignment horizontal="center" vertical="center"/>
    </xf>
    <xf numFmtId="0" fontId="131" fillId="23" borderId="138" xfId="17" applyFont="1" applyFill="1" applyBorder="1" applyAlignment="1">
      <alignment horizontal="center" vertical="center"/>
    </xf>
    <xf numFmtId="0" fontId="131" fillId="23" borderId="139" xfId="17" applyFont="1" applyFill="1" applyBorder="1" applyAlignment="1">
      <alignment horizontal="center" vertical="center"/>
    </xf>
    <xf numFmtId="0" fontId="131" fillId="23" borderId="98" xfId="17" applyFont="1" applyFill="1" applyBorder="1" applyAlignment="1">
      <alignment horizontal="center" vertical="center"/>
    </xf>
    <xf numFmtId="0" fontId="131" fillId="23" borderId="78" xfId="17" applyFont="1" applyFill="1" applyBorder="1" applyAlignment="1">
      <alignment horizontal="center" vertical="center"/>
    </xf>
    <xf numFmtId="0" fontId="131" fillId="23" borderId="99" xfId="17" applyFont="1" applyFill="1" applyBorder="1" applyAlignment="1">
      <alignment horizontal="center" vertical="center"/>
    </xf>
    <xf numFmtId="0" fontId="132" fillId="0" borderId="96" xfId="17" applyFont="1" applyBorder="1" applyAlignment="1">
      <alignment vertical="top" wrapText="1"/>
    </xf>
    <xf numFmtId="0" fontId="132" fillId="0" borderId="0" xfId="17" applyFont="1" applyBorder="1" applyAlignment="1">
      <alignment vertical="top" wrapText="1"/>
    </xf>
    <xf numFmtId="0" fontId="132" fillId="0" borderId="97" xfId="17" applyFont="1" applyBorder="1" applyAlignment="1">
      <alignment vertical="top" wrapText="1"/>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xf>
    <xf numFmtId="0" fontId="62" fillId="19" borderId="21" xfId="0" applyFont="1" applyFill="1" applyBorder="1" applyAlignment="1">
      <alignment horizontal="left" vertical="center" wrapText="1" indent="1"/>
    </xf>
    <xf numFmtId="0" fontId="62" fillId="19" borderId="14" xfId="0" applyFont="1" applyFill="1" applyBorder="1" applyAlignment="1">
      <alignment horizontal="left" vertical="center" wrapText="1" indent="1"/>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4" fillId="0" borderId="138" xfId="18" applyFont="1" applyBorder="1" applyAlignment="1" applyProtection="1">
      <alignment horizontal="center" vertical="top" wrapText="1"/>
      <protection locked="0"/>
    </xf>
    <xf numFmtId="0" fontId="54" fillId="0" borderId="139"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106" fillId="23" borderId="0" xfId="18" applyFont="1" applyFill="1" applyAlignment="1">
      <alignment horizontal="center" vertical="center"/>
    </xf>
    <xf numFmtId="0" fontId="78" fillId="0" borderId="134"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9" fillId="0" borderId="138" xfId="18" applyFont="1" applyBorder="1" applyAlignment="1" applyProtection="1">
      <alignment horizontal="center" vertical="top" wrapText="1"/>
      <protection locked="0"/>
    </xf>
    <xf numFmtId="0" fontId="9" fillId="0" borderId="139" xfId="18" applyFont="1" applyBorder="1" applyAlignment="1" applyProtection="1">
      <alignment horizontal="center" vertical="top" wrapText="1"/>
      <protection locked="0"/>
    </xf>
    <xf numFmtId="0" fontId="67" fillId="0" borderId="5" xfId="3" quotePrefix="1" applyNumberFormat="1" applyFont="1" applyBorder="1" applyAlignment="1">
      <alignment horizontal="left" vertical="top" wrapText="1" indent="2"/>
    </xf>
    <xf numFmtId="0" fontId="67" fillId="0" borderId="0" xfId="3" quotePrefix="1" applyNumberFormat="1" applyFont="1" applyBorder="1" applyAlignment="1">
      <alignment horizontal="left" vertical="top" wrapText="1" indent="2"/>
    </xf>
    <xf numFmtId="0" fontId="67" fillId="0" borderId="0" xfId="3" applyNumberFormat="1" applyFont="1" applyBorder="1" applyAlignment="1">
      <alignment horizontal="left" vertical="top" wrapText="1" indent="2"/>
    </xf>
    <xf numFmtId="0" fontId="62" fillId="0" borderId="0" xfId="3" applyFont="1" applyAlignment="1">
      <alignment horizontal="left" vertical="top" wrapText="1" indent="2"/>
    </xf>
    <xf numFmtId="0" fontId="67" fillId="0" borderId="0" xfId="3" applyNumberFormat="1" applyFont="1" applyAlignment="1">
      <alignment horizontal="left" vertical="top" wrapText="1" indent="2"/>
    </xf>
    <xf numFmtId="0" fontId="60" fillId="0" borderId="20" xfId="3" applyNumberFormat="1" applyFont="1" applyBorder="1" applyAlignment="1">
      <alignment horizontal="left" vertical="center" indent="1"/>
    </xf>
    <xf numFmtId="0" fontId="60" fillId="0" borderId="20" xfId="3" applyNumberFormat="1" applyFont="1" applyBorder="1" applyAlignment="1">
      <alignment horizontal="left" vertical="center"/>
    </xf>
    <xf numFmtId="0" fontId="60" fillId="23" borderId="17" xfId="3" applyNumberFormat="1" applyFont="1" applyFill="1" applyBorder="1" applyAlignment="1">
      <alignment horizontal="left" vertical="top" wrapText="1"/>
    </xf>
    <xf numFmtId="0" fontId="60" fillId="23" borderId="0" xfId="3" applyFont="1" applyFill="1" applyBorder="1" applyAlignment="1">
      <alignment vertical="top"/>
    </xf>
    <xf numFmtId="0" fontId="60" fillId="23" borderId="18" xfId="3" applyFont="1" applyFill="1" applyBorder="1" applyAlignment="1">
      <alignment vertical="top"/>
    </xf>
    <xf numFmtId="166" fontId="60" fillId="0" borderId="21" xfId="3" applyNumberFormat="1" applyFont="1" applyBorder="1" applyAlignment="1">
      <alignment horizontal="left" vertical="center" indent="1"/>
    </xf>
    <xf numFmtId="0" fontId="69" fillId="0" borderId="19" xfId="3" applyNumberFormat="1" applyFont="1" applyBorder="1" applyAlignment="1">
      <alignment horizontal="center" vertical="center"/>
    </xf>
    <xf numFmtId="0" fontId="62" fillId="0" borderId="20" xfId="3" applyFont="1" applyBorder="1" applyAlignment="1">
      <alignment horizontal="center" vertical="center"/>
    </xf>
    <xf numFmtId="0" fontId="62" fillId="0" borderId="11" xfId="3" applyFont="1" applyBorder="1" applyAlignment="1">
      <alignment horizontal="center" vertical="center"/>
    </xf>
    <xf numFmtId="0" fontId="67" fillId="0" borderId="21" xfId="3" applyNumberFormat="1" applyFont="1" applyBorder="1" applyAlignment="1">
      <alignment horizontal="left" vertical="center" wrapText="1"/>
    </xf>
    <xf numFmtId="0" fontId="62" fillId="0" borderId="21" xfId="3" applyFont="1" applyBorder="1" applyAlignment="1">
      <alignment horizontal="left" vertical="center" wrapText="1"/>
    </xf>
    <xf numFmtId="0" fontId="62" fillId="0" borderId="14" xfId="3" applyFont="1" applyBorder="1" applyAlignment="1">
      <alignment horizontal="left" vertical="center" wrapText="1"/>
    </xf>
    <xf numFmtId="0" fontId="69" fillId="0" borderId="21" xfId="3" applyNumberFormat="1" applyFont="1" applyBorder="1" applyAlignment="1">
      <alignment vertical="center"/>
    </xf>
    <xf numFmtId="0" fontId="69" fillId="0" borderId="14" xfId="3" applyNumberFormat="1" applyFont="1" applyBorder="1" applyAlignment="1">
      <alignment vertical="center"/>
    </xf>
    <xf numFmtId="0" fontId="78" fillId="0" borderId="130" xfId="3" applyFont="1" applyBorder="1" applyAlignment="1">
      <alignment horizontal="center" vertical="center" wrapText="1"/>
    </xf>
    <xf numFmtId="0" fontId="78" fillId="0" borderId="130" xfId="3" applyNumberFormat="1" applyFont="1" applyBorder="1" applyAlignment="1">
      <alignment horizontal="center"/>
    </xf>
    <xf numFmtId="0" fontId="62" fillId="0" borderId="131" xfId="3" applyNumberFormat="1" applyFont="1" applyBorder="1" applyAlignment="1" applyProtection="1">
      <alignment horizontal="center"/>
      <protection locked="0"/>
    </xf>
    <xf numFmtId="171" fontId="62" fillId="0" borderId="131" xfId="3" applyNumberFormat="1" applyFont="1" applyBorder="1" applyAlignment="1" applyProtection="1">
      <alignment horizontal="center"/>
      <protection locked="0"/>
    </xf>
    <xf numFmtId="0" fontId="62" fillId="0" borderId="131" xfId="3" applyNumberFormat="1" applyFont="1" applyBorder="1" applyAlignment="1" applyProtection="1">
      <alignment horizontal="center" vertical="center"/>
      <protection locked="0"/>
    </xf>
    <xf numFmtId="0" fontId="88" fillId="0" borderId="0" xfId="0" applyFont="1" applyAlignment="1">
      <alignment vertical="top" wrapText="1"/>
    </xf>
    <xf numFmtId="0" fontId="117" fillId="12" borderId="122" xfId="0" applyFont="1" applyFill="1" applyBorder="1" applyAlignment="1">
      <alignment horizontal="center" vertical="center"/>
    </xf>
    <xf numFmtId="0" fontId="117" fillId="12" borderId="125" xfId="0" applyFont="1" applyFill="1" applyBorder="1" applyAlignment="1">
      <alignment horizontal="center" vertical="center"/>
    </xf>
    <xf numFmtId="0" fontId="117" fillId="12" borderId="150"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2" xfId="0" applyNumberFormat="1" applyFont="1" applyFill="1" applyBorder="1" applyAlignment="1">
      <alignment horizontal="center" vertical="top"/>
    </xf>
    <xf numFmtId="164" fontId="118" fillId="12" borderId="125" xfId="0" applyNumberFormat="1" applyFont="1" applyFill="1" applyBorder="1" applyAlignment="1">
      <alignment horizontal="center" vertical="top"/>
    </xf>
    <xf numFmtId="164" fontId="118" fillId="12" borderId="150"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5" xfId="0" applyNumberFormat="1" applyFont="1" applyBorder="1" applyAlignment="1">
      <alignment horizontal="left" vertical="center" wrapText="1"/>
    </xf>
    <xf numFmtId="0" fontId="62" fillId="0" borderId="123"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1"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2"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5" fillId="0" borderId="13" xfId="3" applyNumberFormat="1" applyFont="1" applyBorder="1" applyAlignment="1">
      <alignment vertical="top" wrapText="1"/>
    </xf>
    <xf numFmtId="0" fontId="115" fillId="0" borderId="21" xfId="3" applyNumberFormat="1" applyFont="1" applyBorder="1" applyAlignment="1">
      <alignment vertical="top" wrapText="1"/>
    </xf>
    <xf numFmtId="0" fontId="115" fillId="0" borderId="14" xfId="3" applyNumberFormat="1" applyFont="1" applyBorder="1" applyAlignment="1">
      <alignment vertical="top" wrapText="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Border="1" applyAlignment="1">
      <alignment vertical="top"/>
    </xf>
    <xf numFmtId="0" fontId="88" fillId="0" borderId="0" xfId="3" applyFont="1" applyBorder="1" applyAlignment="1">
      <alignment vertical="top"/>
    </xf>
    <xf numFmtId="0" fontId="88" fillId="0" borderId="40" xfId="3" applyFont="1" applyBorder="1" applyAlignment="1">
      <alignment vertical="top"/>
    </xf>
    <xf numFmtId="0" fontId="88" fillId="0" borderId="50" xfId="3" applyFont="1" applyBorder="1" applyAlignment="1">
      <alignment vertical="top"/>
    </xf>
    <xf numFmtId="0" fontId="88" fillId="0" borderId="9" xfId="3" applyFont="1" applyBorder="1" applyAlignment="1">
      <alignment vertical="top"/>
    </xf>
    <xf numFmtId="0" fontId="88" fillId="0" borderId="59" xfId="3" applyFont="1" applyBorder="1" applyAlignment="1">
      <alignment vertical="top"/>
    </xf>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5" xfId="3" applyNumberFormat="1" applyFont="1" applyBorder="1" applyAlignment="1" applyProtection="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70" fillId="0" borderId="0" xfId="3" applyNumberFormat="1" applyFont="1" applyAlignment="1" applyProtection="1">
      <alignment horizontal="center" vertical="center"/>
    </xf>
    <xf numFmtId="0" fontId="60" fillId="0" borderId="143" xfId="3" applyNumberFormat="1" applyFont="1" applyBorder="1" applyProtection="1"/>
    <xf numFmtId="0" fontId="60" fillId="0" borderId="144"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4" xfId="3" applyNumberFormat="1" applyFont="1" applyBorder="1" applyAlignment="1" applyProtection="1">
      <alignment horizontal="left" indent="1"/>
      <protection locked="0"/>
    </xf>
    <xf numFmtId="0" fontId="70" fillId="0" borderId="144" xfId="3"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62" fillId="0" borderId="0" xfId="3" applyFont="1" applyAlignment="1">
      <alignment horizontal="center" vertical="center"/>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59"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70" fillId="0" borderId="0" xfId="3" applyNumberFormat="1" applyFont="1" applyAlignment="1">
      <alignment horizontal="center"/>
    </xf>
    <xf numFmtId="165" fontId="70"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0" fontId="59" fillId="0" borderId="0" xfId="3" applyNumberFormat="1" applyFont="1" applyAlignment="1" applyProtection="1">
      <alignment horizontal="center" vertic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3" fontId="60" fillId="0" borderId="77" xfId="3" applyNumberFormat="1" applyFont="1" applyBorder="1" applyAlignment="1" applyProtection="1">
      <alignment horizontal="right" indent="1"/>
      <protection locked="0"/>
    </xf>
    <xf numFmtId="0" fontId="59" fillId="0" borderId="0" xfId="3" applyFont="1" applyAlignment="1" applyProtection="1">
      <alignment horizontal="center"/>
    </xf>
    <xf numFmtId="0" fontId="59" fillId="0" borderId="78" xfId="3" applyFont="1" applyBorder="1" applyAlignment="1" applyProtection="1">
      <alignment horizontal="center"/>
    </xf>
    <xf numFmtId="0" fontId="67" fillId="0" borderId="0" xfId="3" applyFont="1" applyAlignment="1" applyProtection="1">
      <alignment horizontal="left" vertical="center" wrapText="1"/>
    </xf>
    <xf numFmtId="0" fontId="60" fillId="0" borderId="0" xfId="3" applyFont="1" applyBorder="1" applyAlignment="1" applyProtection="1">
      <alignment vertical="center" wrapText="1"/>
      <protection locked="0"/>
    </xf>
    <xf numFmtId="5" fontId="70" fillId="0" borderId="146" xfId="3" applyNumberFormat="1" applyFont="1" applyBorder="1" applyAlignment="1" applyProtection="1">
      <protection locked="0"/>
    </xf>
    <xf numFmtId="0" fontId="70" fillId="0" borderId="147" xfId="3" applyFont="1" applyBorder="1" applyAlignment="1" applyProtection="1">
      <protection locked="0"/>
    </xf>
    <xf numFmtId="0" fontId="67" fillId="0" borderId="0" xfId="3" applyFont="1" applyBorder="1" applyAlignment="1" applyProtection="1">
      <alignment horizontal="left" vertical="top" wrapText="1"/>
    </xf>
    <xf numFmtId="0" fontId="67" fillId="0" borderId="146"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7"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6" xfId="3" applyFont="1" applyBorder="1" applyAlignment="1" applyProtection="1">
      <alignment horizontal="center"/>
    </xf>
    <xf numFmtId="0" fontId="67" fillId="0" borderId="76" xfId="3" applyFont="1" applyBorder="1" applyAlignment="1" applyProtection="1">
      <alignment horizontal="center"/>
    </xf>
    <xf numFmtId="0" fontId="67" fillId="0" borderId="147" xfId="3" applyFont="1" applyBorder="1" applyAlignment="1" applyProtection="1">
      <alignment horizontal="center"/>
    </xf>
    <xf numFmtId="38" fontId="67" fillId="0" borderId="146"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7" xfId="3" applyNumberFormat="1" applyFont="1" applyBorder="1" applyAlignment="1" applyProtection="1">
      <alignment horizontal="right" vertical="center"/>
      <protection locked="0"/>
    </xf>
    <xf numFmtId="0" fontId="69" fillId="0" borderId="146"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7"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6" xfId="3" applyNumberFormat="1" applyFont="1" applyBorder="1" applyProtection="1">
      <protection locked="0"/>
    </xf>
    <xf numFmtId="6" fontId="67" fillId="0" borderId="147"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1" xfId="3" applyFont="1" applyBorder="1" applyAlignment="1" applyProtection="1">
      <alignment horizontal="center" vertical="center" wrapText="1"/>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Alignment="1" applyProtection="1">
      <alignment horizontal="center" vertical="center" wrapText="1"/>
    </xf>
    <xf numFmtId="0" fontId="15" fillId="0" borderId="0" xfId="3" applyBorder="1" applyAlignment="1" applyProtection="1">
      <alignment horizontal="left" vertical="top" wrapText="1"/>
      <protection locked="0"/>
    </xf>
    <xf numFmtId="0" fontId="15" fillId="0" borderId="0" xfId="3" applyAlignment="1" applyProtection="1">
      <alignment horizontal="left" vertical="top" wrapText="1"/>
      <protection locked="0"/>
    </xf>
    <xf numFmtId="0" fontId="18" fillId="0" borderId="0" xfId="3" applyNumberFormat="1" applyFont="1" applyBorder="1" applyAlignment="1" applyProtection="1">
      <alignment horizontal="center" vertical="center" wrapText="1"/>
    </xf>
    <xf numFmtId="165" fontId="18" fillId="0" borderId="0" xfId="3" applyNumberFormat="1" applyFont="1" applyBorder="1" applyAlignment="1" applyProtection="1">
      <alignment horizontal="center" vertical="center" wrapText="1"/>
    </xf>
    <xf numFmtId="0" fontId="25" fillId="0" borderId="0" xfId="3" applyFont="1" applyAlignment="1" applyProtection="1">
      <alignment horizontal="center" vertical="center" wrapText="1"/>
    </xf>
    <xf numFmtId="171" fontId="25" fillId="0" borderId="0" xfId="3" applyNumberFormat="1" applyFont="1" applyAlignment="1" applyProtection="1">
      <alignment horizontal="center" vertical="center" wrapText="1"/>
    </xf>
  </cellXfs>
  <cellStyles count="8953">
    <cellStyle name="Comma" xfId="1" builtinId="3"/>
    <cellStyle name="Currency 2" xfId="22" xr:uid="{00000000-0005-0000-0000-000001000000}"/>
    <cellStyle name="Currency 2 10" xfId="453" xr:uid="{00000000-0005-0000-0000-000002000000}"/>
    <cellStyle name="Currency 2 10 2" xfId="1880" xr:uid="{00000000-0005-0000-0000-000003000000}"/>
    <cellStyle name="Currency 2 10 2 2" xfId="6381" xr:uid="{00000000-0005-0000-0000-000004000000}"/>
    <cellStyle name="Currency 2 10 3" xfId="4097" xr:uid="{00000000-0005-0000-0000-000005000000}"/>
    <cellStyle name="Currency 2 10 3 2" xfId="8563" xr:uid="{00000000-0005-0000-0000-000006000000}"/>
    <cellStyle name="Currency 2 10 4" xfId="5309" xr:uid="{00000000-0005-0000-0000-000007000000}"/>
    <cellStyle name="Currency 2 11" xfId="239" xr:uid="{00000000-0005-0000-0000-000008000000}"/>
    <cellStyle name="Currency 2 11 2" xfId="3833" xr:uid="{00000000-0005-0000-0000-000009000000}"/>
    <cellStyle name="Currency 2 11 2 2" xfId="8299" xr:uid="{00000000-0005-0000-0000-00000A000000}"/>
    <cellStyle name="Currency 2 11 3" xfId="5045" xr:uid="{00000000-0005-0000-0000-00000B000000}"/>
    <cellStyle name="Currency 2 12" xfId="3294" xr:uid="{00000000-0005-0000-0000-00000C000000}"/>
    <cellStyle name="Currency 2 12 2" xfId="7760" xr:uid="{00000000-0005-0000-0000-00000D000000}"/>
    <cellStyle name="Currency 2 13" xfId="4505" xr:uid="{00000000-0005-0000-0000-00000E000000}"/>
    <cellStyle name="Currency 2 2" xfId="23" xr:uid="{00000000-0005-0000-0000-00000F000000}"/>
    <cellStyle name="Currency 2 2 10" xfId="240" xr:uid="{00000000-0005-0000-0000-000010000000}"/>
    <cellStyle name="Currency 2 2 10 2" xfId="3834" xr:uid="{00000000-0005-0000-0000-000011000000}"/>
    <cellStyle name="Currency 2 2 10 2 2" xfId="8300" xr:uid="{00000000-0005-0000-0000-000012000000}"/>
    <cellStyle name="Currency 2 2 10 3" xfId="5046" xr:uid="{00000000-0005-0000-0000-000013000000}"/>
    <cellStyle name="Currency 2 2 11" xfId="3295" xr:uid="{00000000-0005-0000-0000-000014000000}"/>
    <cellStyle name="Currency 2 2 11 2" xfId="7761" xr:uid="{00000000-0005-0000-0000-000015000000}"/>
    <cellStyle name="Currency 2 2 12" xfId="4506" xr:uid="{00000000-0005-0000-0000-000016000000}"/>
    <cellStyle name="Currency 2 2 2" xfId="24" xr:uid="{00000000-0005-0000-0000-000017000000}"/>
    <cellStyle name="Currency 2 2 2 10" xfId="4507" xr:uid="{00000000-0005-0000-0000-000018000000}"/>
    <cellStyle name="Currency 2 2 2 2" xfId="25" xr:uid="{00000000-0005-0000-0000-000019000000}"/>
    <cellStyle name="Currency 2 2 2 2 2" xfId="26" xr:uid="{00000000-0005-0000-0000-00001A000000}"/>
    <cellStyle name="Currency 2 2 2 2 2 2" xfId="27" xr:uid="{00000000-0005-0000-0000-00001B000000}"/>
    <cellStyle name="Currency 2 2 2 2 2 2 2" xfId="454" xr:uid="{00000000-0005-0000-0000-00001C000000}"/>
    <cellStyle name="Currency 2 2 2 2 2 2 2 2" xfId="455" xr:uid="{00000000-0005-0000-0000-00001D000000}"/>
    <cellStyle name="Currency 2 2 2 2 2 2 2 2 2" xfId="1881" xr:uid="{00000000-0005-0000-0000-00001E000000}"/>
    <cellStyle name="Currency 2 2 2 2 2 2 2 2 2 2" xfId="6382" xr:uid="{00000000-0005-0000-0000-00001F000000}"/>
    <cellStyle name="Currency 2 2 2 2 2 2 2 2 3" xfId="4098" xr:uid="{00000000-0005-0000-0000-000020000000}"/>
    <cellStyle name="Currency 2 2 2 2 2 2 2 2 3 2" xfId="8564" xr:uid="{00000000-0005-0000-0000-000021000000}"/>
    <cellStyle name="Currency 2 2 2 2 2 2 2 2 4" xfId="5310" xr:uid="{00000000-0005-0000-0000-000022000000}"/>
    <cellStyle name="Currency 2 2 2 2 2 2 2 3" xfId="1882" xr:uid="{00000000-0005-0000-0000-000023000000}"/>
    <cellStyle name="Currency 2 2 2 2 2 2 2 3 2" xfId="6383" xr:uid="{00000000-0005-0000-0000-000024000000}"/>
    <cellStyle name="Currency 2 2 2 2 2 2 2 4" xfId="3300" xr:uid="{00000000-0005-0000-0000-000025000000}"/>
    <cellStyle name="Currency 2 2 2 2 2 2 2 4 2" xfId="7766" xr:uid="{00000000-0005-0000-0000-000026000000}"/>
    <cellStyle name="Currency 2 2 2 2 2 2 2 5" xfId="4511" xr:uid="{00000000-0005-0000-0000-000027000000}"/>
    <cellStyle name="Currency 2 2 2 2 2 2 3" xfId="456" xr:uid="{00000000-0005-0000-0000-000028000000}"/>
    <cellStyle name="Currency 2 2 2 2 2 2 3 2" xfId="457" xr:uid="{00000000-0005-0000-0000-000029000000}"/>
    <cellStyle name="Currency 2 2 2 2 2 2 3 2 2" xfId="1883" xr:uid="{00000000-0005-0000-0000-00002A000000}"/>
    <cellStyle name="Currency 2 2 2 2 2 2 3 2 2 2" xfId="6384" xr:uid="{00000000-0005-0000-0000-00002B000000}"/>
    <cellStyle name="Currency 2 2 2 2 2 2 3 2 3" xfId="5954" xr:uid="{00000000-0005-0000-0000-00002C000000}"/>
    <cellStyle name="Currency 2 2 2 2 2 2 3 3" xfId="1884" xr:uid="{00000000-0005-0000-0000-00002D000000}"/>
    <cellStyle name="Currency 2 2 2 2 2 2 3 3 2" xfId="6385" xr:uid="{00000000-0005-0000-0000-00002E000000}"/>
    <cellStyle name="Currency 2 2 2 2 2 2 3 4" xfId="3838" xr:uid="{00000000-0005-0000-0000-00002F000000}"/>
    <cellStyle name="Currency 2 2 2 2 2 2 3 4 2" xfId="8304" xr:uid="{00000000-0005-0000-0000-000030000000}"/>
    <cellStyle name="Currency 2 2 2 2 2 2 3 5" xfId="5050" xr:uid="{00000000-0005-0000-0000-000031000000}"/>
    <cellStyle name="Currency 2 2 2 2 2 2 4" xfId="458" xr:uid="{00000000-0005-0000-0000-000032000000}"/>
    <cellStyle name="Currency 2 2 2 2 2 2 4 2" xfId="1885" xr:uid="{00000000-0005-0000-0000-000033000000}"/>
    <cellStyle name="Currency 2 2 2 2 2 2 4 2 2" xfId="6386" xr:uid="{00000000-0005-0000-0000-000034000000}"/>
    <cellStyle name="Currency 2 2 2 2 2 2 4 3" xfId="6076" xr:uid="{00000000-0005-0000-0000-000035000000}"/>
    <cellStyle name="Currency 2 2 2 2 2 2 5" xfId="244" xr:uid="{00000000-0005-0000-0000-000036000000}"/>
    <cellStyle name="Currency 2 2 2 2 2 2 5 2" xfId="5996" xr:uid="{00000000-0005-0000-0000-000037000000}"/>
    <cellStyle name="Currency 2 2 2 2 2 2 6" xfId="3299" xr:uid="{00000000-0005-0000-0000-000038000000}"/>
    <cellStyle name="Currency 2 2 2 2 2 2 6 2" xfId="7765" xr:uid="{00000000-0005-0000-0000-000039000000}"/>
    <cellStyle name="Currency 2 2 2 2 2 2 7" xfId="4510" xr:uid="{00000000-0005-0000-0000-00003A000000}"/>
    <cellStyle name="Currency 2 2 2 2 2 3" xfId="459" xr:uid="{00000000-0005-0000-0000-00003B000000}"/>
    <cellStyle name="Currency 2 2 2 2 2 3 2" xfId="460" xr:uid="{00000000-0005-0000-0000-00003C000000}"/>
    <cellStyle name="Currency 2 2 2 2 2 3 2 2" xfId="1886" xr:uid="{00000000-0005-0000-0000-00003D000000}"/>
    <cellStyle name="Currency 2 2 2 2 2 3 2 2 2" xfId="6387" xr:uid="{00000000-0005-0000-0000-00003E000000}"/>
    <cellStyle name="Currency 2 2 2 2 2 3 2 3" xfId="4099" xr:uid="{00000000-0005-0000-0000-00003F000000}"/>
    <cellStyle name="Currency 2 2 2 2 2 3 2 3 2" xfId="8565" xr:uid="{00000000-0005-0000-0000-000040000000}"/>
    <cellStyle name="Currency 2 2 2 2 2 3 2 4" xfId="5311" xr:uid="{00000000-0005-0000-0000-000041000000}"/>
    <cellStyle name="Currency 2 2 2 2 2 3 3" xfId="1887" xr:uid="{00000000-0005-0000-0000-000042000000}"/>
    <cellStyle name="Currency 2 2 2 2 2 3 3 2" xfId="6388" xr:uid="{00000000-0005-0000-0000-000043000000}"/>
    <cellStyle name="Currency 2 2 2 2 2 3 4" xfId="3301" xr:uid="{00000000-0005-0000-0000-000044000000}"/>
    <cellStyle name="Currency 2 2 2 2 2 3 4 2" xfId="7767" xr:uid="{00000000-0005-0000-0000-000045000000}"/>
    <cellStyle name="Currency 2 2 2 2 2 3 5" xfId="4512" xr:uid="{00000000-0005-0000-0000-000046000000}"/>
    <cellStyle name="Currency 2 2 2 2 2 4" xfId="461" xr:uid="{00000000-0005-0000-0000-000047000000}"/>
    <cellStyle name="Currency 2 2 2 2 2 4 2" xfId="462" xr:uid="{00000000-0005-0000-0000-000048000000}"/>
    <cellStyle name="Currency 2 2 2 2 2 4 2 2" xfId="1888" xr:uid="{00000000-0005-0000-0000-000049000000}"/>
    <cellStyle name="Currency 2 2 2 2 2 4 2 2 2" xfId="6389" xr:uid="{00000000-0005-0000-0000-00004A000000}"/>
    <cellStyle name="Currency 2 2 2 2 2 4 2 3" xfId="5952" xr:uid="{00000000-0005-0000-0000-00004B000000}"/>
    <cellStyle name="Currency 2 2 2 2 2 4 3" xfId="1889" xr:uid="{00000000-0005-0000-0000-00004C000000}"/>
    <cellStyle name="Currency 2 2 2 2 2 4 3 2" xfId="6390" xr:uid="{00000000-0005-0000-0000-00004D000000}"/>
    <cellStyle name="Currency 2 2 2 2 2 4 4" xfId="3837" xr:uid="{00000000-0005-0000-0000-00004E000000}"/>
    <cellStyle name="Currency 2 2 2 2 2 4 4 2" xfId="8303" xr:uid="{00000000-0005-0000-0000-00004F000000}"/>
    <cellStyle name="Currency 2 2 2 2 2 4 5" xfId="5049" xr:uid="{00000000-0005-0000-0000-000050000000}"/>
    <cellStyle name="Currency 2 2 2 2 2 5" xfId="463" xr:uid="{00000000-0005-0000-0000-000051000000}"/>
    <cellStyle name="Currency 2 2 2 2 2 5 2" xfId="1890" xr:uid="{00000000-0005-0000-0000-000052000000}"/>
    <cellStyle name="Currency 2 2 2 2 2 5 2 2" xfId="6391" xr:uid="{00000000-0005-0000-0000-000053000000}"/>
    <cellStyle name="Currency 2 2 2 2 2 5 3" xfId="6075" xr:uid="{00000000-0005-0000-0000-000054000000}"/>
    <cellStyle name="Currency 2 2 2 2 2 6" xfId="243" xr:uid="{00000000-0005-0000-0000-000055000000}"/>
    <cellStyle name="Currency 2 2 2 2 2 6 2" xfId="5895" xr:uid="{00000000-0005-0000-0000-000056000000}"/>
    <cellStyle name="Currency 2 2 2 2 2 7" xfId="3298" xr:uid="{00000000-0005-0000-0000-000057000000}"/>
    <cellStyle name="Currency 2 2 2 2 2 7 2" xfId="7764" xr:uid="{00000000-0005-0000-0000-000058000000}"/>
    <cellStyle name="Currency 2 2 2 2 2 8" xfId="4509" xr:uid="{00000000-0005-0000-0000-000059000000}"/>
    <cellStyle name="Currency 2 2 2 2 3" xfId="28" xr:uid="{00000000-0005-0000-0000-00005A000000}"/>
    <cellStyle name="Currency 2 2 2 2 3 2" xfId="464" xr:uid="{00000000-0005-0000-0000-00005B000000}"/>
    <cellStyle name="Currency 2 2 2 2 3 2 2" xfId="465" xr:uid="{00000000-0005-0000-0000-00005C000000}"/>
    <cellStyle name="Currency 2 2 2 2 3 2 2 2" xfId="1891" xr:uid="{00000000-0005-0000-0000-00005D000000}"/>
    <cellStyle name="Currency 2 2 2 2 3 2 2 2 2" xfId="6392" xr:uid="{00000000-0005-0000-0000-00005E000000}"/>
    <cellStyle name="Currency 2 2 2 2 3 2 2 3" xfId="4100" xr:uid="{00000000-0005-0000-0000-00005F000000}"/>
    <cellStyle name="Currency 2 2 2 2 3 2 2 3 2" xfId="8566" xr:uid="{00000000-0005-0000-0000-000060000000}"/>
    <cellStyle name="Currency 2 2 2 2 3 2 2 4" xfId="5312" xr:uid="{00000000-0005-0000-0000-000061000000}"/>
    <cellStyle name="Currency 2 2 2 2 3 2 3" xfId="1892" xr:uid="{00000000-0005-0000-0000-000062000000}"/>
    <cellStyle name="Currency 2 2 2 2 3 2 3 2" xfId="6393" xr:uid="{00000000-0005-0000-0000-000063000000}"/>
    <cellStyle name="Currency 2 2 2 2 3 2 4" xfId="3303" xr:uid="{00000000-0005-0000-0000-000064000000}"/>
    <cellStyle name="Currency 2 2 2 2 3 2 4 2" xfId="7769" xr:uid="{00000000-0005-0000-0000-000065000000}"/>
    <cellStyle name="Currency 2 2 2 2 3 2 5" xfId="4514" xr:uid="{00000000-0005-0000-0000-000066000000}"/>
    <cellStyle name="Currency 2 2 2 2 3 3" xfId="466" xr:uid="{00000000-0005-0000-0000-000067000000}"/>
    <cellStyle name="Currency 2 2 2 2 3 3 2" xfId="467" xr:uid="{00000000-0005-0000-0000-000068000000}"/>
    <cellStyle name="Currency 2 2 2 2 3 3 2 2" xfId="1893" xr:uid="{00000000-0005-0000-0000-000069000000}"/>
    <cellStyle name="Currency 2 2 2 2 3 3 2 2 2" xfId="6394" xr:uid="{00000000-0005-0000-0000-00006A000000}"/>
    <cellStyle name="Currency 2 2 2 2 3 3 2 3" xfId="5820" xr:uid="{00000000-0005-0000-0000-00006B000000}"/>
    <cellStyle name="Currency 2 2 2 2 3 3 3" xfId="1894" xr:uid="{00000000-0005-0000-0000-00006C000000}"/>
    <cellStyle name="Currency 2 2 2 2 3 3 3 2" xfId="6395" xr:uid="{00000000-0005-0000-0000-00006D000000}"/>
    <cellStyle name="Currency 2 2 2 2 3 3 4" xfId="3839" xr:uid="{00000000-0005-0000-0000-00006E000000}"/>
    <cellStyle name="Currency 2 2 2 2 3 3 4 2" xfId="8305" xr:uid="{00000000-0005-0000-0000-00006F000000}"/>
    <cellStyle name="Currency 2 2 2 2 3 3 5" xfId="5051" xr:uid="{00000000-0005-0000-0000-000070000000}"/>
    <cellStyle name="Currency 2 2 2 2 3 4" xfId="468" xr:uid="{00000000-0005-0000-0000-000071000000}"/>
    <cellStyle name="Currency 2 2 2 2 3 4 2" xfId="1895" xr:uid="{00000000-0005-0000-0000-000072000000}"/>
    <cellStyle name="Currency 2 2 2 2 3 4 2 2" xfId="6396" xr:uid="{00000000-0005-0000-0000-000073000000}"/>
    <cellStyle name="Currency 2 2 2 2 3 4 3" xfId="5819" xr:uid="{00000000-0005-0000-0000-000074000000}"/>
    <cellStyle name="Currency 2 2 2 2 3 5" xfId="245" xr:uid="{00000000-0005-0000-0000-000075000000}"/>
    <cellStyle name="Currency 2 2 2 2 3 5 2" xfId="6136" xr:uid="{00000000-0005-0000-0000-000076000000}"/>
    <cellStyle name="Currency 2 2 2 2 3 6" xfId="3302" xr:uid="{00000000-0005-0000-0000-000077000000}"/>
    <cellStyle name="Currency 2 2 2 2 3 6 2" xfId="7768" xr:uid="{00000000-0005-0000-0000-000078000000}"/>
    <cellStyle name="Currency 2 2 2 2 3 7" xfId="4513" xr:uid="{00000000-0005-0000-0000-000079000000}"/>
    <cellStyle name="Currency 2 2 2 2 4" xfId="469" xr:uid="{00000000-0005-0000-0000-00007A000000}"/>
    <cellStyle name="Currency 2 2 2 2 4 2" xfId="470" xr:uid="{00000000-0005-0000-0000-00007B000000}"/>
    <cellStyle name="Currency 2 2 2 2 4 2 2" xfId="1896" xr:uid="{00000000-0005-0000-0000-00007C000000}"/>
    <cellStyle name="Currency 2 2 2 2 4 2 2 2" xfId="6397" xr:uid="{00000000-0005-0000-0000-00007D000000}"/>
    <cellStyle name="Currency 2 2 2 2 4 2 3" xfId="4101" xr:uid="{00000000-0005-0000-0000-00007E000000}"/>
    <cellStyle name="Currency 2 2 2 2 4 2 3 2" xfId="8567" xr:uid="{00000000-0005-0000-0000-00007F000000}"/>
    <cellStyle name="Currency 2 2 2 2 4 2 4" xfId="5313" xr:uid="{00000000-0005-0000-0000-000080000000}"/>
    <cellStyle name="Currency 2 2 2 2 4 3" xfId="1897" xr:uid="{00000000-0005-0000-0000-000081000000}"/>
    <cellStyle name="Currency 2 2 2 2 4 3 2" xfId="6398" xr:uid="{00000000-0005-0000-0000-000082000000}"/>
    <cellStyle name="Currency 2 2 2 2 4 4" xfId="3304" xr:uid="{00000000-0005-0000-0000-000083000000}"/>
    <cellStyle name="Currency 2 2 2 2 4 4 2" xfId="7770" xr:uid="{00000000-0005-0000-0000-000084000000}"/>
    <cellStyle name="Currency 2 2 2 2 4 5" xfId="4515" xr:uid="{00000000-0005-0000-0000-000085000000}"/>
    <cellStyle name="Currency 2 2 2 2 5" xfId="471" xr:uid="{00000000-0005-0000-0000-000086000000}"/>
    <cellStyle name="Currency 2 2 2 2 5 2" xfId="472" xr:uid="{00000000-0005-0000-0000-000087000000}"/>
    <cellStyle name="Currency 2 2 2 2 5 2 2" xfId="1898" xr:uid="{00000000-0005-0000-0000-000088000000}"/>
    <cellStyle name="Currency 2 2 2 2 5 2 2 2" xfId="6399" xr:uid="{00000000-0005-0000-0000-000089000000}"/>
    <cellStyle name="Currency 2 2 2 2 5 2 3" xfId="5953" xr:uid="{00000000-0005-0000-0000-00008A000000}"/>
    <cellStyle name="Currency 2 2 2 2 5 3" xfId="1899" xr:uid="{00000000-0005-0000-0000-00008B000000}"/>
    <cellStyle name="Currency 2 2 2 2 5 3 2" xfId="6400" xr:uid="{00000000-0005-0000-0000-00008C000000}"/>
    <cellStyle name="Currency 2 2 2 2 5 4" xfId="3836" xr:uid="{00000000-0005-0000-0000-00008D000000}"/>
    <cellStyle name="Currency 2 2 2 2 5 4 2" xfId="8302" xr:uid="{00000000-0005-0000-0000-00008E000000}"/>
    <cellStyle name="Currency 2 2 2 2 5 5" xfId="5048" xr:uid="{00000000-0005-0000-0000-00008F000000}"/>
    <cellStyle name="Currency 2 2 2 2 6" xfId="473" xr:uid="{00000000-0005-0000-0000-000090000000}"/>
    <cellStyle name="Currency 2 2 2 2 6 2" xfId="1900" xr:uid="{00000000-0005-0000-0000-000091000000}"/>
    <cellStyle name="Currency 2 2 2 2 6 2 2" xfId="6401" xr:uid="{00000000-0005-0000-0000-000092000000}"/>
    <cellStyle name="Currency 2 2 2 2 6 3" xfId="6074" xr:uid="{00000000-0005-0000-0000-000093000000}"/>
    <cellStyle name="Currency 2 2 2 2 7" xfId="242" xr:uid="{00000000-0005-0000-0000-000094000000}"/>
    <cellStyle name="Currency 2 2 2 2 7 2" xfId="6137" xr:uid="{00000000-0005-0000-0000-000095000000}"/>
    <cellStyle name="Currency 2 2 2 2 8" xfId="3297" xr:uid="{00000000-0005-0000-0000-000096000000}"/>
    <cellStyle name="Currency 2 2 2 2 8 2" xfId="7763" xr:uid="{00000000-0005-0000-0000-000097000000}"/>
    <cellStyle name="Currency 2 2 2 2 9" xfId="4508" xr:uid="{00000000-0005-0000-0000-000098000000}"/>
    <cellStyle name="Currency 2 2 2 3" xfId="29" xr:uid="{00000000-0005-0000-0000-000099000000}"/>
    <cellStyle name="Currency 2 2 2 3 2" xfId="30" xr:uid="{00000000-0005-0000-0000-00009A000000}"/>
    <cellStyle name="Currency 2 2 2 3 2 2" xfId="474" xr:uid="{00000000-0005-0000-0000-00009B000000}"/>
    <cellStyle name="Currency 2 2 2 3 2 2 2" xfId="475" xr:uid="{00000000-0005-0000-0000-00009C000000}"/>
    <cellStyle name="Currency 2 2 2 3 2 2 2 2" xfId="1901" xr:uid="{00000000-0005-0000-0000-00009D000000}"/>
    <cellStyle name="Currency 2 2 2 3 2 2 2 2 2" xfId="6402" xr:uid="{00000000-0005-0000-0000-00009E000000}"/>
    <cellStyle name="Currency 2 2 2 3 2 2 2 3" xfId="4102" xr:uid="{00000000-0005-0000-0000-00009F000000}"/>
    <cellStyle name="Currency 2 2 2 3 2 2 2 3 2" xfId="8568" xr:uid="{00000000-0005-0000-0000-0000A0000000}"/>
    <cellStyle name="Currency 2 2 2 3 2 2 2 4" xfId="5314" xr:uid="{00000000-0005-0000-0000-0000A1000000}"/>
    <cellStyle name="Currency 2 2 2 3 2 2 3" xfId="1902" xr:uid="{00000000-0005-0000-0000-0000A2000000}"/>
    <cellStyle name="Currency 2 2 2 3 2 2 3 2" xfId="6403" xr:uid="{00000000-0005-0000-0000-0000A3000000}"/>
    <cellStyle name="Currency 2 2 2 3 2 2 4" xfId="3307" xr:uid="{00000000-0005-0000-0000-0000A4000000}"/>
    <cellStyle name="Currency 2 2 2 3 2 2 4 2" xfId="7773" xr:uid="{00000000-0005-0000-0000-0000A5000000}"/>
    <cellStyle name="Currency 2 2 2 3 2 2 5" xfId="4518" xr:uid="{00000000-0005-0000-0000-0000A6000000}"/>
    <cellStyle name="Currency 2 2 2 3 2 3" xfId="476" xr:uid="{00000000-0005-0000-0000-0000A7000000}"/>
    <cellStyle name="Currency 2 2 2 3 2 3 2" xfId="477" xr:uid="{00000000-0005-0000-0000-0000A8000000}"/>
    <cellStyle name="Currency 2 2 2 3 2 3 2 2" xfId="1903" xr:uid="{00000000-0005-0000-0000-0000A9000000}"/>
    <cellStyle name="Currency 2 2 2 3 2 3 2 2 2" xfId="6404" xr:uid="{00000000-0005-0000-0000-0000AA000000}"/>
    <cellStyle name="Currency 2 2 2 3 2 3 2 3" xfId="5818" xr:uid="{00000000-0005-0000-0000-0000AB000000}"/>
    <cellStyle name="Currency 2 2 2 3 2 3 3" xfId="1904" xr:uid="{00000000-0005-0000-0000-0000AC000000}"/>
    <cellStyle name="Currency 2 2 2 3 2 3 3 2" xfId="6405" xr:uid="{00000000-0005-0000-0000-0000AD000000}"/>
    <cellStyle name="Currency 2 2 2 3 2 3 4" xfId="3841" xr:uid="{00000000-0005-0000-0000-0000AE000000}"/>
    <cellStyle name="Currency 2 2 2 3 2 3 4 2" xfId="8307" xr:uid="{00000000-0005-0000-0000-0000AF000000}"/>
    <cellStyle name="Currency 2 2 2 3 2 3 5" xfId="5053" xr:uid="{00000000-0005-0000-0000-0000B0000000}"/>
    <cellStyle name="Currency 2 2 2 3 2 4" xfId="478" xr:uid="{00000000-0005-0000-0000-0000B1000000}"/>
    <cellStyle name="Currency 2 2 2 3 2 4 2" xfId="1905" xr:uid="{00000000-0005-0000-0000-0000B2000000}"/>
    <cellStyle name="Currency 2 2 2 3 2 4 2 2" xfId="6406" xr:uid="{00000000-0005-0000-0000-0000B3000000}"/>
    <cellStyle name="Currency 2 2 2 3 2 4 3" xfId="5817" xr:uid="{00000000-0005-0000-0000-0000B4000000}"/>
    <cellStyle name="Currency 2 2 2 3 2 5" xfId="247" xr:uid="{00000000-0005-0000-0000-0000B5000000}"/>
    <cellStyle name="Currency 2 2 2 3 2 5 2" xfId="5893" xr:uid="{00000000-0005-0000-0000-0000B6000000}"/>
    <cellStyle name="Currency 2 2 2 3 2 6" xfId="3306" xr:uid="{00000000-0005-0000-0000-0000B7000000}"/>
    <cellStyle name="Currency 2 2 2 3 2 6 2" xfId="7772" xr:uid="{00000000-0005-0000-0000-0000B8000000}"/>
    <cellStyle name="Currency 2 2 2 3 2 7" xfId="4517" xr:uid="{00000000-0005-0000-0000-0000B9000000}"/>
    <cellStyle name="Currency 2 2 2 3 3" xfId="479" xr:uid="{00000000-0005-0000-0000-0000BA000000}"/>
    <cellStyle name="Currency 2 2 2 3 3 2" xfId="480" xr:uid="{00000000-0005-0000-0000-0000BB000000}"/>
    <cellStyle name="Currency 2 2 2 3 3 2 2" xfId="1906" xr:uid="{00000000-0005-0000-0000-0000BC000000}"/>
    <cellStyle name="Currency 2 2 2 3 3 2 2 2" xfId="6407" xr:uid="{00000000-0005-0000-0000-0000BD000000}"/>
    <cellStyle name="Currency 2 2 2 3 3 2 3" xfId="4103" xr:uid="{00000000-0005-0000-0000-0000BE000000}"/>
    <cellStyle name="Currency 2 2 2 3 3 2 3 2" xfId="8569" xr:uid="{00000000-0005-0000-0000-0000BF000000}"/>
    <cellStyle name="Currency 2 2 2 3 3 2 4" xfId="5315" xr:uid="{00000000-0005-0000-0000-0000C0000000}"/>
    <cellStyle name="Currency 2 2 2 3 3 3" xfId="1907" xr:uid="{00000000-0005-0000-0000-0000C1000000}"/>
    <cellStyle name="Currency 2 2 2 3 3 3 2" xfId="6408" xr:uid="{00000000-0005-0000-0000-0000C2000000}"/>
    <cellStyle name="Currency 2 2 2 3 3 4" xfId="3308" xr:uid="{00000000-0005-0000-0000-0000C3000000}"/>
    <cellStyle name="Currency 2 2 2 3 3 4 2" xfId="7774" xr:uid="{00000000-0005-0000-0000-0000C4000000}"/>
    <cellStyle name="Currency 2 2 2 3 3 5" xfId="4519" xr:uid="{00000000-0005-0000-0000-0000C5000000}"/>
    <cellStyle name="Currency 2 2 2 3 4" xfId="481" xr:uid="{00000000-0005-0000-0000-0000C6000000}"/>
    <cellStyle name="Currency 2 2 2 3 4 2" xfId="482" xr:uid="{00000000-0005-0000-0000-0000C7000000}"/>
    <cellStyle name="Currency 2 2 2 3 4 2 2" xfId="1908" xr:uid="{00000000-0005-0000-0000-0000C8000000}"/>
    <cellStyle name="Currency 2 2 2 3 4 2 2 2" xfId="6409" xr:uid="{00000000-0005-0000-0000-0000C9000000}"/>
    <cellStyle name="Currency 2 2 2 3 4 2 3" xfId="6073" xr:uid="{00000000-0005-0000-0000-0000CA000000}"/>
    <cellStyle name="Currency 2 2 2 3 4 3" xfId="1909" xr:uid="{00000000-0005-0000-0000-0000CB000000}"/>
    <cellStyle name="Currency 2 2 2 3 4 3 2" xfId="6410" xr:uid="{00000000-0005-0000-0000-0000CC000000}"/>
    <cellStyle name="Currency 2 2 2 3 4 4" xfId="3840" xr:uid="{00000000-0005-0000-0000-0000CD000000}"/>
    <cellStyle name="Currency 2 2 2 3 4 4 2" xfId="8306" xr:uid="{00000000-0005-0000-0000-0000CE000000}"/>
    <cellStyle name="Currency 2 2 2 3 4 5" xfId="5052" xr:uid="{00000000-0005-0000-0000-0000CF000000}"/>
    <cellStyle name="Currency 2 2 2 3 5" xfId="483" xr:uid="{00000000-0005-0000-0000-0000D0000000}"/>
    <cellStyle name="Currency 2 2 2 3 5 2" xfId="1910" xr:uid="{00000000-0005-0000-0000-0000D1000000}"/>
    <cellStyle name="Currency 2 2 2 3 5 2 2" xfId="6411" xr:uid="{00000000-0005-0000-0000-0000D2000000}"/>
    <cellStyle name="Currency 2 2 2 3 5 3" xfId="5816" xr:uid="{00000000-0005-0000-0000-0000D3000000}"/>
    <cellStyle name="Currency 2 2 2 3 6" xfId="246" xr:uid="{00000000-0005-0000-0000-0000D4000000}"/>
    <cellStyle name="Currency 2 2 2 3 6 2" xfId="5894" xr:uid="{00000000-0005-0000-0000-0000D5000000}"/>
    <cellStyle name="Currency 2 2 2 3 7" xfId="3305" xr:uid="{00000000-0005-0000-0000-0000D6000000}"/>
    <cellStyle name="Currency 2 2 2 3 7 2" xfId="7771" xr:uid="{00000000-0005-0000-0000-0000D7000000}"/>
    <cellStyle name="Currency 2 2 2 3 8" xfId="4516" xr:uid="{00000000-0005-0000-0000-0000D8000000}"/>
    <cellStyle name="Currency 2 2 2 4" xfId="31" xr:uid="{00000000-0005-0000-0000-0000D9000000}"/>
    <cellStyle name="Currency 2 2 2 4 2" xfId="484" xr:uid="{00000000-0005-0000-0000-0000DA000000}"/>
    <cellStyle name="Currency 2 2 2 4 2 2" xfId="485" xr:uid="{00000000-0005-0000-0000-0000DB000000}"/>
    <cellStyle name="Currency 2 2 2 4 2 2 2" xfId="1911" xr:uid="{00000000-0005-0000-0000-0000DC000000}"/>
    <cellStyle name="Currency 2 2 2 4 2 2 2 2" xfId="6412" xr:uid="{00000000-0005-0000-0000-0000DD000000}"/>
    <cellStyle name="Currency 2 2 2 4 2 2 3" xfId="4104" xr:uid="{00000000-0005-0000-0000-0000DE000000}"/>
    <cellStyle name="Currency 2 2 2 4 2 2 3 2" xfId="8570" xr:uid="{00000000-0005-0000-0000-0000DF000000}"/>
    <cellStyle name="Currency 2 2 2 4 2 2 4" xfId="5316" xr:uid="{00000000-0005-0000-0000-0000E0000000}"/>
    <cellStyle name="Currency 2 2 2 4 2 3" xfId="1912" xr:uid="{00000000-0005-0000-0000-0000E1000000}"/>
    <cellStyle name="Currency 2 2 2 4 2 3 2" xfId="6413" xr:uid="{00000000-0005-0000-0000-0000E2000000}"/>
    <cellStyle name="Currency 2 2 2 4 2 4" xfId="3310" xr:uid="{00000000-0005-0000-0000-0000E3000000}"/>
    <cellStyle name="Currency 2 2 2 4 2 4 2" xfId="7776" xr:uid="{00000000-0005-0000-0000-0000E4000000}"/>
    <cellStyle name="Currency 2 2 2 4 2 5" xfId="4521" xr:uid="{00000000-0005-0000-0000-0000E5000000}"/>
    <cellStyle name="Currency 2 2 2 4 3" xfId="486" xr:uid="{00000000-0005-0000-0000-0000E6000000}"/>
    <cellStyle name="Currency 2 2 2 4 3 2" xfId="487" xr:uid="{00000000-0005-0000-0000-0000E7000000}"/>
    <cellStyle name="Currency 2 2 2 4 3 2 2" xfId="1913" xr:uid="{00000000-0005-0000-0000-0000E8000000}"/>
    <cellStyle name="Currency 2 2 2 4 3 2 2 2" xfId="6414" xr:uid="{00000000-0005-0000-0000-0000E9000000}"/>
    <cellStyle name="Currency 2 2 2 4 3 2 3" xfId="5815" xr:uid="{00000000-0005-0000-0000-0000EA000000}"/>
    <cellStyle name="Currency 2 2 2 4 3 3" xfId="1914" xr:uid="{00000000-0005-0000-0000-0000EB000000}"/>
    <cellStyle name="Currency 2 2 2 4 3 3 2" xfId="6415" xr:uid="{00000000-0005-0000-0000-0000EC000000}"/>
    <cellStyle name="Currency 2 2 2 4 3 4" xfId="3842" xr:uid="{00000000-0005-0000-0000-0000ED000000}"/>
    <cellStyle name="Currency 2 2 2 4 3 4 2" xfId="8308" xr:uid="{00000000-0005-0000-0000-0000EE000000}"/>
    <cellStyle name="Currency 2 2 2 4 3 5" xfId="5054" xr:uid="{00000000-0005-0000-0000-0000EF000000}"/>
    <cellStyle name="Currency 2 2 2 4 4" xfId="488" xr:uid="{00000000-0005-0000-0000-0000F0000000}"/>
    <cellStyle name="Currency 2 2 2 4 4 2" xfId="1915" xr:uid="{00000000-0005-0000-0000-0000F1000000}"/>
    <cellStyle name="Currency 2 2 2 4 4 2 2" xfId="6416" xr:uid="{00000000-0005-0000-0000-0000F2000000}"/>
    <cellStyle name="Currency 2 2 2 4 4 3" xfId="5950" xr:uid="{00000000-0005-0000-0000-0000F3000000}"/>
    <cellStyle name="Currency 2 2 2 4 5" xfId="248" xr:uid="{00000000-0005-0000-0000-0000F4000000}"/>
    <cellStyle name="Currency 2 2 2 4 5 2" xfId="5892" xr:uid="{00000000-0005-0000-0000-0000F5000000}"/>
    <cellStyle name="Currency 2 2 2 4 6" xfId="3309" xr:uid="{00000000-0005-0000-0000-0000F6000000}"/>
    <cellStyle name="Currency 2 2 2 4 6 2" xfId="7775" xr:uid="{00000000-0005-0000-0000-0000F7000000}"/>
    <cellStyle name="Currency 2 2 2 4 7" xfId="4520" xr:uid="{00000000-0005-0000-0000-0000F8000000}"/>
    <cellStyle name="Currency 2 2 2 5" xfId="489" xr:uid="{00000000-0005-0000-0000-0000F9000000}"/>
    <cellStyle name="Currency 2 2 2 5 2" xfId="490" xr:uid="{00000000-0005-0000-0000-0000FA000000}"/>
    <cellStyle name="Currency 2 2 2 5 2 2" xfId="1916" xr:uid="{00000000-0005-0000-0000-0000FB000000}"/>
    <cellStyle name="Currency 2 2 2 5 2 2 2" xfId="6417" xr:uid="{00000000-0005-0000-0000-0000FC000000}"/>
    <cellStyle name="Currency 2 2 2 5 2 3" xfId="4106" xr:uid="{00000000-0005-0000-0000-0000FD000000}"/>
    <cellStyle name="Currency 2 2 2 5 2 3 2" xfId="8572" xr:uid="{00000000-0005-0000-0000-0000FE000000}"/>
    <cellStyle name="Currency 2 2 2 5 2 4" xfId="5318" xr:uid="{00000000-0005-0000-0000-0000FF000000}"/>
    <cellStyle name="Currency 2 2 2 5 3" xfId="1917" xr:uid="{00000000-0005-0000-0000-000000010000}"/>
    <cellStyle name="Currency 2 2 2 5 3 2" xfId="4105" xr:uid="{00000000-0005-0000-0000-000001010000}"/>
    <cellStyle name="Currency 2 2 2 5 3 2 2" xfId="8571" xr:uid="{00000000-0005-0000-0000-000002010000}"/>
    <cellStyle name="Currency 2 2 2 5 3 3" xfId="5317" xr:uid="{00000000-0005-0000-0000-000003010000}"/>
    <cellStyle name="Currency 2 2 2 5 4" xfId="3311" xr:uid="{00000000-0005-0000-0000-000004010000}"/>
    <cellStyle name="Currency 2 2 2 5 4 2" xfId="7777" xr:uid="{00000000-0005-0000-0000-000005010000}"/>
    <cellStyle name="Currency 2 2 2 5 5" xfId="4522" xr:uid="{00000000-0005-0000-0000-000006010000}"/>
    <cellStyle name="Currency 2 2 2 6" xfId="491" xr:uid="{00000000-0005-0000-0000-000007010000}"/>
    <cellStyle name="Currency 2 2 2 6 2" xfId="492" xr:uid="{00000000-0005-0000-0000-000008010000}"/>
    <cellStyle name="Currency 2 2 2 6 2 2" xfId="1918" xr:uid="{00000000-0005-0000-0000-000009010000}"/>
    <cellStyle name="Currency 2 2 2 6 2 2 2" xfId="6418" xr:uid="{00000000-0005-0000-0000-00000A010000}"/>
    <cellStyle name="Currency 2 2 2 6 2 3" xfId="6072" xr:uid="{00000000-0005-0000-0000-00000B010000}"/>
    <cellStyle name="Currency 2 2 2 6 3" xfId="1919" xr:uid="{00000000-0005-0000-0000-00000C010000}"/>
    <cellStyle name="Currency 2 2 2 6 3 2" xfId="6419" xr:uid="{00000000-0005-0000-0000-00000D010000}"/>
    <cellStyle name="Currency 2 2 2 6 4" xfId="4107" xr:uid="{00000000-0005-0000-0000-00000E010000}"/>
    <cellStyle name="Currency 2 2 2 6 4 2" xfId="8573" xr:uid="{00000000-0005-0000-0000-00000F010000}"/>
    <cellStyle name="Currency 2 2 2 6 5" xfId="5319" xr:uid="{00000000-0005-0000-0000-000010010000}"/>
    <cellStyle name="Currency 2 2 2 7" xfId="493" xr:uid="{00000000-0005-0000-0000-000011010000}"/>
    <cellStyle name="Currency 2 2 2 7 2" xfId="1920" xr:uid="{00000000-0005-0000-0000-000012010000}"/>
    <cellStyle name="Currency 2 2 2 7 2 2" xfId="6420" xr:uid="{00000000-0005-0000-0000-000013010000}"/>
    <cellStyle name="Currency 2 2 2 7 3" xfId="4108" xr:uid="{00000000-0005-0000-0000-000014010000}"/>
    <cellStyle name="Currency 2 2 2 7 3 2" xfId="8574" xr:uid="{00000000-0005-0000-0000-000015010000}"/>
    <cellStyle name="Currency 2 2 2 7 4" xfId="5320" xr:uid="{00000000-0005-0000-0000-000016010000}"/>
    <cellStyle name="Currency 2 2 2 8" xfId="241" xr:uid="{00000000-0005-0000-0000-000017010000}"/>
    <cellStyle name="Currency 2 2 2 8 2" xfId="3835" xr:uid="{00000000-0005-0000-0000-000018010000}"/>
    <cellStyle name="Currency 2 2 2 8 2 2" xfId="8301" xr:uid="{00000000-0005-0000-0000-000019010000}"/>
    <cellStyle name="Currency 2 2 2 8 3" xfId="5047" xr:uid="{00000000-0005-0000-0000-00001A010000}"/>
    <cellStyle name="Currency 2 2 2 9" xfId="3296" xr:uid="{00000000-0005-0000-0000-00001B010000}"/>
    <cellStyle name="Currency 2 2 2 9 2" xfId="7762" xr:uid="{00000000-0005-0000-0000-00001C010000}"/>
    <cellStyle name="Currency 2 2 3" xfId="32" xr:uid="{00000000-0005-0000-0000-00001D010000}"/>
    <cellStyle name="Currency 2 2 3 2" xfId="33" xr:uid="{00000000-0005-0000-0000-00001E010000}"/>
    <cellStyle name="Currency 2 2 3 2 2" xfId="34" xr:uid="{00000000-0005-0000-0000-00001F010000}"/>
    <cellStyle name="Currency 2 2 3 2 2 2" xfId="494" xr:uid="{00000000-0005-0000-0000-000020010000}"/>
    <cellStyle name="Currency 2 2 3 2 2 2 2" xfId="495" xr:uid="{00000000-0005-0000-0000-000021010000}"/>
    <cellStyle name="Currency 2 2 3 2 2 2 2 2" xfId="1921" xr:uid="{00000000-0005-0000-0000-000022010000}"/>
    <cellStyle name="Currency 2 2 3 2 2 2 2 2 2" xfId="6421" xr:uid="{00000000-0005-0000-0000-000023010000}"/>
    <cellStyle name="Currency 2 2 3 2 2 2 2 3" xfId="4109" xr:uid="{00000000-0005-0000-0000-000024010000}"/>
    <cellStyle name="Currency 2 2 3 2 2 2 2 3 2" xfId="8575" xr:uid="{00000000-0005-0000-0000-000025010000}"/>
    <cellStyle name="Currency 2 2 3 2 2 2 2 4" xfId="5321" xr:uid="{00000000-0005-0000-0000-000026010000}"/>
    <cellStyle name="Currency 2 2 3 2 2 2 3" xfId="1922" xr:uid="{00000000-0005-0000-0000-000027010000}"/>
    <cellStyle name="Currency 2 2 3 2 2 2 3 2" xfId="6422" xr:uid="{00000000-0005-0000-0000-000028010000}"/>
    <cellStyle name="Currency 2 2 3 2 2 2 4" xfId="3315" xr:uid="{00000000-0005-0000-0000-000029010000}"/>
    <cellStyle name="Currency 2 2 3 2 2 2 4 2" xfId="7781" xr:uid="{00000000-0005-0000-0000-00002A010000}"/>
    <cellStyle name="Currency 2 2 3 2 2 2 5" xfId="4526" xr:uid="{00000000-0005-0000-0000-00002B010000}"/>
    <cellStyle name="Currency 2 2 3 2 2 3" xfId="496" xr:uid="{00000000-0005-0000-0000-00002C010000}"/>
    <cellStyle name="Currency 2 2 3 2 2 3 2" xfId="497" xr:uid="{00000000-0005-0000-0000-00002D010000}"/>
    <cellStyle name="Currency 2 2 3 2 2 3 2 2" xfId="1923" xr:uid="{00000000-0005-0000-0000-00002E010000}"/>
    <cellStyle name="Currency 2 2 3 2 2 3 2 2 2" xfId="6423" xr:uid="{00000000-0005-0000-0000-00002F010000}"/>
    <cellStyle name="Currency 2 2 3 2 2 3 2 3" xfId="6071" xr:uid="{00000000-0005-0000-0000-000030010000}"/>
    <cellStyle name="Currency 2 2 3 2 2 3 3" xfId="1924" xr:uid="{00000000-0005-0000-0000-000031010000}"/>
    <cellStyle name="Currency 2 2 3 2 2 3 3 2" xfId="6424" xr:uid="{00000000-0005-0000-0000-000032010000}"/>
    <cellStyle name="Currency 2 2 3 2 2 3 4" xfId="3845" xr:uid="{00000000-0005-0000-0000-000033010000}"/>
    <cellStyle name="Currency 2 2 3 2 2 3 4 2" xfId="8311" xr:uid="{00000000-0005-0000-0000-000034010000}"/>
    <cellStyle name="Currency 2 2 3 2 2 3 5" xfId="5057" xr:uid="{00000000-0005-0000-0000-000035010000}"/>
    <cellStyle name="Currency 2 2 3 2 2 4" xfId="498" xr:uid="{00000000-0005-0000-0000-000036010000}"/>
    <cellStyle name="Currency 2 2 3 2 2 4 2" xfId="1925" xr:uid="{00000000-0005-0000-0000-000037010000}"/>
    <cellStyle name="Currency 2 2 3 2 2 4 2 2" xfId="6425" xr:uid="{00000000-0005-0000-0000-000038010000}"/>
    <cellStyle name="Currency 2 2 3 2 2 4 3" xfId="5814" xr:uid="{00000000-0005-0000-0000-000039010000}"/>
    <cellStyle name="Currency 2 2 3 2 2 5" xfId="251" xr:uid="{00000000-0005-0000-0000-00003A010000}"/>
    <cellStyle name="Currency 2 2 3 2 2 5 2" xfId="6142" xr:uid="{00000000-0005-0000-0000-00003B010000}"/>
    <cellStyle name="Currency 2 2 3 2 2 6" xfId="3314" xr:uid="{00000000-0005-0000-0000-00003C010000}"/>
    <cellStyle name="Currency 2 2 3 2 2 6 2" xfId="7780" xr:uid="{00000000-0005-0000-0000-00003D010000}"/>
    <cellStyle name="Currency 2 2 3 2 2 7" xfId="4525" xr:uid="{00000000-0005-0000-0000-00003E010000}"/>
    <cellStyle name="Currency 2 2 3 2 3" xfId="499" xr:uid="{00000000-0005-0000-0000-00003F010000}"/>
    <cellStyle name="Currency 2 2 3 2 3 2" xfId="500" xr:uid="{00000000-0005-0000-0000-000040010000}"/>
    <cellStyle name="Currency 2 2 3 2 3 2 2" xfId="1926" xr:uid="{00000000-0005-0000-0000-000041010000}"/>
    <cellStyle name="Currency 2 2 3 2 3 2 2 2" xfId="6426" xr:uid="{00000000-0005-0000-0000-000042010000}"/>
    <cellStyle name="Currency 2 2 3 2 3 2 3" xfId="4110" xr:uid="{00000000-0005-0000-0000-000043010000}"/>
    <cellStyle name="Currency 2 2 3 2 3 2 3 2" xfId="8576" xr:uid="{00000000-0005-0000-0000-000044010000}"/>
    <cellStyle name="Currency 2 2 3 2 3 2 4" xfId="5322" xr:uid="{00000000-0005-0000-0000-000045010000}"/>
    <cellStyle name="Currency 2 2 3 2 3 3" xfId="1927" xr:uid="{00000000-0005-0000-0000-000046010000}"/>
    <cellStyle name="Currency 2 2 3 2 3 3 2" xfId="6427" xr:uid="{00000000-0005-0000-0000-000047010000}"/>
    <cellStyle name="Currency 2 2 3 2 3 4" xfId="3316" xr:uid="{00000000-0005-0000-0000-000048010000}"/>
    <cellStyle name="Currency 2 2 3 2 3 4 2" xfId="7782" xr:uid="{00000000-0005-0000-0000-000049010000}"/>
    <cellStyle name="Currency 2 2 3 2 3 5" xfId="4527" xr:uid="{00000000-0005-0000-0000-00004A010000}"/>
    <cellStyle name="Currency 2 2 3 2 4" xfId="501" xr:uid="{00000000-0005-0000-0000-00004B010000}"/>
    <cellStyle name="Currency 2 2 3 2 4 2" xfId="502" xr:uid="{00000000-0005-0000-0000-00004C010000}"/>
    <cellStyle name="Currency 2 2 3 2 4 2 2" xfId="1928" xr:uid="{00000000-0005-0000-0000-00004D010000}"/>
    <cellStyle name="Currency 2 2 3 2 4 2 2 2" xfId="6428" xr:uid="{00000000-0005-0000-0000-00004E010000}"/>
    <cellStyle name="Currency 2 2 3 2 4 2 3" xfId="5813" xr:uid="{00000000-0005-0000-0000-00004F010000}"/>
    <cellStyle name="Currency 2 2 3 2 4 3" xfId="1929" xr:uid="{00000000-0005-0000-0000-000050010000}"/>
    <cellStyle name="Currency 2 2 3 2 4 3 2" xfId="6429" xr:uid="{00000000-0005-0000-0000-000051010000}"/>
    <cellStyle name="Currency 2 2 3 2 4 4" xfId="3844" xr:uid="{00000000-0005-0000-0000-000052010000}"/>
    <cellStyle name="Currency 2 2 3 2 4 4 2" xfId="8310" xr:uid="{00000000-0005-0000-0000-000053010000}"/>
    <cellStyle name="Currency 2 2 3 2 4 5" xfId="5056" xr:uid="{00000000-0005-0000-0000-000054010000}"/>
    <cellStyle name="Currency 2 2 3 2 5" xfId="503" xr:uid="{00000000-0005-0000-0000-000055010000}"/>
    <cellStyle name="Currency 2 2 3 2 5 2" xfId="1930" xr:uid="{00000000-0005-0000-0000-000056010000}"/>
    <cellStyle name="Currency 2 2 3 2 5 2 2" xfId="6430" xr:uid="{00000000-0005-0000-0000-000057010000}"/>
    <cellStyle name="Currency 2 2 3 2 5 3" xfId="5812" xr:uid="{00000000-0005-0000-0000-000058010000}"/>
    <cellStyle name="Currency 2 2 3 2 6" xfId="250" xr:uid="{00000000-0005-0000-0000-000059010000}"/>
    <cellStyle name="Currency 2 2 3 2 6 2" xfId="4494" xr:uid="{00000000-0005-0000-0000-00005A010000}"/>
    <cellStyle name="Currency 2 2 3 2 7" xfId="3313" xr:uid="{00000000-0005-0000-0000-00005B010000}"/>
    <cellStyle name="Currency 2 2 3 2 7 2" xfId="7779" xr:uid="{00000000-0005-0000-0000-00005C010000}"/>
    <cellStyle name="Currency 2 2 3 2 8" xfId="4524" xr:uid="{00000000-0005-0000-0000-00005D010000}"/>
    <cellStyle name="Currency 2 2 3 3" xfId="35" xr:uid="{00000000-0005-0000-0000-00005E010000}"/>
    <cellStyle name="Currency 2 2 3 3 2" xfId="504" xr:uid="{00000000-0005-0000-0000-00005F010000}"/>
    <cellStyle name="Currency 2 2 3 3 2 2" xfId="505" xr:uid="{00000000-0005-0000-0000-000060010000}"/>
    <cellStyle name="Currency 2 2 3 3 2 2 2" xfId="1931" xr:uid="{00000000-0005-0000-0000-000061010000}"/>
    <cellStyle name="Currency 2 2 3 3 2 2 2 2" xfId="6431" xr:uid="{00000000-0005-0000-0000-000062010000}"/>
    <cellStyle name="Currency 2 2 3 3 2 2 3" xfId="4111" xr:uid="{00000000-0005-0000-0000-000063010000}"/>
    <cellStyle name="Currency 2 2 3 3 2 2 3 2" xfId="8577" xr:uid="{00000000-0005-0000-0000-000064010000}"/>
    <cellStyle name="Currency 2 2 3 3 2 2 4" xfId="5323" xr:uid="{00000000-0005-0000-0000-000065010000}"/>
    <cellStyle name="Currency 2 2 3 3 2 3" xfId="1932" xr:uid="{00000000-0005-0000-0000-000066010000}"/>
    <cellStyle name="Currency 2 2 3 3 2 3 2" xfId="6432" xr:uid="{00000000-0005-0000-0000-000067010000}"/>
    <cellStyle name="Currency 2 2 3 3 2 4" xfId="3318" xr:uid="{00000000-0005-0000-0000-000068010000}"/>
    <cellStyle name="Currency 2 2 3 3 2 4 2" xfId="7784" xr:uid="{00000000-0005-0000-0000-000069010000}"/>
    <cellStyle name="Currency 2 2 3 3 2 5" xfId="4529" xr:uid="{00000000-0005-0000-0000-00006A010000}"/>
    <cellStyle name="Currency 2 2 3 3 3" xfId="506" xr:uid="{00000000-0005-0000-0000-00006B010000}"/>
    <cellStyle name="Currency 2 2 3 3 3 2" xfId="507" xr:uid="{00000000-0005-0000-0000-00006C010000}"/>
    <cellStyle name="Currency 2 2 3 3 3 2 2" xfId="1933" xr:uid="{00000000-0005-0000-0000-00006D010000}"/>
    <cellStyle name="Currency 2 2 3 3 3 2 2 2" xfId="6433" xr:uid="{00000000-0005-0000-0000-00006E010000}"/>
    <cellStyle name="Currency 2 2 3 3 3 2 3" xfId="5949" xr:uid="{00000000-0005-0000-0000-00006F010000}"/>
    <cellStyle name="Currency 2 2 3 3 3 3" xfId="1934" xr:uid="{00000000-0005-0000-0000-000070010000}"/>
    <cellStyle name="Currency 2 2 3 3 3 3 2" xfId="6434" xr:uid="{00000000-0005-0000-0000-000071010000}"/>
    <cellStyle name="Currency 2 2 3 3 3 4" xfId="3846" xr:uid="{00000000-0005-0000-0000-000072010000}"/>
    <cellStyle name="Currency 2 2 3 3 3 4 2" xfId="8312" xr:uid="{00000000-0005-0000-0000-000073010000}"/>
    <cellStyle name="Currency 2 2 3 3 3 5" xfId="5058" xr:uid="{00000000-0005-0000-0000-000074010000}"/>
    <cellStyle name="Currency 2 2 3 3 4" xfId="508" xr:uid="{00000000-0005-0000-0000-000075010000}"/>
    <cellStyle name="Currency 2 2 3 3 4 2" xfId="1935" xr:uid="{00000000-0005-0000-0000-000076010000}"/>
    <cellStyle name="Currency 2 2 3 3 4 2 2" xfId="6435" xr:uid="{00000000-0005-0000-0000-000077010000}"/>
    <cellStyle name="Currency 2 2 3 3 4 3" xfId="6070" xr:uid="{00000000-0005-0000-0000-000078010000}"/>
    <cellStyle name="Currency 2 2 3 3 5" xfId="252" xr:uid="{00000000-0005-0000-0000-000079010000}"/>
    <cellStyle name="Currency 2 2 3 3 5 2" xfId="6135" xr:uid="{00000000-0005-0000-0000-00007A010000}"/>
    <cellStyle name="Currency 2 2 3 3 6" xfId="3317" xr:uid="{00000000-0005-0000-0000-00007B010000}"/>
    <cellStyle name="Currency 2 2 3 3 6 2" xfId="7783" xr:uid="{00000000-0005-0000-0000-00007C010000}"/>
    <cellStyle name="Currency 2 2 3 3 7" xfId="4528" xr:uid="{00000000-0005-0000-0000-00007D010000}"/>
    <cellStyle name="Currency 2 2 3 4" xfId="509" xr:uid="{00000000-0005-0000-0000-00007E010000}"/>
    <cellStyle name="Currency 2 2 3 4 2" xfId="510" xr:uid="{00000000-0005-0000-0000-00007F010000}"/>
    <cellStyle name="Currency 2 2 3 4 2 2" xfId="1936" xr:uid="{00000000-0005-0000-0000-000080010000}"/>
    <cellStyle name="Currency 2 2 3 4 2 2 2" xfId="6436" xr:uid="{00000000-0005-0000-0000-000081010000}"/>
    <cellStyle name="Currency 2 2 3 4 2 3" xfId="4112" xr:uid="{00000000-0005-0000-0000-000082010000}"/>
    <cellStyle name="Currency 2 2 3 4 2 3 2" xfId="8578" xr:uid="{00000000-0005-0000-0000-000083010000}"/>
    <cellStyle name="Currency 2 2 3 4 2 4" xfId="5324" xr:uid="{00000000-0005-0000-0000-000084010000}"/>
    <cellStyle name="Currency 2 2 3 4 3" xfId="1937" xr:uid="{00000000-0005-0000-0000-000085010000}"/>
    <cellStyle name="Currency 2 2 3 4 3 2" xfId="6437" xr:uid="{00000000-0005-0000-0000-000086010000}"/>
    <cellStyle name="Currency 2 2 3 4 4" xfId="3319" xr:uid="{00000000-0005-0000-0000-000087010000}"/>
    <cellStyle name="Currency 2 2 3 4 4 2" xfId="7785" xr:uid="{00000000-0005-0000-0000-000088010000}"/>
    <cellStyle name="Currency 2 2 3 4 5" xfId="4530" xr:uid="{00000000-0005-0000-0000-000089010000}"/>
    <cellStyle name="Currency 2 2 3 5" xfId="511" xr:uid="{00000000-0005-0000-0000-00008A010000}"/>
    <cellStyle name="Currency 2 2 3 5 2" xfId="512" xr:uid="{00000000-0005-0000-0000-00008B010000}"/>
    <cellStyle name="Currency 2 2 3 5 2 2" xfId="1938" xr:uid="{00000000-0005-0000-0000-00008C010000}"/>
    <cellStyle name="Currency 2 2 3 5 2 2 2" xfId="6438" xr:uid="{00000000-0005-0000-0000-00008D010000}"/>
    <cellStyle name="Currency 2 2 3 5 2 3" xfId="6069" xr:uid="{00000000-0005-0000-0000-00008E010000}"/>
    <cellStyle name="Currency 2 2 3 5 3" xfId="1939" xr:uid="{00000000-0005-0000-0000-00008F010000}"/>
    <cellStyle name="Currency 2 2 3 5 3 2" xfId="6439" xr:uid="{00000000-0005-0000-0000-000090010000}"/>
    <cellStyle name="Currency 2 2 3 5 4" xfId="3843" xr:uid="{00000000-0005-0000-0000-000091010000}"/>
    <cellStyle name="Currency 2 2 3 5 4 2" xfId="8309" xr:uid="{00000000-0005-0000-0000-000092010000}"/>
    <cellStyle name="Currency 2 2 3 5 5" xfId="5055" xr:uid="{00000000-0005-0000-0000-000093010000}"/>
    <cellStyle name="Currency 2 2 3 6" xfId="513" xr:uid="{00000000-0005-0000-0000-000094010000}"/>
    <cellStyle name="Currency 2 2 3 6 2" xfId="1940" xr:uid="{00000000-0005-0000-0000-000095010000}"/>
    <cellStyle name="Currency 2 2 3 6 2 2" xfId="6440" xr:uid="{00000000-0005-0000-0000-000096010000}"/>
    <cellStyle name="Currency 2 2 3 6 3" xfId="5811" xr:uid="{00000000-0005-0000-0000-000097010000}"/>
    <cellStyle name="Currency 2 2 3 7" xfId="249" xr:uid="{00000000-0005-0000-0000-000098010000}"/>
    <cellStyle name="Currency 2 2 3 7 2" xfId="5891" xr:uid="{00000000-0005-0000-0000-000099010000}"/>
    <cellStyle name="Currency 2 2 3 8" xfId="3312" xr:uid="{00000000-0005-0000-0000-00009A010000}"/>
    <cellStyle name="Currency 2 2 3 8 2" xfId="7778" xr:uid="{00000000-0005-0000-0000-00009B010000}"/>
    <cellStyle name="Currency 2 2 3 9" xfId="4523" xr:uid="{00000000-0005-0000-0000-00009C010000}"/>
    <cellStyle name="Currency 2 2 4" xfId="36" xr:uid="{00000000-0005-0000-0000-00009D010000}"/>
    <cellStyle name="Currency 2 2 4 2" xfId="37" xr:uid="{00000000-0005-0000-0000-00009E010000}"/>
    <cellStyle name="Currency 2 2 4 2 2" xfId="514" xr:uid="{00000000-0005-0000-0000-00009F010000}"/>
    <cellStyle name="Currency 2 2 4 2 2 2" xfId="515" xr:uid="{00000000-0005-0000-0000-0000A0010000}"/>
    <cellStyle name="Currency 2 2 4 2 2 2 2" xfId="1941" xr:uid="{00000000-0005-0000-0000-0000A1010000}"/>
    <cellStyle name="Currency 2 2 4 2 2 2 2 2" xfId="6441" xr:uid="{00000000-0005-0000-0000-0000A2010000}"/>
    <cellStyle name="Currency 2 2 4 2 2 2 3" xfId="4113" xr:uid="{00000000-0005-0000-0000-0000A3010000}"/>
    <cellStyle name="Currency 2 2 4 2 2 2 3 2" xfId="8579" xr:uid="{00000000-0005-0000-0000-0000A4010000}"/>
    <cellStyle name="Currency 2 2 4 2 2 2 4" xfId="5325" xr:uid="{00000000-0005-0000-0000-0000A5010000}"/>
    <cellStyle name="Currency 2 2 4 2 2 3" xfId="1942" xr:uid="{00000000-0005-0000-0000-0000A6010000}"/>
    <cellStyle name="Currency 2 2 4 2 2 3 2" xfId="6442" xr:uid="{00000000-0005-0000-0000-0000A7010000}"/>
    <cellStyle name="Currency 2 2 4 2 2 4" xfId="3322" xr:uid="{00000000-0005-0000-0000-0000A8010000}"/>
    <cellStyle name="Currency 2 2 4 2 2 4 2" xfId="7788" xr:uid="{00000000-0005-0000-0000-0000A9010000}"/>
    <cellStyle name="Currency 2 2 4 2 2 5" xfId="4533" xr:uid="{00000000-0005-0000-0000-0000AA010000}"/>
    <cellStyle name="Currency 2 2 4 2 3" xfId="516" xr:uid="{00000000-0005-0000-0000-0000AB010000}"/>
    <cellStyle name="Currency 2 2 4 2 3 2" xfId="517" xr:uid="{00000000-0005-0000-0000-0000AC010000}"/>
    <cellStyle name="Currency 2 2 4 2 3 2 2" xfId="1943" xr:uid="{00000000-0005-0000-0000-0000AD010000}"/>
    <cellStyle name="Currency 2 2 4 2 3 2 2 2" xfId="6443" xr:uid="{00000000-0005-0000-0000-0000AE010000}"/>
    <cellStyle name="Currency 2 2 4 2 3 2 3" xfId="5810" xr:uid="{00000000-0005-0000-0000-0000AF010000}"/>
    <cellStyle name="Currency 2 2 4 2 3 3" xfId="1944" xr:uid="{00000000-0005-0000-0000-0000B0010000}"/>
    <cellStyle name="Currency 2 2 4 2 3 3 2" xfId="6444" xr:uid="{00000000-0005-0000-0000-0000B1010000}"/>
    <cellStyle name="Currency 2 2 4 2 3 4" xfId="3848" xr:uid="{00000000-0005-0000-0000-0000B2010000}"/>
    <cellStyle name="Currency 2 2 4 2 3 4 2" xfId="8314" xr:uid="{00000000-0005-0000-0000-0000B3010000}"/>
    <cellStyle name="Currency 2 2 4 2 3 5" xfId="5060" xr:uid="{00000000-0005-0000-0000-0000B4010000}"/>
    <cellStyle name="Currency 2 2 4 2 4" xfId="518" xr:uid="{00000000-0005-0000-0000-0000B5010000}"/>
    <cellStyle name="Currency 2 2 4 2 4 2" xfId="1945" xr:uid="{00000000-0005-0000-0000-0000B6010000}"/>
    <cellStyle name="Currency 2 2 4 2 4 2 2" xfId="6445" xr:uid="{00000000-0005-0000-0000-0000B7010000}"/>
    <cellStyle name="Currency 2 2 4 2 4 3" xfId="5809" xr:uid="{00000000-0005-0000-0000-0000B8010000}"/>
    <cellStyle name="Currency 2 2 4 2 5" xfId="254" xr:uid="{00000000-0005-0000-0000-0000B9010000}"/>
    <cellStyle name="Currency 2 2 4 2 5 2" xfId="5890" xr:uid="{00000000-0005-0000-0000-0000BA010000}"/>
    <cellStyle name="Currency 2 2 4 2 6" xfId="3321" xr:uid="{00000000-0005-0000-0000-0000BB010000}"/>
    <cellStyle name="Currency 2 2 4 2 6 2" xfId="7787" xr:uid="{00000000-0005-0000-0000-0000BC010000}"/>
    <cellStyle name="Currency 2 2 4 2 7" xfId="4532" xr:uid="{00000000-0005-0000-0000-0000BD010000}"/>
    <cellStyle name="Currency 2 2 4 3" xfId="519" xr:uid="{00000000-0005-0000-0000-0000BE010000}"/>
    <cellStyle name="Currency 2 2 4 3 2" xfId="520" xr:uid="{00000000-0005-0000-0000-0000BF010000}"/>
    <cellStyle name="Currency 2 2 4 3 2 2" xfId="1946" xr:uid="{00000000-0005-0000-0000-0000C0010000}"/>
    <cellStyle name="Currency 2 2 4 3 2 2 2" xfId="6446" xr:uid="{00000000-0005-0000-0000-0000C1010000}"/>
    <cellStyle name="Currency 2 2 4 3 2 3" xfId="4114" xr:uid="{00000000-0005-0000-0000-0000C2010000}"/>
    <cellStyle name="Currency 2 2 4 3 2 3 2" xfId="8580" xr:uid="{00000000-0005-0000-0000-0000C3010000}"/>
    <cellStyle name="Currency 2 2 4 3 2 4" xfId="5326" xr:uid="{00000000-0005-0000-0000-0000C4010000}"/>
    <cellStyle name="Currency 2 2 4 3 3" xfId="1947" xr:uid="{00000000-0005-0000-0000-0000C5010000}"/>
    <cellStyle name="Currency 2 2 4 3 3 2" xfId="6447" xr:uid="{00000000-0005-0000-0000-0000C6010000}"/>
    <cellStyle name="Currency 2 2 4 3 4" xfId="3323" xr:uid="{00000000-0005-0000-0000-0000C7010000}"/>
    <cellStyle name="Currency 2 2 4 3 4 2" xfId="7789" xr:uid="{00000000-0005-0000-0000-0000C8010000}"/>
    <cellStyle name="Currency 2 2 4 3 5" xfId="4534" xr:uid="{00000000-0005-0000-0000-0000C9010000}"/>
    <cellStyle name="Currency 2 2 4 4" xfId="521" xr:uid="{00000000-0005-0000-0000-0000CA010000}"/>
    <cellStyle name="Currency 2 2 4 4 2" xfId="522" xr:uid="{00000000-0005-0000-0000-0000CB010000}"/>
    <cellStyle name="Currency 2 2 4 4 2 2" xfId="1948" xr:uid="{00000000-0005-0000-0000-0000CC010000}"/>
    <cellStyle name="Currency 2 2 4 4 2 2 2" xfId="6448" xr:uid="{00000000-0005-0000-0000-0000CD010000}"/>
    <cellStyle name="Currency 2 2 4 4 2 3" xfId="6068" xr:uid="{00000000-0005-0000-0000-0000CE010000}"/>
    <cellStyle name="Currency 2 2 4 4 3" xfId="1949" xr:uid="{00000000-0005-0000-0000-0000CF010000}"/>
    <cellStyle name="Currency 2 2 4 4 3 2" xfId="6449" xr:uid="{00000000-0005-0000-0000-0000D0010000}"/>
    <cellStyle name="Currency 2 2 4 4 4" xfId="3847" xr:uid="{00000000-0005-0000-0000-0000D1010000}"/>
    <cellStyle name="Currency 2 2 4 4 4 2" xfId="8313" xr:uid="{00000000-0005-0000-0000-0000D2010000}"/>
    <cellStyle name="Currency 2 2 4 4 5" xfId="5059" xr:uid="{00000000-0005-0000-0000-0000D3010000}"/>
    <cellStyle name="Currency 2 2 4 5" xfId="523" xr:uid="{00000000-0005-0000-0000-0000D4010000}"/>
    <cellStyle name="Currency 2 2 4 5 2" xfId="1950" xr:uid="{00000000-0005-0000-0000-0000D5010000}"/>
    <cellStyle name="Currency 2 2 4 5 2 2" xfId="6450" xr:uid="{00000000-0005-0000-0000-0000D6010000}"/>
    <cellStyle name="Currency 2 2 4 5 3" xfId="6067" xr:uid="{00000000-0005-0000-0000-0000D7010000}"/>
    <cellStyle name="Currency 2 2 4 6" xfId="253" xr:uid="{00000000-0005-0000-0000-0000D8010000}"/>
    <cellStyle name="Currency 2 2 4 6 2" xfId="6134" xr:uid="{00000000-0005-0000-0000-0000D9010000}"/>
    <cellStyle name="Currency 2 2 4 7" xfId="3320" xr:uid="{00000000-0005-0000-0000-0000DA010000}"/>
    <cellStyle name="Currency 2 2 4 7 2" xfId="7786" xr:uid="{00000000-0005-0000-0000-0000DB010000}"/>
    <cellStyle name="Currency 2 2 4 8" xfId="4531" xr:uid="{00000000-0005-0000-0000-0000DC010000}"/>
    <cellStyle name="Currency 2 2 5" xfId="38" xr:uid="{00000000-0005-0000-0000-0000DD010000}"/>
    <cellStyle name="Currency 2 2 5 2" xfId="524" xr:uid="{00000000-0005-0000-0000-0000DE010000}"/>
    <cellStyle name="Currency 2 2 5 2 2" xfId="525" xr:uid="{00000000-0005-0000-0000-0000DF010000}"/>
    <cellStyle name="Currency 2 2 5 2 2 2" xfId="526" xr:uid="{00000000-0005-0000-0000-0000E0010000}"/>
    <cellStyle name="Currency 2 2 5 2 2 2 2" xfId="1951" xr:uid="{00000000-0005-0000-0000-0000E1010000}"/>
    <cellStyle name="Currency 2 2 5 2 2 2 2 2" xfId="6451" xr:uid="{00000000-0005-0000-0000-0000E2010000}"/>
    <cellStyle name="Currency 2 2 5 2 2 2 3" xfId="4115" xr:uid="{00000000-0005-0000-0000-0000E3010000}"/>
    <cellStyle name="Currency 2 2 5 2 2 2 3 2" xfId="8581" xr:uid="{00000000-0005-0000-0000-0000E4010000}"/>
    <cellStyle name="Currency 2 2 5 2 2 2 4" xfId="5327" xr:uid="{00000000-0005-0000-0000-0000E5010000}"/>
    <cellStyle name="Currency 2 2 5 2 2 3" xfId="1952" xr:uid="{00000000-0005-0000-0000-0000E6010000}"/>
    <cellStyle name="Currency 2 2 5 2 2 3 2" xfId="6452" xr:uid="{00000000-0005-0000-0000-0000E7010000}"/>
    <cellStyle name="Currency 2 2 5 2 2 4" xfId="3326" xr:uid="{00000000-0005-0000-0000-0000E8010000}"/>
    <cellStyle name="Currency 2 2 5 2 2 4 2" xfId="7792" xr:uid="{00000000-0005-0000-0000-0000E9010000}"/>
    <cellStyle name="Currency 2 2 5 2 2 5" xfId="4537" xr:uid="{00000000-0005-0000-0000-0000EA010000}"/>
    <cellStyle name="Currency 2 2 5 2 3" xfId="527" xr:uid="{00000000-0005-0000-0000-0000EB010000}"/>
    <cellStyle name="Currency 2 2 5 2 3 2" xfId="528" xr:uid="{00000000-0005-0000-0000-0000EC010000}"/>
    <cellStyle name="Currency 2 2 5 2 3 2 2" xfId="1953" xr:uid="{00000000-0005-0000-0000-0000ED010000}"/>
    <cellStyle name="Currency 2 2 5 2 3 2 2 2" xfId="6453" xr:uid="{00000000-0005-0000-0000-0000EE010000}"/>
    <cellStyle name="Currency 2 2 5 2 3 2 3" xfId="5808" xr:uid="{00000000-0005-0000-0000-0000EF010000}"/>
    <cellStyle name="Currency 2 2 5 2 3 3" xfId="1954" xr:uid="{00000000-0005-0000-0000-0000F0010000}"/>
    <cellStyle name="Currency 2 2 5 2 3 3 2" xfId="6454" xr:uid="{00000000-0005-0000-0000-0000F1010000}"/>
    <cellStyle name="Currency 2 2 5 2 3 4" xfId="3850" xr:uid="{00000000-0005-0000-0000-0000F2010000}"/>
    <cellStyle name="Currency 2 2 5 2 3 4 2" xfId="8316" xr:uid="{00000000-0005-0000-0000-0000F3010000}"/>
    <cellStyle name="Currency 2 2 5 2 3 5" xfId="5062" xr:uid="{00000000-0005-0000-0000-0000F4010000}"/>
    <cellStyle name="Currency 2 2 5 2 4" xfId="529" xr:uid="{00000000-0005-0000-0000-0000F5010000}"/>
    <cellStyle name="Currency 2 2 5 2 4 2" xfId="1955" xr:uid="{00000000-0005-0000-0000-0000F6010000}"/>
    <cellStyle name="Currency 2 2 5 2 4 2 2" xfId="6455" xr:uid="{00000000-0005-0000-0000-0000F7010000}"/>
    <cellStyle name="Currency 2 2 5 2 4 3" xfId="5807" xr:uid="{00000000-0005-0000-0000-0000F8010000}"/>
    <cellStyle name="Currency 2 2 5 2 5" xfId="1956" xr:uid="{00000000-0005-0000-0000-0000F9010000}"/>
    <cellStyle name="Currency 2 2 5 2 5 2" xfId="6456" xr:uid="{00000000-0005-0000-0000-0000FA010000}"/>
    <cellStyle name="Currency 2 2 5 2 6" xfId="3325" xr:uid="{00000000-0005-0000-0000-0000FB010000}"/>
    <cellStyle name="Currency 2 2 5 2 6 2" xfId="7791" xr:uid="{00000000-0005-0000-0000-0000FC010000}"/>
    <cellStyle name="Currency 2 2 5 2 7" xfId="4536" xr:uid="{00000000-0005-0000-0000-0000FD010000}"/>
    <cellStyle name="Currency 2 2 5 3" xfId="530" xr:uid="{00000000-0005-0000-0000-0000FE010000}"/>
    <cellStyle name="Currency 2 2 5 3 2" xfId="531" xr:uid="{00000000-0005-0000-0000-0000FF010000}"/>
    <cellStyle name="Currency 2 2 5 3 2 2" xfId="1957" xr:uid="{00000000-0005-0000-0000-000000020000}"/>
    <cellStyle name="Currency 2 2 5 3 2 2 2" xfId="6457" xr:uid="{00000000-0005-0000-0000-000001020000}"/>
    <cellStyle name="Currency 2 2 5 3 2 3" xfId="4116" xr:uid="{00000000-0005-0000-0000-000002020000}"/>
    <cellStyle name="Currency 2 2 5 3 2 3 2" xfId="8582" xr:uid="{00000000-0005-0000-0000-000003020000}"/>
    <cellStyle name="Currency 2 2 5 3 2 4" xfId="5328" xr:uid="{00000000-0005-0000-0000-000004020000}"/>
    <cellStyle name="Currency 2 2 5 3 3" xfId="1958" xr:uid="{00000000-0005-0000-0000-000005020000}"/>
    <cellStyle name="Currency 2 2 5 3 3 2" xfId="6458" xr:uid="{00000000-0005-0000-0000-000006020000}"/>
    <cellStyle name="Currency 2 2 5 3 4" xfId="3327" xr:uid="{00000000-0005-0000-0000-000007020000}"/>
    <cellStyle name="Currency 2 2 5 3 4 2" xfId="7793" xr:uid="{00000000-0005-0000-0000-000008020000}"/>
    <cellStyle name="Currency 2 2 5 3 5" xfId="4538" xr:uid="{00000000-0005-0000-0000-000009020000}"/>
    <cellStyle name="Currency 2 2 5 4" xfId="532" xr:uid="{00000000-0005-0000-0000-00000A020000}"/>
    <cellStyle name="Currency 2 2 5 4 2" xfId="533" xr:uid="{00000000-0005-0000-0000-00000B020000}"/>
    <cellStyle name="Currency 2 2 5 4 2 2" xfId="1959" xr:uid="{00000000-0005-0000-0000-00000C020000}"/>
    <cellStyle name="Currency 2 2 5 4 2 2 2" xfId="6459" xr:uid="{00000000-0005-0000-0000-00000D020000}"/>
    <cellStyle name="Currency 2 2 5 4 2 3" xfId="5948" xr:uid="{00000000-0005-0000-0000-00000E020000}"/>
    <cellStyle name="Currency 2 2 5 4 3" xfId="1960" xr:uid="{00000000-0005-0000-0000-00000F020000}"/>
    <cellStyle name="Currency 2 2 5 4 3 2" xfId="6460" xr:uid="{00000000-0005-0000-0000-000010020000}"/>
    <cellStyle name="Currency 2 2 5 4 4" xfId="3849" xr:uid="{00000000-0005-0000-0000-000011020000}"/>
    <cellStyle name="Currency 2 2 5 4 4 2" xfId="8315" xr:uid="{00000000-0005-0000-0000-000012020000}"/>
    <cellStyle name="Currency 2 2 5 4 5" xfId="5061" xr:uid="{00000000-0005-0000-0000-000013020000}"/>
    <cellStyle name="Currency 2 2 5 5" xfId="534" xr:uid="{00000000-0005-0000-0000-000014020000}"/>
    <cellStyle name="Currency 2 2 5 5 2" xfId="1961" xr:uid="{00000000-0005-0000-0000-000015020000}"/>
    <cellStyle name="Currency 2 2 5 5 2 2" xfId="6461" xr:uid="{00000000-0005-0000-0000-000016020000}"/>
    <cellStyle name="Currency 2 2 5 5 3" xfId="6066" xr:uid="{00000000-0005-0000-0000-000017020000}"/>
    <cellStyle name="Currency 2 2 5 6" xfId="255" xr:uid="{00000000-0005-0000-0000-000018020000}"/>
    <cellStyle name="Currency 2 2 5 6 2" xfId="5995" xr:uid="{00000000-0005-0000-0000-000019020000}"/>
    <cellStyle name="Currency 2 2 5 7" xfId="3324" xr:uid="{00000000-0005-0000-0000-00001A020000}"/>
    <cellStyle name="Currency 2 2 5 7 2" xfId="7790" xr:uid="{00000000-0005-0000-0000-00001B020000}"/>
    <cellStyle name="Currency 2 2 5 8" xfId="4535" xr:uid="{00000000-0005-0000-0000-00001C020000}"/>
    <cellStyle name="Currency 2 2 6" xfId="535" xr:uid="{00000000-0005-0000-0000-00001D020000}"/>
    <cellStyle name="Currency 2 2 6 2" xfId="536" xr:uid="{00000000-0005-0000-0000-00001E020000}"/>
    <cellStyle name="Currency 2 2 6 2 2" xfId="537" xr:uid="{00000000-0005-0000-0000-00001F020000}"/>
    <cellStyle name="Currency 2 2 6 2 2 2" xfId="1962" xr:uid="{00000000-0005-0000-0000-000020020000}"/>
    <cellStyle name="Currency 2 2 6 2 2 2 2" xfId="6462" xr:uid="{00000000-0005-0000-0000-000021020000}"/>
    <cellStyle name="Currency 2 2 6 2 2 3" xfId="4117" xr:uid="{00000000-0005-0000-0000-000022020000}"/>
    <cellStyle name="Currency 2 2 6 2 2 3 2" xfId="8583" xr:uid="{00000000-0005-0000-0000-000023020000}"/>
    <cellStyle name="Currency 2 2 6 2 2 4" xfId="5329" xr:uid="{00000000-0005-0000-0000-000024020000}"/>
    <cellStyle name="Currency 2 2 6 2 3" xfId="1963" xr:uid="{00000000-0005-0000-0000-000025020000}"/>
    <cellStyle name="Currency 2 2 6 2 3 2" xfId="6463" xr:uid="{00000000-0005-0000-0000-000026020000}"/>
    <cellStyle name="Currency 2 2 6 2 4" xfId="3329" xr:uid="{00000000-0005-0000-0000-000027020000}"/>
    <cellStyle name="Currency 2 2 6 2 4 2" xfId="7795" xr:uid="{00000000-0005-0000-0000-000028020000}"/>
    <cellStyle name="Currency 2 2 6 2 5" xfId="4540" xr:uid="{00000000-0005-0000-0000-000029020000}"/>
    <cellStyle name="Currency 2 2 6 3" xfId="538" xr:uid="{00000000-0005-0000-0000-00002A020000}"/>
    <cellStyle name="Currency 2 2 6 3 2" xfId="539" xr:uid="{00000000-0005-0000-0000-00002B020000}"/>
    <cellStyle name="Currency 2 2 6 3 2 2" xfId="1964" xr:uid="{00000000-0005-0000-0000-00002C020000}"/>
    <cellStyle name="Currency 2 2 6 3 2 2 2" xfId="6464" xr:uid="{00000000-0005-0000-0000-00002D020000}"/>
    <cellStyle name="Currency 2 2 6 3 2 3" xfId="6065" xr:uid="{00000000-0005-0000-0000-00002E020000}"/>
    <cellStyle name="Currency 2 2 6 3 3" xfId="1965" xr:uid="{00000000-0005-0000-0000-00002F020000}"/>
    <cellStyle name="Currency 2 2 6 3 3 2" xfId="6465" xr:uid="{00000000-0005-0000-0000-000030020000}"/>
    <cellStyle name="Currency 2 2 6 3 4" xfId="3851" xr:uid="{00000000-0005-0000-0000-000031020000}"/>
    <cellStyle name="Currency 2 2 6 3 4 2" xfId="8317" xr:uid="{00000000-0005-0000-0000-000032020000}"/>
    <cellStyle name="Currency 2 2 6 3 5" xfId="5063" xr:uid="{00000000-0005-0000-0000-000033020000}"/>
    <cellStyle name="Currency 2 2 6 4" xfId="540" xr:uid="{00000000-0005-0000-0000-000034020000}"/>
    <cellStyle name="Currency 2 2 6 4 2" xfId="1966" xr:uid="{00000000-0005-0000-0000-000035020000}"/>
    <cellStyle name="Currency 2 2 6 4 2 2" xfId="6466" xr:uid="{00000000-0005-0000-0000-000036020000}"/>
    <cellStyle name="Currency 2 2 6 4 3" xfId="5806" xr:uid="{00000000-0005-0000-0000-000037020000}"/>
    <cellStyle name="Currency 2 2 6 5" xfId="1967" xr:uid="{00000000-0005-0000-0000-000038020000}"/>
    <cellStyle name="Currency 2 2 6 5 2" xfId="6467" xr:uid="{00000000-0005-0000-0000-000039020000}"/>
    <cellStyle name="Currency 2 2 6 6" xfId="3328" xr:uid="{00000000-0005-0000-0000-00003A020000}"/>
    <cellStyle name="Currency 2 2 6 6 2" xfId="7794" xr:uid="{00000000-0005-0000-0000-00003B020000}"/>
    <cellStyle name="Currency 2 2 6 7" xfId="4539" xr:uid="{00000000-0005-0000-0000-00003C020000}"/>
    <cellStyle name="Currency 2 2 7" xfId="541" xr:uid="{00000000-0005-0000-0000-00003D020000}"/>
    <cellStyle name="Currency 2 2 7 2" xfId="542" xr:uid="{00000000-0005-0000-0000-00003E020000}"/>
    <cellStyle name="Currency 2 2 7 2 2" xfId="1968" xr:uid="{00000000-0005-0000-0000-00003F020000}"/>
    <cellStyle name="Currency 2 2 7 2 2 2" xfId="6468" xr:uid="{00000000-0005-0000-0000-000040020000}"/>
    <cellStyle name="Currency 2 2 7 2 3" xfId="4119" xr:uid="{00000000-0005-0000-0000-000041020000}"/>
    <cellStyle name="Currency 2 2 7 2 3 2" xfId="8585" xr:uid="{00000000-0005-0000-0000-000042020000}"/>
    <cellStyle name="Currency 2 2 7 2 4" xfId="5331" xr:uid="{00000000-0005-0000-0000-000043020000}"/>
    <cellStyle name="Currency 2 2 7 3" xfId="1969" xr:uid="{00000000-0005-0000-0000-000044020000}"/>
    <cellStyle name="Currency 2 2 7 3 2" xfId="4118" xr:uid="{00000000-0005-0000-0000-000045020000}"/>
    <cellStyle name="Currency 2 2 7 3 2 2" xfId="8584" xr:uid="{00000000-0005-0000-0000-000046020000}"/>
    <cellStyle name="Currency 2 2 7 3 3" xfId="5330" xr:uid="{00000000-0005-0000-0000-000047020000}"/>
    <cellStyle name="Currency 2 2 7 4" xfId="3330" xr:uid="{00000000-0005-0000-0000-000048020000}"/>
    <cellStyle name="Currency 2 2 7 4 2" xfId="7796" xr:uid="{00000000-0005-0000-0000-000049020000}"/>
    <cellStyle name="Currency 2 2 7 5" xfId="4541" xr:uid="{00000000-0005-0000-0000-00004A020000}"/>
    <cellStyle name="Currency 2 2 8" xfId="543" xr:uid="{00000000-0005-0000-0000-00004B020000}"/>
    <cellStyle name="Currency 2 2 8 2" xfId="544" xr:uid="{00000000-0005-0000-0000-00004C020000}"/>
    <cellStyle name="Currency 2 2 8 2 2" xfId="1970" xr:uid="{00000000-0005-0000-0000-00004D020000}"/>
    <cellStyle name="Currency 2 2 8 2 2 2" xfId="6469" xr:uid="{00000000-0005-0000-0000-00004E020000}"/>
    <cellStyle name="Currency 2 2 8 2 3" xfId="5805" xr:uid="{00000000-0005-0000-0000-00004F020000}"/>
    <cellStyle name="Currency 2 2 8 3" xfId="1971" xr:uid="{00000000-0005-0000-0000-000050020000}"/>
    <cellStyle name="Currency 2 2 8 3 2" xfId="6470" xr:uid="{00000000-0005-0000-0000-000051020000}"/>
    <cellStyle name="Currency 2 2 8 4" xfId="4120" xr:uid="{00000000-0005-0000-0000-000052020000}"/>
    <cellStyle name="Currency 2 2 8 4 2" xfId="8586" xr:uid="{00000000-0005-0000-0000-000053020000}"/>
    <cellStyle name="Currency 2 2 8 5" xfId="5332" xr:uid="{00000000-0005-0000-0000-000054020000}"/>
    <cellStyle name="Currency 2 2 9" xfId="545" xr:uid="{00000000-0005-0000-0000-000055020000}"/>
    <cellStyle name="Currency 2 2 9 2" xfId="1972" xr:uid="{00000000-0005-0000-0000-000056020000}"/>
    <cellStyle name="Currency 2 2 9 2 2" xfId="6471" xr:uid="{00000000-0005-0000-0000-000057020000}"/>
    <cellStyle name="Currency 2 2 9 3" xfId="4121" xr:uid="{00000000-0005-0000-0000-000058020000}"/>
    <cellStyle name="Currency 2 2 9 3 2" xfId="8587" xr:uid="{00000000-0005-0000-0000-000059020000}"/>
    <cellStyle name="Currency 2 2 9 4" xfId="5333" xr:uid="{00000000-0005-0000-0000-00005A020000}"/>
    <cellStyle name="Currency 2 3" xfId="39" xr:uid="{00000000-0005-0000-0000-00005B020000}"/>
    <cellStyle name="Currency 2 3 10" xfId="3331" xr:uid="{00000000-0005-0000-0000-00005C020000}"/>
    <cellStyle name="Currency 2 3 10 2" xfId="7797" xr:uid="{00000000-0005-0000-0000-00005D020000}"/>
    <cellStyle name="Currency 2 3 11" xfId="4542" xr:uid="{00000000-0005-0000-0000-00005E020000}"/>
    <cellStyle name="Currency 2 3 2" xfId="40" xr:uid="{00000000-0005-0000-0000-00005F020000}"/>
    <cellStyle name="Currency 2 3 2 2" xfId="41" xr:uid="{00000000-0005-0000-0000-000060020000}"/>
    <cellStyle name="Currency 2 3 2 2 2" xfId="42" xr:uid="{00000000-0005-0000-0000-000061020000}"/>
    <cellStyle name="Currency 2 3 2 2 2 2" xfId="546" xr:uid="{00000000-0005-0000-0000-000062020000}"/>
    <cellStyle name="Currency 2 3 2 2 2 2 2" xfId="547" xr:uid="{00000000-0005-0000-0000-000063020000}"/>
    <cellStyle name="Currency 2 3 2 2 2 2 2 2" xfId="1973" xr:uid="{00000000-0005-0000-0000-000064020000}"/>
    <cellStyle name="Currency 2 3 2 2 2 2 2 2 2" xfId="6472" xr:uid="{00000000-0005-0000-0000-000065020000}"/>
    <cellStyle name="Currency 2 3 2 2 2 2 2 3" xfId="4122" xr:uid="{00000000-0005-0000-0000-000066020000}"/>
    <cellStyle name="Currency 2 3 2 2 2 2 2 3 2" xfId="8588" xr:uid="{00000000-0005-0000-0000-000067020000}"/>
    <cellStyle name="Currency 2 3 2 2 2 2 2 4" xfId="5334" xr:uid="{00000000-0005-0000-0000-000068020000}"/>
    <cellStyle name="Currency 2 3 2 2 2 2 3" xfId="1974" xr:uid="{00000000-0005-0000-0000-000069020000}"/>
    <cellStyle name="Currency 2 3 2 2 2 2 3 2" xfId="6473" xr:uid="{00000000-0005-0000-0000-00006A020000}"/>
    <cellStyle name="Currency 2 3 2 2 2 2 4" xfId="3335" xr:uid="{00000000-0005-0000-0000-00006B020000}"/>
    <cellStyle name="Currency 2 3 2 2 2 2 4 2" xfId="7801" xr:uid="{00000000-0005-0000-0000-00006C020000}"/>
    <cellStyle name="Currency 2 3 2 2 2 2 5" xfId="4546" xr:uid="{00000000-0005-0000-0000-00006D020000}"/>
    <cellStyle name="Currency 2 3 2 2 2 3" xfId="548" xr:uid="{00000000-0005-0000-0000-00006E020000}"/>
    <cellStyle name="Currency 2 3 2 2 2 3 2" xfId="549" xr:uid="{00000000-0005-0000-0000-00006F020000}"/>
    <cellStyle name="Currency 2 3 2 2 2 3 2 2" xfId="1975" xr:uid="{00000000-0005-0000-0000-000070020000}"/>
    <cellStyle name="Currency 2 3 2 2 2 3 2 2 2" xfId="6474" xr:uid="{00000000-0005-0000-0000-000071020000}"/>
    <cellStyle name="Currency 2 3 2 2 2 3 2 3" xfId="6064" xr:uid="{00000000-0005-0000-0000-000072020000}"/>
    <cellStyle name="Currency 2 3 2 2 2 3 3" xfId="1976" xr:uid="{00000000-0005-0000-0000-000073020000}"/>
    <cellStyle name="Currency 2 3 2 2 2 3 3 2" xfId="6475" xr:uid="{00000000-0005-0000-0000-000074020000}"/>
    <cellStyle name="Currency 2 3 2 2 2 3 4" xfId="3855" xr:uid="{00000000-0005-0000-0000-000075020000}"/>
    <cellStyle name="Currency 2 3 2 2 2 3 4 2" xfId="8321" xr:uid="{00000000-0005-0000-0000-000076020000}"/>
    <cellStyle name="Currency 2 3 2 2 2 3 5" xfId="5067" xr:uid="{00000000-0005-0000-0000-000077020000}"/>
    <cellStyle name="Currency 2 3 2 2 2 4" xfId="550" xr:uid="{00000000-0005-0000-0000-000078020000}"/>
    <cellStyle name="Currency 2 3 2 2 2 4 2" xfId="1977" xr:uid="{00000000-0005-0000-0000-000079020000}"/>
    <cellStyle name="Currency 2 3 2 2 2 4 2 2" xfId="6476" xr:uid="{00000000-0005-0000-0000-00007A020000}"/>
    <cellStyle name="Currency 2 3 2 2 2 4 3" xfId="5804" xr:uid="{00000000-0005-0000-0000-00007B020000}"/>
    <cellStyle name="Currency 2 3 2 2 2 5" xfId="259" xr:uid="{00000000-0005-0000-0000-00007C020000}"/>
    <cellStyle name="Currency 2 3 2 2 2 5 2" xfId="5993" xr:uid="{00000000-0005-0000-0000-00007D020000}"/>
    <cellStyle name="Currency 2 3 2 2 2 6" xfId="3334" xr:uid="{00000000-0005-0000-0000-00007E020000}"/>
    <cellStyle name="Currency 2 3 2 2 2 6 2" xfId="7800" xr:uid="{00000000-0005-0000-0000-00007F020000}"/>
    <cellStyle name="Currency 2 3 2 2 2 7" xfId="4545" xr:uid="{00000000-0005-0000-0000-000080020000}"/>
    <cellStyle name="Currency 2 3 2 2 3" xfId="551" xr:uid="{00000000-0005-0000-0000-000081020000}"/>
    <cellStyle name="Currency 2 3 2 2 3 2" xfId="552" xr:uid="{00000000-0005-0000-0000-000082020000}"/>
    <cellStyle name="Currency 2 3 2 2 3 2 2" xfId="1978" xr:uid="{00000000-0005-0000-0000-000083020000}"/>
    <cellStyle name="Currency 2 3 2 2 3 2 2 2" xfId="6477" xr:uid="{00000000-0005-0000-0000-000084020000}"/>
    <cellStyle name="Currency 2 3 2 2 3 2 3" xfId="4123" xr:uid="{00000000-0005-0000-0000-000085020000}"/>
    <cellStyle name="Currency 2 3 2 2 3 2 3 2" xfId="8589" xr:uid="{00000000-0005-0000-0000-000086020000}"/>
    <cellStyle name="Currency 2 3 2 2 3 2 4" xfId="5335" xr:uid="{00000000-0005-0000-0000-000087020000}"/>
    <cellStyle name="Currency 2 3 2 2 3 3" xfId="1979" xr:uid="{00000000-0005-0000-0000-000088020000}"/>
    <cellStyle name="Currency 2 3 2 2 3 3 2" xfId="6478" xr:uid="{00000000-0005-0000-0000-000089020000}"/>
    <cellStyle name="Currency 2 3 2 2 3 4" xfId="3336" xr:uid="{00000000-0005-0000-0000-00008A020000}"/>
    <cellStyle name="Currency 2 3 2 2 3 4 2" xfId="7802" xr:uid="{00000000-0005-0000-0000-00008B020000}"/>
    <cellStyle name="Currency 2 3 2 2 3 5" xfId="4547" xr:uid="{00000000-0005-0000-0000-00008C020000}"/>
    <cellStyle name="Currency 2 3 2 2 4" xfId="553" xr:uid="{00000000-0005-0000-0000-00008D020000}"/>
    <cellStyle name="Currency 2 3 2 2 4 2" xfId="554" xr:uid="{00000000-0005-0000-0000-00008E020000}"/>
    <cellStyle name="Currency 2 3 2 2 4 2 2" xfId="1980" xr:uid="{00000000-0005-0000-0000-00008F020000}"/>
    <cellStyle name="Currency 2 3 2 2 4 2 2 2" xfId="6479" xr:uid="{00000000-0005-0000-0000-000090020000}"/>
    <cellStyle name="Currency 2 3 2 2 4 2 3" xfId="5803" xr:uid="{00000000-0005-0000-0000-000091020000}"/>
    <cellStyle name="Currency 2 3 2 2 4 3" xfId="1981" xr:uid="{00000000-0005-0000-0000-000092020000}"/>
    <cellStyle name="Currency 2 3 2 2 4 3 2" xfId="6480" xr:uid="{00000000-0005-0000-0000-000093020000}"/>
    <cellStyle name="Currency 2 3 2 2 4 4" xfId="3854" xr:uid="{00000000-0005-0000-0000-000094020000}"/>
    <cellStyle name="Currency 2 3 2 2 4 4 2" xfId="8320" xr:uid="{00000000-0005-0000-0000-000095020000}"/>
    <cellStyle name="Currency 2 3 2 2 4 5" xfId="5066" xr:uid="{00000000-0005-0000-0000-000096020000}"/>
    <cellStyle name="Currency 2 3 2 2 5" xfId="555" xr:uid="{00000000-0005-0000-0000-000097020000}"/>
    <cellStyle name="Currency 2 3 2 2 5 2" xfId="1982" xr:uid="{00000000-0005-0000-0000-000098020000}"/>
    <cellStyle name="Currency 2 3 2 2 5 2 2" xfId="6481" xr:uid="{00000000-0005-0000-0000-000099020000}"/>
    <cellStyle name="Currency 2 3 2 2 5 3" xfId="5947" xr:uid="{00000000-0005-0000-0000-00009A020000}"/>
    <cellStyle name="Currency 2 3 2 2 6" xfId="258" xr:uid="{00000000-0005-0000-0000-00009B020000}"/>
    <cellStyle name="Currency 2 3 2 2 6 2" xfId="5888" xr:uid="{00000000-0005-0000-0000-00009C020000}"/>
    <cellStyle name="Currency 2 3 2 2 7" xfId="3333" xr:uid="{00000000-0005-0000-0000-00009D020000}"/>
    <cellStyle name="Currency 2 3 2 2 7 2" xfId="7799" xr:uid="{00000000-0005-0000-0000-00009E020000}"/>
    <cellStyle name="Currency 2 3 2 2 8" xfId="4544" xr:uid="{00000000-0005-0000-0000-00009F020000}"/>
    <cellStyle name="Currency 2 3 2 3" xfId="43" xr:uid="{00000000-0005-0000-0000-0000A0020000}"/>
    <cellStyle name="Currency 2 3 2 3 2" xfId="556" xr:uid="{00000000-0005-0000-0000-0000A1020000}"/>
    <cellStyle name="Currency 2 3 2 3 2 2" xfId="557" xr:uid="{00000000-0005-0000-0000-0000A2020000}"/>
    <cellStyle name="Currency 2 3 2 3 2 2 2" xfId="1983" xr:uid="{00000000-0005-0000-0000-0000A3020000}"/>
    <cellStyle name="Currency 2 3 2 3 2 2 2 2" xfId="6482" xr:uid="{00000000-0005-0000-0000-0000A4020000}"/>
    <cellStyle name="Currency 2 3 2 3 2 2 3" xfId="4124" xr:uid="{00000000-0005-0000-0000-0000A5020000}"/>
    <cellStyle name="Currency 2 3 2 3 2 2 3 2" xfId="8590" xr:uid="{00000000-0005-0000-0000-0000A6020000}"/>
    <cellStyle name="Currency 2 3 2 3 2 2 4" xfId="5336" xr:uid="{00000000-0005-0000-0000-0000A7020000}"/>
    <cellStyle name="Currency 2 3 2 3 2 3" xfId="1984" xr:uid="{00000000-0005-0000-0000-0000A8020000}"/>
    <cellStyle name="Currency 2 3 2 3 2 3 2" xfId="6483" xr:uid="{00000000-0005-0000-0000-0000A9020000}"/>
    <cellStyle name="Currency 2 3 2 3 2 4" xfId="3338" xr:uid="{00000000-0005-0000-0000-0000AA020000}"/>
    <cellStyle name="Currency 2 3 2 3 2 4 2" xfId="7804" xr:uid="{00000000-0005-0000-0000-0000AB020000}"/>
    <cellStyle name="Currency 2 3 2 3 2 5" xfId="4549" xr:uid="{00000000-0005-0000-0000-0000AC020000}"/>
    <cellStyle name="Currency 2 3 2 3 3" xfId="558" xr:uid="{00000000-0005-0000-0000-0000AD020000}"/>
    <cellStyle name="Currency 2 3 2 3 3 2" xfId="559" xr:uid="{00000000-0005-0000-0000-0000AE020000}"/>
    <cellStyle name="Currency 2 3 2 3 3 2 2" xfId="1985" xr:uid="{00000000-0005-0000-0000-0000AF020000}"/>
    <cellStyle name="Currency 2 3 2 3 3 2 2 2" xfId="6484" xr:uid="{00000000-0005-0000-0000-0000B0020000}"/>
    <cellStyle name="Currency 2 3 2 3 3 2 3" xfId="6063" xr:uid="{00000000-0005-0000-0000-0000B1020000}"/>
    <cellStyle name="Currency 2 3 2 3 3 3" xfId="1986" xr:uid="{00000000-0005-0000-0000-0000B2020000}"/>
    <cellStyle name="Currency 2 3 2 3 3 3 2" xfId="6485" xr:uid="{00000000-0005-0000-0000-0000B3020000}"/>
    <cellStyle name="Currency 2 3 2 3 3 4" xfId="3856" xr:uid="{00000000-0005-0000-0000-0000B4020000}"/>
    <cellStyle name="Currency 2 3 2 3 3 4 2" xfId="8322" xr:uid="{00000000-0005-0000-0000-0000B5020000}"/>
    <cellStyle name="Currency 2 3 2 3 3 5" xfId="5068" xr:uid="{00000000-0005-0000-0000-0000B6020000}"/>
    <cellStyle name="Currency 2 3 2 3 4" xfId="560" xr:uid="{00000000-0005-0000-0000-0000B7020000}"/>
    <cellStyle name="Currency 2 3 2 3 4 2" xfId="1987" xr:uid="{00000000-0005-0000-0000-0000B8020000}"/>
    <cellStyle name="Currency 2 3 2 3 4 2 2" xfId="6486" xr:uid="{00000000-0005-0000-0000-0000B9020000}"/>
    <cellStyle name="Currency 2 3 2 3 4 3" xfId="4503" xr:uid="{00000000-0005-0000-0000-0000BA020000}"/>
    <cellStyle name="Currency 2 3 2 3 5" xfId="260" xr:uid="{00000000-0005-0000-0000-0000BB020000}"/>
    <cellStyle name="Currency 2 3 2 3 5 2" xfId="6133" xr:uid="{00000000-0005-0000-0000-0000BC020000}"/>
    <cellStyle name="Currency 2 3 2 3 6" xfId="3337" xr:uid="{00000000-0005-0000-0000-0000BD020000}"/>
    <cellStyle name="Currency 2 3 2 3 6 2" xfId="7803" xr:uid="{00000000-0005-0000-0000-0000BE020000}"/>
    <cellStyle name="Currency 2 3 2 3 7" xfId="4548" xr:uid="{00000000-0005-0000-0000-0000BF020000}"/>
    <cellStyle name="Currency 2 3 2 4" xfId="561" xr:uid="{00000000-0005-0000-0000-0000C0020000}"/>
    <cellStyle name="Currency 2 3 2 4 2" xfId="562" xr:uid="{00000000-0005-0000-0000-0000C1020000}"/>
    <cellStyle name="Currency 2 3 2 4 2 2" xfId="1988" xr:uid="{00000000-0005-0000-0000-0000C2020000}"/>
    <cellStyle name="Currency 2 3 2 4 2 2 2" xfId="6487" xr:uid="{00000000-0005-0000-0000-0000C3020000}"/>
    <cellStyle name="Currency 2 3 2 4 2 3" xfId="4125" xr:uid="{00000000-0005-0000-0000-0000C4020000}"/>
    <cellStyle name="Currency 2 3 2 4 2 3 2" xfId="8591" xr:uid="{00000000-0005-0000-0000-0000C5020000}"/>
    <cellStyle name="Currency 2 3 2 4 2 4" xfId="5337" xr:uid="{00000000-0005-0000-0000-0000C6020000}"/>
    <cellStyle name="Currency 2 3 2 4 3" xfId="1989" xr:uid="{00000000-0005-0000-0000-0000C7020000}"/>
    <cellStyle name="Currency 2 3 2 4 3 2" xfId="6488" xr:uid="{00000000-0005-0000-0000-0000C8020000}"/>
    <cellStyle name="Currency 2 3 2 4 4" xfId="3339" xr:uid="{00000000-0005-0000-0000-0000C9020000}"/>
    <cellStyle name="Currency 2 3 2 4 4 2" xfId="7805" xr:uid="{00000000-0005-0000-0000-0000CA020000}"/>
    <cellStyle name="Currency 2 3 2 4 5" xfId="4550" xr:uid="{00000000-0005-0000-0000-0000CB020000}"/>
    <cellStyle name="Currency 2 3 2 5" xfId="563" xr:uid="{00000000-0005-0000-0000-0000CC020000}"/>
    <cellStyle name="Currency 2 3 2 5 2" xfId="564" xr:uid="{00000000-0005-0000-0000-0000CD020000}"/>
    <cellStyle name="Currency 2 3 2 5 2 2" xfId="1990" xr:uid="{00000000-0005-0000-0000-0000CE020000}"/>
    <cellStyle name="Currency 2 3 2 5 2 2 2" xfId="6489" xr:uid="{00000000-0005-0000-0000-0000CF020000}"/>
    <cellStyle name="Currency 2 3 2 5 2 3" xfId="5802" xr:uid="{00000000-0005-0000-0000-0000D0020000}"/>
    <cellStyle name="Currency 2 3 2 5 3" xfId="1991" xr:uid="{00000000-0005-0000-0000-0000D1020000}"/>
    <cellStyle name="Currency 2 3 2 5 3 2" xfId="6490" xr:uid="{00000000-0005-0000-0000-0000D2020000}"/>
    <cellStyle name="Currency 2 3 2 5 4" xfId="3853" xr:uid="{00000000-0005-0000-0000-0000D3020000}"/>
    <cellStyle name="Currency 2 3 2 5 4 2" xfId="8319" xr:uid="{00000000-0005-0000-0000-0000D4020000}"/>
    <cellStyle name="Currency 2 3 2 5 5" xfId="5065" xr:uid="{00000000-0005-0000-0000-0000D5020000}"/>
    <cellStyle name="Currency 2 3 2 6" xfId="565" xr:uid="{00000000-0005-0000-0000-0000D6020000}"/>
    <cellStyle name="Currency 2 3 2 6 2" xfId="1992" xr:uid="{00000000-0005-0000-0000-0000D7020000}"/>
    <cellStyle name="Currency 2 3 2 6 2 2" xfId="6491" xr:uid="{00000000-0005-0000-0000-0000D8020000}"/>
    <cellStyle name="Currency 2 3 2 6 3" xfId="6147" xr:uid="{00000000-0005-0000-0000-0000D9020000}"/>
    <cellStyle name="Currency 2 3 2 7" xfId="257" xr:uid="{00000000-0005-0000-0000-0000DA020000}"/>
    <cellStyle name="Currency 2 3 2 7 2" xfId="5889" xr:uid="{00000000-0005-0000-0000-0000DB020000}"/>
    <cellStyle name="Currency 2 3 2 8" xfId="3332" xr:uid="{00000000-0005-0000-0000-0000DC020000}"/>
    <cellStyle name="Currency 2 3 2 8 2" xfId="7798" xr:uid="{00000000-0005-0000-0000-0000DD020000}"/>
    <cellStyle name="Currency 2 3 2 9" xfId="4543" xr:uid="{00000000-0005-0000-0000-0000DE020000}"/>
    <cellStyle name="Currency 2 3 3" xfId="44" xr:uid="{00000000-0005-0000-0000-0000DF020000}"/>
    <cellStyle name="Currency 2 3 3 2" xfId="45" xr:uid="{00000000-0005-0000-0000-0000E0020000}"/>
    <cellStyle name="Currency 2 3 3 2 2" xfId="566" xr:uid="{00000000-0005-0000-0000-0000E1020000}"/>
    <cellStyle name="Currency 2 3 3 2 2 2" xfId="567" xr:uid="{00000000-0005-0000-0000-0000E2020000}"/>
    <cellStyle name="Currency 2 3 3 2 2 2 2" xfId="1993" xr:uid="{00000000-0005-0000-0000-0000E3020000}"/>
    <cellStyle name="Currency 2 3 3 2 2 2 2 2" xfId="6492" xr:uid="{00000000-0005-0000-0000-0000E4020000}"/>
    <cellStyle name="Currency 2 3 3 2 2 2 3" xfId="4126" xr:uid="{00000000-0005-0000-0000-0000E5020000}"/>
    <cellStyle name="Currency 2 3 3 2 2 2 3 2" xfId="8592" xr:uid="{00000000-0005-0000-0000-0000E6020000}"/>
    <cellStyle name="Currency 2 3 3 2 2 2 4" xfId="5338" xr:uid="{00000000-0005-0000-0000-0000E7020000}"/>
    <cellStyle name="Currency 2 3 3 2 2 3" xfId="1994" xr:uid="{00000000-0005-0000-0000-0000E8020000}"/>
    <cellStyle name="Currency 2 3 3 2 2 3 2" xfId="6493" xr:uid="{00000000-0005-0000-0000-0000E9020000}"/>
    <cellStyle name="Currency 2 3 3 2 2 4" xfId="3342" xr:uid="{00000000-0005-0000-0000-0000EA020000}"/>
    <cellStyle name="Currency 2 3 3 2 2 4 2" xfId="7808" xr:uid="{00000000-0005-0000-0000-0000EB020000}"/>
    <cellStyle name="Currency 2 3 3 2 2 5" xfId="4553" xr:uid="{00000000-0005-0000-0000-0000EC020000}"/>
    <cellStyle name="Currency 2 3 3 2 3" xfId="568" xr:uid="{00000000-0005-0000-0000-0000ED020000}"/>
    <cellStyle name="Currency 2 3 3 2 3 2" xfId="569" xr:uid="{00000000-0005-0000-0000-0000EE020000}"/>
    <cellStyle name="Currency 2 3 3 2 3 2 2" xfId="1995" xr:uid="{00000000-0005-0000-0000-0000EF020000}"/>
    <cellStyle name="Currency 2 3 3 2 3 2 2 2" xfId="6494" xr:uid="{00000000-0005-0000-0000-0000F0020000}"/>
    <cellStyle name="Currency 2 3 3 2 3 2 3" xfId="5801" xr:uid="{00000000-0005-0000-0000-0000F1020000}"/>
    <cellStyle name="Currency 2 3 3 2 3 3" xfId="1996" xr:uid="{00000000-0005-0000-0000-0000F2020000}"/>
    <cellStyle name="Currency 2 3 3 2 3 3 2" xfId="6495" xr:uid="{00000000-0005-0000-0000-0000F3020000}"/>
    <cellStyle name="Currency 2 3 3 2 3 4" xfId="3858" xr:uid="{00000000-0005-0000-0000-0000F4020000}"/>
    <cellStyle name="Currency 2 3 3 2 3 4 2" xfId="8324" xr:uid="{00000000-0005-0000-0000-0000F5020000}"/>
    <cellStyle name="Currency 2 3 3 2 3 5" xfId="5070" xr:uid="{00000000-0005-0000-0000-0000F6020000}"/>
    <cellStyle name="Currency 2 3 3 2 4" xfId="570" xr:uid="{00000000-0005-0000-0000-0000F7020000}"/>
    <cellStyle name="Currency 2 3 3 2 4 2" xfId="1997" xr:uid="{00000000-0005-0000-0000-0000F8020000}"/>
    <cellStyle name="Currency 2 3 3 2 4 2 2" xfId="6496" xr:uid="{00000000-0005-0000-0000-0000F9020000}"/>
    <cellStyle name="Currency 2 3 3 2 4 3" xfId="6146" xr:uid="{00000000-0005-0000-0000-0000FA020000}"/>
    <cellStyle name="Currency 2 3 3 2 5" xfId="262" xr:uid="{00000000-0005-0000-0000-0000FB020000}"/>
    <cellStyle name="Currency 2 3 3 2 5 2" xfId="5994" xr:uid="{00000000-0005-0000-0000-0000FC020000}"/>
    <cellStyle name="Currency 2 3 3 2 6" xfId="3341" xr:uid="{00000000-0005-0000-0000-0000FD020000}"/>
    <cellStyle name="Currency 2 3 3 2 6 2" xfId="7807" xr:uid="{00000000-0005-0000-0000-0000FE020000}"/>
    <cellStyle name="Currency 2 3 3 2 7" xfId="4552" xr:uid="{00000000-0005-0000-0000-0000FF020000}"/>
    <cellStyle name="Currency 2 3 3 3" xfId="571" xr:uid="{00000000-0005-0000-0000-000000030000}"/>
    <cellStyle name="Currency 2 3 3 3 2" xfId="572" xr:uid="{00000000-0005-0000-0000-000001030000}"/>
    <cellStyle name="Currency 2 3 3 3 2 2" xfId="1998" xr:uid="{00000000-0005-0000-0000-000002030000}"/>
    <cellStyle name="Currency 2 3 3 3 2 2 2" xfId="6497" xr:uid="{00000000-0005-0000-0000-000003030000}"/>
    <cellStyle name="Currency 2 3 3 3 2 3" xfId="4127" xr:uid="{00000000-0005-0000-0000-000004030000}"/>
    <cellStyle name="Currency 2 3 3 3 2 3 2" xfId="8593" xr:uid="{00000000-0005-0000-0000-000005030000}"/>
    <cellStyle name="Currency 2 3 3 3 2 4" xfId="5339" xr:uid="{00000000-0005-0000-0000-000006030000}"/>
    <cellStyle name="Currency 2 3 3 3 3" xfId="1999" xr:uid="{00000000-0005-0000-0000-000007030000}"/>
    <cellStyle name="Currency 2 3 3 3 3 2" xfId="6498" xr:uid="{00000000-0005-0000-0000-000008030000}"/>
    <cellStyle name="Currency 2 3 3 3 4" xfId="3343" xr:uid="{00000000-0005-0000-0000-000009030000}"/>
    <cellStyle name="Currency 2 3 3 3 4 2" xfId="7809" xr:uid="{00000000-0005-0000-0000-00000A030000}"/>
    <cellStyle name="Currency 2 3 3 3 5" xfId="4554" xr:uid="{00000000-0005-0000-0000-00000B030000}"/>
    <cellStyle name="Currency 2 3 3 4" xfId="573" xr:uid="{00000000-0005-0000-0000-00000C030000}"/>
    <cellStyle name="Currency 2 3 3 4 2" xfId="574" xr:uid="{00000000-0005-0000-0000-00000D030000}"/>
    <cellStyle name="Currency 2 3 3 4 2 2" xfId="2000" xr:uid="{00000000-0005-0000-0000-00000E030000}"/>
    <cellStyle name="Currency 2 3 3 4 2 2 2" xfId="6499" xr:uid="{00000000-0005-0000-0000-00000F030000}"/>
    <cellStyle name="Currency 2 3 3 4 2 3" xfId="5946" xr:uid="{00000000-0005-0000-0000-000010030000}"/>
    <cellStyle name="Currency 2 3 3 4 3" xfId="2001" xr:uid="{00000000-0005-0000-0000-000011030000}"/>
    <cellStyle name="Currency 2 3 3 4 3 2" xfId="6500" xr:uid="{00000000-0005-0000-0000-000012030000}"/>
    <cellStyle name="Currency 2 3 3 4 4" xfId="3857" xr:uid="{00000000-0005-0000-0000-000013030000}"/>
    <cellStyle name="Currency 2 3 3 4 4 2" xfId="8323" xr:uid="{00000000-0005-0000-0000-000014030000}"/>
    <cellStyle name="Currency 2 3 3 4 5" xfId="5069" xr:uid="{00000000-0005-0000-0000-000015030000}"/>
    <cellStyle name="Currency 2 3 3 5" xfId="575" xr:uid="{00000000-0005-0000-0000-000016030000}"/>
    <cellStyle name="Currency 2 3 3 5 2" xfId="2002" xr:uid="{00000000-0005-0000-0000-000017030000}"/>
    <cellStyle name="Currency 2 3 3 5 2 2" xfId="6501" xr:uid="{00000000-0005-0000-0000-000018030000}"/>
    <cellStyle name="Currency 2 3 3 5 3" xfId="6062" xr:uid="{00000000-0005-0000-0000-000019030000}"/>
    <cellStyle name="Currency 2 3 3 6" xfId="261" xr:uid="{00000000-0005-0000-0000-00001A030000}"/>
    <cellStyle name="Currency 2 3 3 6 2" xfId="5887" xr:uid="{00000000-0005-0000-0000-00001B030000}"/>
    <cellStyle name="Currency 2 3 3 7" xfId="3340" xr:uid="{00000000-0005-0000-0000-00001C030000}"/>
    <cellStyle name="Currency 2 3 3 7 2" xfId="7806" xr:uid="{00000000-0005-0000-0000-00001D030000}"/>
    <cellStyle name="Currency 2 3 3 8" xfId="4551" xr:uid="{00000000-0005-0000-0000-00001E030000}"/>
    <cellStyle name="Currency 2 3 4" xfId="46" xr:uid="{00000000-0005-0000-0000-00001F030000}"/>
    <cellStyle name="Currency 2 3 4 2" xfId="576" xr:uid="{00000000-0005-0000-0000-000020030000}"/>
    <cellStyle name="Currency 2 3 4 2 2" xfId="577" xr:uid="{00000000-0005-0000-0000-000021030000}"/>
    <cellStyle name="Currency 2 3 4 2 2 2" xfId="578" xr:uid="{00000000-0005-0000-0000-000022030000}"/>
    <cellStyle name="Currency 2 3 4 2 2 2 2" xfId="2003" xr:uid="{00000000-0005-0000-0000-000023030000}"/>
    <cellStyle name="Currency 2 3 4 2 2 2 2 2" xfId="6502" xr:uid="{00000000-0005-0000-0000-000024030000}"/>
    <cellStyle name="Currency 2 3 4 2 2 2 3" xfId="4128" xr:uid="{00000000-0005-0000-0000-000025030000}"/>
    <cellStyle name="Currency 2 3 4 2 2 2 3 2" xfId="8594" xr:uid="{00000000-0005-0000-0000-000026030000}"/>
    <cellStyle name="Currency 2 3 4 2 2 2 4" xfId="5340" xr:uid="{00000000-0005-0000-0000-000027030000}"/>
    <cellStyle name="Currency 2 3 4 2 2 3" xfId="2004" xr:uid="{00000000-0005-0000-0000-000028030000}"/>
    <cellStyle name="Currency 2 3 4 2 2 3 2" xfId="6503" xr:uid="{00000000-0005-0000-0000-000029030000}"/>
    <cellStyle name="Currency 2 3 4 2 2 4" xfId="3346" xr:uid="{00000000-0005-0000-0000-00002A030000}"/>
    <cellStyle name="Currency 2 3 4 2 2 4 2" xfId="7812" xr:uid="{00000000-0005-0000-0000-00002B030000}"/>
    <cellStyle name="Currency 2 3 4 2 2 5" xfId="4557" xr:uid="{00000000-0005-0000-0000-00002C030000}"/>
    <cellStyle name="Currency 2 3 4 2 3" xfId="579" xr:uid="{00000000-0005-0000-0000-00002D030000}"/>
    <cellStyle name="Currency 2 3 4 2 3 2" xfId="580" xr:uid="{00000000-0005-0000-0000-00002E030000}"/>
    <cellStyle name="Currency 2 3 4 2 3 2 2" xfId="2005" xr:uid="{00000000-0005-0000-0000-00002F030000}"/>
    <cellStyle name="Currency 2 3 4 2 3 2 2 2" xfId="6504" xr:uid="{00000000-0005-0000-0000-000030030000}"/>
    <cellStyle name="Currency 2 3 4 2 3 2 3" xfId="5945" xr:uid="{00000000-0005-0000-0000-000031030000}"/>
    <cellStyle name="Currency 2 3 4 2 3 3" xfId="2006" xr:uid="{00000000-0005-0000-0000-000032030000}"/>
    <cellStyle name="Currency 2 3 4 2 3 3 2" xfId="6505" xr:uid="{00000000-0005-0000-0000-000033030000}"/>
    <cellStyle name="Currency 2 3 4 2 3 4" xfId="3860" xr:uid="{00000000-0005-0000-0000-000034030000}"/>
    <cellStyle name="Currency 2 3 4 2 3 4 2" xfId="8326" xr:uid="{00000000-0005-0000-0000-000035030000}"/>
    <cellStyle name="Currency 2 3 4 2 3 5" xfId="5072" xr:uid="{00000000-0005-0000-0000-000036030000}"/>
    <cellStyle name="Currency 2 3 4 2 4" xfId="581" xr:uid="{00000000-0005-0000-0000-000037030000}"/>
    <cellStyle name="Currency 2 3 4 2 4 2" xfId="2007" xr:uid="{00000000-0005-0000-0000-000038030000}"/>
    <cellStyle name="Currency 2 3 4 2 4 2 2" xfId="6506" xr:uid="{00000000-0005-0000-0000-000039030000}"/>
    <cellStyle name="Currency 2 3 4 2 4 3" xfId="6061" xr:uid="{00000000-0005-0000-0000-00003A030000}"/>
    <cellStyle name="Currency 2 3 4 2 5" xfId="2008" xr:uid="{00000000-0005-0000-0000-00003B030000}"/>
    <cellStyle name="Currency 2 3 4 2 5 2" xfId="6507" xr:uid="{00000000-0005-0000-0000-00003C030000}"/>
    <cellStyle name="Currency 2 3 4 2 6" xfId="3345" xr:uid="{00000000-0005-0000-0000-00003D030000}"/>
    <cellStyle name="Currency 2 3 4 2 6 2" xfId="7811" xr:uid="{00000000-0005-0000-0000-00003E030000}"/>
    <cellStyle name="Currency 2 3 4 2 7" xfId="4556" xr:uid="{00000000-0005-0000-0000-00003F030000}"/>
    <cellStyle name="Currency 2 3 4 3" xfId="582" xr:uid="{00000000-0005-0000-0000-000040030000}"/>
    <cellStyle name="Currency 2 3 4 3 2" xfId="583" xr:uid="{00000000-0005-0000-0000-000041030000}"/>
    <cellStyle name="Currency 2 3 4 3 2 2" xfId="2009" xr:uid="{00000000-0005-0000-0000-000042030000}"/>
    <cellStyle name="Currency 2 3 4 3 2 2 2" xfId="6508" xr:uid="{00000000-0005-0000-0000-000043030000}"/>
    <cellStyle name="Currency 2 3 4 3 2 3" xfId="4129" xr:uid="{00000000-0005-0000-0000-000044030000}"/>
    <cellStyle name="Currency 2 3 4 3 2 3 2" xfId="8595" xr:uid="{00000000-0005-0000-0000-000045030000}"/>
    <cellStyle name="Currency 2 3 4 3 2 4" xfId="5341" xr:uid="{00000000-0005-0000-0000-000046030000}"/>
    <cellStyle name="Currency 2 3 4 3 3" xfId="2010" xr:uid="{00000000-0005-0000-0000-000047030000}"/>
    <cellStyle name="Currency 2 3 4 3 3 2" xfId="6509" xr:uid="{00000000-0005-0000-0000-000048030000}"/>
    <cellStyle name="Currency 2 3 4 3 4" xfId="3347" xr:uid="{00000000-0005-0000-0000-000049030000}"/>
    <cellStyle name="Currency 2 3 4 3 4 2" xfId="7813" xr:uid="{00000000-0005-0000-0000-00004A030000}"/>
    <cellStyle name="Currency 2 3 4 3 5" xfId="4558" xr:uid="{00000000-0005-0000-0000-00004B030000}"/>
    <cellStyle name="Currency 2 3 4 4" xfId="584" xr:uid="{00000000-0005-0000-0000-00004C030000}"/>
    <cellStyle name="Currency 2 3 4 4 2" xfId="585" xr:uid="{00000000-0005-0000-0000-00004D030000}"/>
    <cellStyle name="Currency 2 3 4 4 2 2" xfId="2011" xr:uid="{00000000-0005-0000-0000-00004E030000}"/>
    <cellStyle name="Currency 2 3 4 4 2 2 2" xfId="6510" xr:uid="{00000000-0005-0000-0000-00004F030000}"/>
    <cellStyle name="Currency 2 3 4 4 2 3" xfId="5800" xr:uid="{00000000-0005-0000-0000-000050030000}"/>
    <cellStyle name="Currency 2 3 4 4 3" xfId="2012" xr:uid="{00000000-0005-0000-0000-000051030000}"/>
    <cellStyle name="Currency 2 3 4 4 3 2" xfId="6511" xr:uid="{00000000-0005-0000-0000-000052030000}"/>
    <cellStyle name="Currency 2 3 4 4 4" xfId="3859" xr:uid="{00000000-0005-0000-0000-000053030000}"/>
    <cellStyle name="Currency 2 3 4 4 4 2" xfId="8325" xr:uid="{00000000-0005-0000-0000-000054030000}"/>
    <cellStyle name="Currency 2 3 4 4 5" xfId="5071" xr:uid="{00000000-0005-0000-0000-000055030000}"/>
    <cellStyle name="Currency 2 3 4 5" xfId="586" xr:uid="{00000000-0005-0000-0000-000056030000}"/>
    <cellStyle name="Currency 2 3 4 5 2" xfId="2013" xr:uid="{00000000-0005-0000-0000-000057030000}"/>
    <cellStyle name="Currency 2 3 4 5 2 2" xfId="6512" xr:uid="{00000000-0005-0000-0000-000058030000}"/>
    <cellStyle name="Currency 2 3 4 5 3" xfId="5799" xr:uid="{00000000-0005-0000-0000-000059030000}"/>
    <cellStyle name="Currency 2 3 4 6" xfId="263" xr:uid="{00000000-0005-0000-0000-00005A030000}"/>
    <cellStyle name="Currency 2 3 4 6 2" xfId="6132" xr:uid="{00000000-0005-0000-0000-00005B030000}"/>
    <cellStyle name="Currency 2 3 4 7" xfId="3344" xr:uid="{00000000-0005-0000-0000-00005C030000}"/>
    <cellStyle name="Currency 2 3 4 7 2" xfId="7810" xr:uid="{00000000-0005-0000-0000-00005D030000}"/>
    <cellStyle name="Currency 2 3 4 8" xfId="4555" xr:uid="{00000000-0005-0000-0000-00005E030000}"/>
    <cellStyle name="Currency 2 3 5" xfId="587" xr:uid="{00000000-0005-0000-0000-00005F030000}"/>
    <cellStyle name="Currency 2 3 5 2" xfId="588" xr:uid="{00000000-0005-0000-0000-000060030000}"/>
    <cellStyle name="Currency 2 3 5 2 2" xfId="589" xr:uid="{00000000-0005-0000-0000-000061030000}"/>
    <cellStyle name="Currency 2 3 5 2 2 2" xfId="2014" xr:uid="{00000000-0005-0000-0000-000062030000}"/>
    <cellStyle name="Currency 2 3 5 2 2 2 2" xfId="6513" xr:uid="{00000000-0005-0000-0000-000063030000}"/>
    <cellStyle name="Currency 2 3 5 2 2 3" xfId="4130" xr:uid="{00000000-0005-0000-0000-000064030000}"/>
    <cellStyle name="Currency 2 3 5 2 2 3 2" xfId="8596" xr:uid="{00000000-0005-0000-0000-000065030000}"/>
    <cellStyle name="Currency 2 3 5 2 2 4" xfId="5342" xr:uid="{00000000-0005-0000-0000-000066030000}"/>
    <cellStyle name="Currency 2 3 5 2 3" xfId="2015" xr:uid="{00000000-0005-0000-0000-000067030000}"/>
    <cellStyle name="Currency 2 3 5 2 3 2" xfId="6514" xr:uid="{00000000-0005-0000-0000-000068030000}"/>
    <cellStyle name="Currency 2 3 5 2 4" xfId="3349" xr:uid="{00000000-0005-0000-0000-000069030000}"/>
    <cellStyle name="Currency 2 3 5 2 4 2" xfId="7815" xr:uid="{00000000-0005-0000-0000-00006A030000}"/>
    <cellStyle name="Currency 2 3 5 2 5" xfId="4560" xr:uid="{00000000-0005-0000-0000-00006B030000}"/>
    <cellStyle name="Currency 2 3 5 3" xfId="590" xr:uid="{00000000-0005-0000-0000-00006C030000}"/>
    <cellStyle name="Currency 2 3 5 3 2" xfId="591" xr:uid="{00000000-0005-0000-0000-00006D030000}"/>
    <cellStyle name="Currency 2 3 5 3 2 2" xfId="2016" xr:uid="{00000000-0005-0000-0000-00006E030000}"/>
    <cellStyle name="Currency 2 3 5 3 2 2 2" xfId="6515" xr:uid="{00000000-0005-0000-0000-00006F030000}"/>
    <cellStyle name="Currency 2 3 5 3 2 3" xfId="6060" xr:uid="{00000000-0005-0000-0000-000070030000}"/>
    <cellStyle name="Currency 2 3 5 3 3" xfId="2017" xr:uid="{00000000-0005-0000-0000-000071030000}"/>
    <cellStyle name="Currency 2 3 5 3 3 2" xfId="6516" xr:uid="{00000000-0005-0000-0000-000072030000}"/>
    <cellStyle name="Currency 2 3 5 3 4" xfId="3861" xr:uid="{00000000-0005-0000-0000-000073030000}"/>
    <cellStyle name="Currency 2 3 5 3 4 2" xfId="8327" xr:uid="{00000000-0005-0000-0000-000074030000}"/>
    <cellStyle name="Currency 2 3 5 3 5" xfId="5073" xr:uid="{00000000-0005-0000-0000-000075030000}"/>
    <cellStyle name="Currency 2 3 5 4" xfId="592" xr:uid="{00000000-0005-0000-0000-000076030000}"/>
    <cellStyle name="Currency 2 3 5 4 2" xfId="2018" xr:uid="{00000000-0005-0000-0000-000077030000}"/>
    <cellStyle name="Currency 2 3 5 4 2 2" xfId="6517" xr:uid="{00000000-0005-0000-0000-000078030000}"/>
    <cellStyle name="Currency 2 3 5 4 3" xfId="6059" xr:uid="{00000000-0005-0000-0000-000079030000}"/>
    <cellStyle name="Currency 2 3 5 5" xfId="2019" xr:uid="{00000000-0005-0000-0000-00007A030000}"/>
    <cellStyle name="Currency 2 3 5 5 2" xfId="6518" xr:uid="{00000000-0005-0000-0000-00007B030000}"/>
    <cellStyle name="Currency 2 3 5 6" xfId="3348" xr:uid="{00000000-0005-0000-0000-00007C030000}"/>
    <cellStyle name="Currency 2 3 5 6 2" xfId="7814" xr:uid="{00000000-0005-0000-0000-00007D030000}"/>
    <cellStyle name="Currency 2 3 5 7" xfId="4559" xr:uid="{00000000-0005-0000-0000-00007E030000}"/>
    <cellStyle name="Currency 2 3 6" xfId="593" xr:uid="{00000000-0005-0000-0000-00007F030000}"/>
    <cellStyle name="Currency 2 3 6 2" xfId="594" xr:uid="{00000000-0005-0000-0000-000080030000}"/>
    <cellStyle name="Currency 2 3 6 2 2" xfId="2020" xr:uid="{00000000-0005-0000-0000-000081030000}"/>
    <cellStyle name="Currency 2 3 6 2 2 2" xfId="6519" xr:uid="{00000000-0005-0000-0000-000082030000}"/>
    <cellStyle name="Currency 2 3 6 2 3" xfId="4132" xr:uid="{00000000-0005-0000-0000-000083030000}"/>
    <cellStyle name="Currency 2 3 6 2 3 2" xfId="8598" xr:uid="{00000000-0005-0000-0000-000084030000}"/>
    <cellStyle name="Currency 2 3 6 2 4" xfId="5344" xr:uid="{00000000-0005-0000-0000-000085030000}"/>
    <cellStyle name="Currency 2 3 6 3" xfId="2021" xr:uid="{00000000-0005-0000-0000-000086030000}"/>
    <cellStyle name="Currency 2 3 6 3 2" xfId="4131" xr:uid="{00000000-0005-0000-0000-000087030000}"/>
    <cellStyle name="Currency 2 3 6 3 2 2" xfId="8597" xr:uid="{00000000-0005-0000-0000-000088030000}"/>
    <cellStyle name="Currency 2 3 6 3 3" xfId="5343" xr:uid="{00000000-0005-0000-0000-000089030000}"/>
    <cellStyle name="Currency 2 3 6 4" xfId="3350" xr:uid="{00000000-0005-0000-0000-00008A030000}"/>
    <cellStyle name="Currency 2 3 6 4 2" xfId="7816" xr:uid="{00000000-0005-0000-0000-00008B030000}"/>
    <cellStyle name="Currency 2 3 6 5" xfId="4561" xr:uid="{00000000-0005-0000-0000-00008C030000}"/>
    <cellStyle name="Currency 2 3 7" xfId="595" xr:uid="{00000000-0005-0000-0000-00008D030000}"/>
    <cellStyle name="Currency 2 3 7 2" xfId="596" xr:uid="{00000000-0005-0000-0000-00008E030000}"/>
    <cellStyle name="Currency 2 3 7 2 2" xfId="2022" xr:uid="{00000000-0005-0000-0000-00008F030000}"/>
    <cellStyle name="Currency 2 3 7 2 2 2" xfId="6520" xr:uid="{00000000-0005-0000-0000-000090030000}"/>
    <cellStyle name="Currency 2 3 7 2 3" xfId="6058" xr:uid="{00000000-0005-0000-0000-000091030000}"/>
    <cellStyle name="Currency 2 3 7 3" xfId="2023" xr:uid="{00000000-0005-0000-0000-000092030000}"/>
    <cellStyle name="Currency 2 3 7 3 2" xfId="6521" xr:uid="{00000000-0005-0000-0000-000093030000}"/>
    <cellStyle name="Currency 2 3 7 4" xfId="4133" xr:uid="{00000000-0005-0000-0000-000094030000}"/>
    <cellStyle name="Currency 2 3 7 4 2" xfId="8599" xr:uid="{00000000-0005-0000-0000-000095030000}"/>
    <cellStyle name="Currency 2 3 7 5" xfId="5345" xr:uid="{00000000-0005-0000-0000-000096030000}"/>
    <cellStyle name="Currency 2 3 8" xfId="597" xr:uid="{00000000-0005-0000-0000-000097030000}"/>
    <cellStyle name="Currency 2 3 8 2" xfId="2024" xr:uid="{00000000-0005-0000-0000-000098030000}"/>
    <cellStyle name="Currency 2 3 8 2 2" xfId="6522" xr:uid="{00000000-0005-0000-0000-000099030000}"/>
    <cellStyle name="Currency 2 3 8 3" xfId="4134" xr:uid="{00000000-0005-0000-0000-00009A030000}"/>
    <cellStyle name="Currency 2 3 8 3 2" xfId="8600" xr:uid="{00000000-0005-0000-0000-00009B030000}"/>
    <cellStyle name="Currency 2 3 8 4" xfId="5346" xr:uid="{00000000-0005-0000-0000-00009C030000}"/>
    <cellStyle name="Currency 2 3 9" xfId="256" xr:uid="{00000000-0005-0000-0000-00009D030000}"/>
    <cellStyle name="Currency 2 3 9 2" xfId="3852" xr:uid="{00000000-0005-0000-0000-00009E030000}"/>
    <cellStyle name="Currency 2 3 9 2 2" xfId="8318" xr:uid="{00000000-0005-0000-0000-00009F030000}"/>
    <cellStyle name="Currency 2 3 9 3" xfId="5064" xr:uid="{00000000-0005-0000-0000-0000A0030000}"/>
    <cellStyle name="Currency 2 4" xfId="47" xr:uid="{00000000-0005-0000-0000-0000A1030000}"/>
    <cellStyle name="Currency 2 4 2" xfId="48" xr:uid="{00000000-0005-0000-0000-0000A2030000}"/>
    <cellStyle name="Currency 2 4 2 2" xfId="49" xr:uid="{00000000-0005-0000-0000-0000A3030000}"/>
    <cellStyle name="Currency 2 4 2 2 2" xfId="598" xr:uid="{00000000-0005-0000-0000-0000A4030000}"/>
    <cellStyle name="Currency 2 4 2 2 2 2" xfId="599" xr:uid="{00000000-0005-0000-0000-0000A5030000}"/>
    <cellStyle name="Currency 2 4 2 2 2 2 2" xfId="2025" xr:uid="{00000000-0005-0000-0000-0000A6030000}"/>
    <cellStyle name="Currency 2 4 2 2 2 2 2 2" xfId="6523" xr:uid="{00000000-0005-0000-0000-0000A7030000}"/>
    <cellStyle name="Currency 2 4 2 2 2 2 3" xfId="4135" xr:uid="{00000000-0005-0000-0000-0000A8030000}"/>
    <cellStyle name="Currency 2 4 2 2 2 2 3 2" xfId="8601" xr:uid="{00000000-0005-0000-0000-0000A9030000}"/>
    <cellStyle name="Currency 2 4 2 2 2 2 4" xfId="5347" xr:uid="{00000000-0005-0000-0000-0000AA030000}"/>
    <cellStyle name="Currency 2 4 2 2 2 3" xfId="2026" xr:uid="{00000000-0005-0000-0000-0000AB030000}"/>
    <cellStyle name="Currency 2 4 2 2 2 3 2" xfId="6524" xr:uid="{00000000-0005-0000-0000-0000AC030000}"/>
    <cellStyle name="Currency 2 4 2 2 2 4" xfId="3354" xr:uid="{00000000-0005-0000-0000-0000AD030000}"/>
    <cellStyle name="Currency 2 4 2 2 2 4 2" xfId="7820" xr:uid="{00000000-0005-0000-0000-0000AE030000}"/>
    <cellStyle name="Currency 2 4 2 2 2 5" xfId="4565" xr:uid="{00000000-0005-0000-0000-0000AF030000}"/>
    <cellStyle name="Currency 2 4 2 2 3" xfId="600" xr:uid="{00000000-0005-0000-0000-0000B0030000}"/>
    <cellStyle name="Currency 2 4 2 2 3 2" xfId="601" xr:uid="{00000000-0005-0000-0000-0000B1030000}"/>
    <cellStyle name="Currency 2 4 2 2 3 2 2" xfId="2027" xr:uid="{00000000-0005-0000-0000-0000B2030000}"/>
    <cellStyle name="Currency 2 4 2 2 3 2 2 2" xfId="6525" xr:uid="{00000000-0005-0000-0000-0000B3030000}"/>
    <cellStyle name="Currency 2 4 2 2 3 2 3" xfId="5798" xr:uid="{00000000-0005-0000-0000-0000B4030000}"/>
    <cellStyle name="Currency 2 4 2 2 3 3" xfId="2028" xr:uid="{00000000-0005-0000-0000-0000B5030000}"/>
    <cellStyle name="Currency 2 4 2 2 3 3 2" xfId="6526" xr:uid="{00000000-0005-0000-0000-0000B6030000}"/>
    <cellStyle name="Currency 2 4 2 2 3 4" xfId="3864" xr:uid="{00000000-0005-0000-0000-0000B7030000}"/>
    <cellStyle name="Currency 2 4 2 2 3 4 2" xfId="8330" xr:uid="{00000000-0005-0000-0000-0000B8030000}"/>
    <cellStyle name="Currency 2 4 2 2 3 5" xfId="5076" xr:uid="{00000000-0005-0000-0000-0000B9030000}"/>
    <cellStyle name="Currency 2 4 2 2 4" xfId="602" xr:uid="{00000000-0005-0000-0000-0000BA030000}"/>
    <cellStyle name="Currency 2 4 2 2 4 2" xfId="2029" xr:uid="{00000000-0005-0000-0000-0000BB030000}"/>
    <cellStyle name="Currency 2 4 2 2 4 2 2" xfId="6527" xr:uid="{00000000-0005-0000-0000-0000BC030000}"/>
    <cellStyle name="Currency 2 4 2 2 4 3" xfId="5944" xr:uid="{00000000-0005-0000-0000-0000BD030000}"/>
    <cellStyle name="Currency 2 4 2 2 5" xfId="266" xr:uid="{00000000-0005-0000-0000-0000BE030000}"/>
    <cellStyle name="Currency 2 4 2 2 5 2" xfId="5885" xr:uid="{00000000-0005-0000-0000-0000BF030000}"/>
    <cellStyle name="Currency 2 4 2 2 6" xfId="3353" xr:uid="{00000000-0005-0000-0000-0000C0030000}"/>
    <cellStyle name="Currency 2 4 2 2 6 2" xfId="7819" xr:uid="{00000000-0005-0000-0000-0000C1030000}"/>
    <cellStyle name="Currency 2 4 2 2 7" xfId="4564" xr:uid="{00000000-0005-0000-0000-0000C2030000}"/>
    <cellStyle name="Currency 2 4 2 3" xfId="603" xr:uid="{00000000-0005-0000-0000-0000C3030000}"/>
    <cellStyle name="Currency 2 4 2 3 2" xfId="604" xr:uid="{00000000-0005-0000-0000-0000C4030000}"/>
    <cellStyle name="Currency 2 4 2 3 2 2" xfId="2030" xr:uid="{00000000-0005-0000-0000-0000C5030000}"/>
    <cellStyle name="Currency 2 4 2 3 2 2 2" xfId="6528" xr:uid="{00000000-0005-0000-0000-0000C6030000}"/>
    <cellStyle name="Currency 2 4 2 3 2 3" xfId="4136" xr:uid="{00000000-0005-0000-0000-0000C7030000}"/>
    <cellStyle name="Currency 2 4 2 3 2 3 2" xfId="8602" xr:uid="{00000000-0005-0000-0000-0000C8030000}"/>
    <cellStyle name="Currency 2 4 2 3 2 4" xfId="5348" xr:uid="{00000000-0005-0000-0000-0000C9030000}"/>
    <cellStyle name="Currency 2 4 2 3 3" xfId="2031" xr:uid="{00000000-0005-0000-0000-0000CA030000}"/>
    <cellStyle name="Currency 2 4 2 3 3 2" xfId="6529" xr:uid="{00000000-0005-0000-0000-0000CB030000}"/>
    <cellStyle name="Currency 2 4 2 3 4" xfId="3355" xr:uid="{00000000-0005-0000-0000-0000CC030000}"/>
    <cellStyle name="Currency 2 4 2 3 4 2" xfId="7821" xr:uid="{00000000-0005-0000-0000-0000CD030000}"/>
    <cellStyle name="Currency 2 4 2 3 5" xfId="4566" xr:uid="{00000000-0005-0000-0000-0000CE030000}"/>
    <cellStyle name="Currency 2 4 2 4" xfId="605" xr:uid="{00000000-0005-0000-0000-0000CF030000}"/>
    <cellStyle name="Currency 2 4 2 4 2" xfId="606" xr:uid="{00000000-0005-0000-0000-0000D0030000}"/>
    <cellStyle name="Currency 2 4 2 4 2 2" xfId="2032" xr:uid="{00000000-0005-0000-0000-0000D1030000}"/>
    <cellStyle name="Currency 2 4 2 4 2 2 2" xfId="6530" xr:uid="{00000000-0005-0000-0000-0000D2030000}"/>
    <cellStyle name="Currency 2 4 2 4 2 3" xfId="5797" xr:uid="{00000000-0005-0000-0000-0000D3030000}"/>
    <cellStyle name="Currency 2 4 2 4 3" xfId="2033" xr:uid="{00000000-0005-0000-0000-0000D4030000}"/>
    <cellStyle name="Currency 2 4 2 4 3 2" xfId="6531" xr:uid="{00000000-0005-0000-0000-0000D5030000}"/>
    <cellStyle name="Currency 2 4 2 4 4" xfId="3863" xr:uid="{00000000-0005-0000-0000-0000D6030000}"/>
    <cellStyle name="Currency 2 4 2 4 4 2" xfId="8329" xr:uid="{00000000-0005-0000-0000-0000D7030000}"/>
    <cellStyle name="Currency 2 4 2 4 5" xfId="5075" xr:uid="{00000000-0005-0000-0000-0000D8030000}"/>
    <cellStyle name="Currency 2 4 2 5" xfId="607" xr:uid="{00000000-0005-0000-0000-0000D9030000}"/>
    <cellStyle name="Currency 2 4 2 5 2" xfId="2034" xr:uid="{00000000-0005-0000-0000-0000DA030000}"/>
    <cellStyle name="Currency 2 4 2 5 2 2" xfId="6532" xr:uid="{00000000-0005-0000-0000-0000DB030000}"/>
    <cellStyle name="Currency 2 4 2 5 3" xfId="5943" xr:uid="{00000000-0005-0000-0000-0000DC030000}"/>
    <cellStyle name="Currency 2 4 2 6" xfId="265" xr:uid="{00000000-0005-0000-0000-0000DD030000}"/>
    <cellStyle name="Currency 2 4 2 6 2" xfId="5886" xr:uid="{00000000-0005-0000-0000-0000DE030000}"/>
    <cellStyle name="Currency 2 4 2 7" xfId="3352" xr:uid="{00000000-0005-0000-0000-0000DF030000}"/>
    <cellStyle name="Currency 2 4 2 7 2" xfId="7818" xr:uid="{00000000-0005-0000-0000-0000E0030000}"/>
    <cellStyle name="Currency 2 4 2 8" xfId="4563" xr:uid="{00000000-0005-0000-0000-0000E1030000}"/>
    <cellStyle name="Currency 2 4 3" xfId="50" xr:uid="{00000000-0005-0000-0000-0000E2030000}"/>
    <cellStyle name="Currency 2 4 3 2" xfId="608" xr:uid="{00000000-0005-0000-0000-0000E3030000}"/>
    <cellStyle name="Currency 2 4 3 2 2" xfId="609" xr:uid="{00000000-0005-0000-0000-0000E4030000}"/>
    <cellStyle name="Currency 2 4 3 2 2 2" xfId="2035" xr:uid="{00000000-0005-0000-0000-0000E5030000}"/>
    <cellStyle name="Currency 2 4 3 2 2 2 2" xfId="6533" xr:uid="{00000000-0005-0000-0000-0000E6030000}"/>
    <cellStyle name="Currency 2 4 3 2 2 3" xfId="4137" xr:uid="{00000000-0005-0000-0000-0000E7030000}"/>
    <cellStyle name="Currency 2 4 3 2 2 3 2" xfId="8603" xr:uid="{00000000-0005-0000-0000-0000E8030000}"/>
    <cellStyle name="Currency 2 4 3 2 2 4" xfId="5349" xr:uid="{00000000-0005-0000-0000-0000E9030000}"/>
    <cellStyle name="Currency 2 4 3 2 3" xfId="2036" xr:uid="{00000000-0005-0000-0000-0000EA030000}"/>
    <cellStyle name="Currency 2 4 3 2 3 2" xfId="6534" xr:uid="{00000000-0005-0000-0000-0000EB030000}"/>
    <cellStyle name="Currency 2 4 3 2 4" xfId="3357" xr:uid="{00000000-0005-0000-0000-0000EC030000}"/>
    <cellStyle name="Currency 2 4 3 2 4 2" xfId="7823" xr:uid="{00000000-0005-0000-0000-0000ED030000}"/>
    <cellStyle name="Currency 2 4 3 2 5" xfId="4568" xr:uid="{00000000-0005-0000-0000-0000EE030000}"/>
    <cellStyle name="Currency 2 4 3 3" xfId="610" xr:uid="{00000000-0005-0000-0000-0000EF030000}"/>
    <cellStyle name="Currency 2 4 3 3 2" xfId="611" xr:uid="{00000000-0005-0000-0000-0000F0030000}"/>
    <cellStyle name="Currency 2 4 3 3 2 2" xfId="2037" xr:uid="{00000000-0005-0000-0000-0000F1030000}"/>
    <cellStyle name="Currency 2 4 3 3 2 2 2" xfId="6535" xr:uid="{00000000-0005-0000-0000-0000F2030000}"/>
    <cellStyle name="Currency 2 4 3 3 2 3" xfId="6057" xr:uid="{00000000-0005-0000-0000-0000F3030000}"/>
    <cellStyle name="Currency 2 4 3 3 3" xfId="2038" xr:uid="{00000000-0005-0000-0000-0000F4030000}"/>
    <cellStyle name="Currency 2 4 3 3 3 2" xfId="6536" xr:uid="{00000000-0005-0000-0000-0000F5030000}"/>
    <cellStyle name="Currency 2 4 3 3 4" xfId="3865" xr:uid="{00000000-0005-0000-0000-0000F6030000}"/>
    <cellStyle name="Currency 2 4 3 3 4 2" xfId="8331" xr:uid="{00000000-0005-0000-0000-0000F7030000}"/>
    <cellStyle name="Currency 2 4 3 3 5" xfId="5077" xr:uid="{00000000-0005-0000-0000-0000F8030000}"/>
    <cellStyle name="Currency 2 4 3 4" xfId="612" xr:uid="{00000000-0005-0000-0000-0000F9030000}"/>
    <cellStyle name="Currency 2 4 3 4 2" xfId="2039" xr:uid="{00000000-0005-0000-0000-0000FA030000}"/>
    <cellStyle name="Currency 2 4 3 4 2 2" xfId="6537" xr:uid="{00000000-0005-0000-0000-0000FB030000}"/>
    <cellStyle name="Currency 2 4 3 4 3" xfId="5796" xr:uid="{00000000-0005-0000-0000-0000FC030000}"/>
    <cellStyle name="Currency 2 4 3 5" xfId="267" xr:uid="{00000000-0005-0000-0000-0000FD030000}"/>
    <cellStyle name="Currency 2 4 3 5 2" xfId="5991" xr:uid="{00000000-0005-0000-0000-0000FE030000}"/>
    <cellStyle name="Currency 2 4 3 6" xfId="3356" xr:uid="{00000000-0005-0000-0000-0000FF030000}"/>
    <cellStyle name="Currency 2 4 3 6 2" xfId="7822" xr:uid="{00000000-0005-0000-0000-000000040000}"/>
    <cellStyle name="Currency 2 4 3 7" xfId="4567" xr:uid="{00000000-0005-0000-0000-000001040000}"/>
    <cellStyle name="Currency 2 4 4" xfId="613" xr:uid="{00000000-0005-0000-0000-000002040000}"/>
    <cellStyle name="Currency 2 4 4 2" xfId="614" xr:uid="{00000000-0005-0000-0000-000003040000}"/>
    <cellStyle name="Currency 2 4 4 2 2" xfId="2040" xr:uid="{00000000-0005-0000-0000-000004040000}"/>
    <cellStyle name="Currency 2 4 4 2 2 2" xfId="6538" xr:uid="{00000000-0005-0000-0000-000005040000}"/>
    <cellStyle name="Currency 2 4 4 2 3" xfId="4139" xr:uid="{00000000-0005-0000-0000-000006040000}"/>
    <cellStyle name="Currency 2 4 4 2 3 2" xfId="8605" xr:uid="{00000000-0005-0000-0000-000007040000}"/>
    <cellStyle name="Currency 2 4 4 2 4" xfId="5351" xr:uid="{00000000-0005-0000-0000-000008040000}"/>
    <cellStyle name="Currency 2 4 4 3" xfId="2041" xr:uid="{00000000-0005-0000-0000-000009040000}"/>
    <cellStyle name="Currency 2 4 4 3 2" xfId="4138" xr:uid="{00000000-0005-0000-0000-00000A040000}"/>
    <cellStyle name="Currency 2 4 4 3 2 2" xfId="8604" xr:uid="{00000000-0005-0000-0000-00000B040000}"/>
    <cellStyle name="Currency 2 4 4 3 3" xfId="5350" xr:uid="{00000000-0005-0000-0000-00000C040000}"/>
    <cellStyle name="Currency 2 4 4 4" xfId="3358" xr:uid="{00000000-0005-0000-0000-00000D040000}"/>
    <cellStyle name="Currency 2 4 4 4 2" xfId="7824" xr:uid="{00000000-0005-0000-0000-00000E040000}"/>
    <cellStyle name="Currency 2 4 4 5" xfId="4569" xr:uid="{00000000-0005-0000-0000-00000F040000}"/>
    <cellStyle name="Currency 2 4 5" xfId="615" xr:uid="{00000000-0005-0000-0000-000010040000}"/>
    <cellStyle name="Currency 2 4 5 2" xfId="616" xr:uid="{00000000-0005-0000-0000-000011040000}"/>
    <cellStyle name="Currency 2 4 5 2 2" xfId="2042" xr:uid="{00000000-0005-0000-0000-000012040000}"/>
    <cellStyle name="Currency 2 4 5 2 2 2" xfId="6539" xr:uid="{00000000-0005-0000-0000-000013040000}"/>
    <cellStyle name="Currency 2 4 5 2 3" xfId="5939" xr:uid="{00000000-0005-0000-0000-000014040000}"/>
    <cellStyle name="Currency 2 4 5 3" xfId="2043" xr:uid="{00000000-0005-0000-0000-000015040000}"/>
    <cellStyle name="Currency 2 4 5 3 2" xfId="6540" xr:uid="{00000000-0005-0000-0000-000016040000}"/>
    <cellStyle name="Currency 2 4 5 4" xfId="4140" xr:uid="{00000000-0005-0000-0000-000017040000}"/>
    <cellStyle name="Currency 2 4 5 4 2" xfId="8606" xr:uid="{00000000-0005-0000-0000-000018040000}"/>
    <cellStyle name="Currency 2 4 5 5" xfId="5352" xr:uid="{00000000-0005-0000-0000-000019040000}"/>
    <cellStyle name="Currency 2 4 6" xfId="617" xr:uid="{00000000-0005-0000-0000-00001A040000}"/>
    <cellStyle name="Currency 2 4 6 2" xfId="2044" xr:uid="{00000000-0005-0000-0000-00001B040000}"/>
    <cellStyle name="Currency 2 4 6 2 2" xfId="6541" xr:uid="{00000000-0005-0000-0000-00001C040000}"/>
    <cellStyle name="Currency 2 4 6 3" xfId="4141" xr:uid="{00000000-0005-0000-0000-00001D040000}"/>
    <cellStyle name="Currency 2 4 6 3 2" xfId="8607" xr:uid="{00000000-0005-0000-0000-00001E040000}"/>
    <cellStyle name="Currency 2 4 6 4" xfId="5353" xr:uid="{00000000-0005-0000-0000-00001F040000}"/>
    <cellStyle name="Currency 2 4 7" xfId="264" xr:uid="{00000000-0005-0000-0000-000020040000}"/>
    <cellStyle name="Currency 2 4 7 2" xfId="3862" xr:uid="{00000000-0005-0000-0000-000021040000}"/>
    <cellStyle name="Currency 2 4 7 2 2" xfId="8328" xr:uid="{00000000-0005-0000-0000-000022040000}"/>
    <cellStyle name="Currency 2 4 7 3" xfId="5074" xr:uid="{00000000-0005-0000-0000-000023040000}"/>
    <cellStyle name="Currency 2 4 8" xfId="3351" xr:uid="{00000000-0005-0000-0000-000024040000}"/>
    <cellStyle name="Currency 2 4 8 2" xfId="7817" xr:uid="{00000000-0005-0000-0000-000025040000}"/>
    <cellStyle name="Currency 2 4 9" xfId="4562" xr:uid="{00000000-0005-0000-0000-000026040000}"/>
    <cellStyle name="Currency 2 5" xfId="51" xr:uid="{00000000-0005-0000-0000-000027040000}"/>
    <cellStyle name="Currency 2 5 2" xfId="52" xr:uid="{00000000-0005-0000-0000-000028040000}"/>
    <cellStyle name="Currency 2 5 2 2" xfId="618" xr:uid="{00000000-0005-0000-0000-000029040000}"/>
    <cellStyle name="Currency 2 5 2 2 2" xfId="619" xr:uid="{00000000-0005-0000-0000-00002A040000}"/>
    <cellStyle name="Currency 2 5 2 2 2 2" xfId="2045" xr:uid="{00000000-0005-0000-0000-00002B040000}"/>
    <cellStyle name="Currency 2 5 2 2 2 2 2" xfId="6542" xr:uid="{00000000-0005-0000-0000-00002C040000}"/>
    <cellStyle name="Currency 2 5 2 2 2 3" xfId="4142" xr:uid="{00000000-0005-0000-0000-00002D040000}"/>
    <cellStyle name="Currency 2 5 2 2 2 3 2" xfId="8608" xr:uid="{00000000-0005-0000-0000-00002E040000}"/>
    <cellStyle name="Currency 2 5 2 2 2 4" xfId="5354" xr:uid="{00000000-0005-0000-0000-00002F040000}"/>
    <cellStyle name="Currency 2 5 2 2 3" xfId="2046" xr:uid="{00000000-0005-0000-0000-000030040000}"/>
    <cellStyle name="Currency 2 5 2 2 3 2" xfId="6543" xr:uid="{00000000-0005-0000-0000-000031040000}"/>
    <cellStyle name="Currency 2 5 2 2 4" xfId="3361" xr:uid="{00000000-0005-0000-0000-000032040000}"/>
    <cellStyle name="Currency 2 5 2 2 4 2" xfId="7827" xr:uid="{00000000-0005-0000-0000-000033040000}"/>
    <cellStyle name="Currency 2 5 2 2 5" xfId="4572" xr:uid="{00000000-0005-0000-0000-000034040000}"/>
    <cellStyle name="Currency 2 5 2 3" xfId="620" xr:uid="{00000000-0005-0000-0000-000035040000}"/>
    <cellStyle name="Currency 2 5 2 3 2" xfId="621" xr:uid="{00000000-0005-0000-0000-000036040000}"/>
    <cellStyle name="Currency 2 5 2 3 2 2" xfId="2047" xr:uid="{00000000-0005-0000-0000-000037040000}"/>
    <cellStyle name="Currency 2 5 2 3 2 2 2" xfId="6544" xr:uid="{00000000-0005-0000-0000-000038040000}"/>
    <cellStyle name="Currency 2 5 2 3 2 3" xfId="5795" xr:uid="{00000000-0005-0000-0000-000039040000}"/>
    <cellStyle name="Currency 2 5 2 3 3" xfId="2048" xr:uid="{00000000-0005-0000-0000-00003A040000}"/>
    <cellStyle name="Currency 2 5 2 3 3 2" xfId="6545" xr:uid="{00000000-0005-0000-0000-00003B040000}"/>
    <cellStyle name="Currency 2 5 2 3 4" xfId="3867" xr:uid="{00000000-0005-0000-0000-00003C040000}"/>
    <cellStyle name="Currency 2 5 2 3 4 2" xfId="8333" xr:uid="{00000000-0005-0000-0000-00003D040000}"/>
    <cellStyle name="Currency 2 5 2 3 5" xfId="5079" xr:uid="{00000000-0005-0000-0000-00003E040000}"/>
    <cellStyle name="Currency 2 5 2 4" xfId="622" xr:uid="{00000000-0005-0000-0000-00003F040000}"/>
    <cellStyle name="Currency 2 5 2 4 2" xfId="2049" xr:uid="{00000000-0005-0000-0000-000040040000}"/>
    <cellStyle name="Currency 2 5 2 4 2 2" xfId="6546" xr:uid="{00000000-0005-0000-0000-000041040000}"/>
    <cellStyle name="Currency 2 5 2 4 3" xfId="5942" xr:uid="{00000000-0005-0000-0000-000042040000}"/>
    <cellStyle name="Currency 2 5 2 5" xfId="269" xr:uid="{00000000-0005-0000-0000-000043040000}"/>
    <cellStyle name="Currency 2 5 2 5 2" xfId="5884" xr:uid="{00000000-0005-0000-0000-000044040000}"/>
    <cellStyle name="Currency 2 5 2 6" xfId="3360" xr:uid="{00000000-0005-0000-0000-000045040000}"/>
    <cellStyle name="Currency 2 5 2 6 2" xfId="7826" xr:uid="{00000000-0005-0000-0000-000046040000}"/>
    <cellStyle name="Currency 2 5 2 7" xfId="4571" xr:uid="{00000000-0005-0000-0000-000047040000}"/>
    <cellStyle name="Currency 2 5 3" xfId="623" xr:uid="{00000000-0005-0000-0000-000048040000}"/>
    <cellStyle name="Currency 2 5 3 2" xfId="624" xr:uid="{00000000-0005-0000-0000-000049040000}"/>
    <cellStyle name="Currency 2 5 3 2 2" xfId="2050" xr:uid="{00000000-0005-0000-0000-00004A040000}"/>
    <cellStyle name="Currency 2 5 3 2 2 2" xfId="6547" xr:uid="{00000000-0005-0000-0000-00004B040000}"/>
    <cellStyle name="Currency 2 5 3 2 3" xfId="4143" xr:uid="{00000000-0005-0000-0000-00004C040000}"/>
    <cellStyle name="Currency 2 5 3 2 3 2" xfId="8609" xr:uid="{00000000-0005-0000-0000-00004D040000}"/>
    <cellStyle name="Currency 2 5 3 2 4" xfId="5355" xr:uid="{00000000-0005-0000-0000-00004E040000}"/>
    <cellStyle name="Currency 2 5 3 3" xfId="2051" xr:uid="{00000000-0005-0000-0000-00004F040000}"/>
    <cellStyle name="Currency 2 5 3 3 2" xfId="6548" xr:uid="{00000000-0005-0000-0000-000050040000}"/>
    <cellStyle name="Currency 2 5 3 4" xfId="3362" xr:uid="{00000000-0005-0000-0000-000051040000}"/>
    <cellStyle name="Currency 2 5 3 4 2" xfId="7828" xr:uid="{00000000-0005-0000-0000-000052040000}"/>
    <cellStyle name="Currency 2 5 3 5" xfId="4573" xr:uid="{00000000-0005-0000-0000-000053040000}"/>
    <cellStyle name="Currency 2 5 4" xfId="625" xr:uid="{00000000-0005-0000-0000-000054040000}"/>
    <cellStyle name="Currency 2 5 4 2" xfId="626" xr:uid="{00000000-0005-0000-0000-000055040000}"/>
    <cellStyle name="Currency 2 5 4 2 2" xfId="2052" xr:uid="{00000000-0005-0000-0000-000056040000}"/>
    <cellStyle name="Currency 2 5 4 2 2 2" xfId="6549" xr:uid="{00000000-0005-0000-0000-000057040000}"/>
    <cellStyle name="Currency 2 5 4 2 3" xfId="5941" xr:uid="{00000000-0005-0000-0000-000058040000}"/>
    <cellStyle name="Currency 2 5 4 3" xfId="2053" xr:uid="{00000000-0005-0000-0000-000059040000}"/>
    <cellStyle name="Currency 2 5 4 3 2" xfId="6550" xr:uid="{00000000-0005-0000-0000-00005A040000}"/>
    <cellStyle name="Currency 2 5 4 4" xfId="3866" xr:uid="{00000000-0005-0000-0000-00005B040000}"/>
    <cellStyle name="Currency 2 5 4 4 2" xfId="8332" xr:uid="{00000000-0005-0000-0000-00005C040000}"/>
    <cellStyle name="Currency 2 5 4 5" xfId="5078" xr:uid="{00000000-0005-0000-0000-00005D040000}"/>
    <cellStyle name="Currency 2 5 5" xfId="627" xr:uid="{00000000-0005-0000-0000-00005E040000}"/>
    <cellStyle name="Currency 2 5 5 2" xfId="2054" xr:uid="{00000000-0005-0000-0000-00005F040000}"/>
    <cellStyle name="Currency 2 5 5 2 2" xfId="6551" xr:uid="{00000000-0005-0000-0000-000060040000}"/>
    <cellStyle name="Currency 2 5 5 3" xfId="6056" xr:uid="{00000000-0005-0000-0000-000061040000}"/>
    <cellStyle name="Currency 2 5 6" xfId="268" xr:uid="{00000000-0005-0000-0000-000062040000}"/>
    <cellStyle name="Currency 2 5 6 2" xfId="6131" xr:uid="{00000000-0005-0000-0000-000063040000}"/>
    <cellStyle name="Currency 2 5 7" xfId="3359" xr:uid="{00000000-0005-0000-0000-000064040000}"/>
    <cellStyle name="Currency 2 5 7 2" xfId="7825" xr:uid="{00000000-0005-0000-0000-000065040000}"/>
    <cellStyle name="Currency 2 5 8" xfId="4570" xr:uid="{00000000-0005-0000-0000-000066040000}"/>
    <cellStyle name="Currency 2 6" xfId="53" xr:uid="{00000000-0005-0000-0000-000067040000}"/>
    <cellStyle name="Currency 2 6 2" xfId="628" xr:uid="{00000000-0005-0000-0000-000068040000}"/>
    <cellStyle name="Currency 2 6 2 2" xfId="629" xr:uid="{00000000-0005-0000-0000-000069040000}"/>
    <cellStyle name="Currency 2 6 2 2 2" xfId="630" xr:uid="{00000000-0005-0000-0000-00006A040000}"/>
    <cellStyle name="Currency 2 6 2 2 2 2" xfId="2055" xr:uid="{00000000-0005-0000-0000-00006B040000}"/>
    <cellStyle name="Currency 2 6 2 2 2 2 2" xfId="6552" xr:uid="{00000000-0005-0000-0000-00006C040000}"/>
    <cellStyle name="Currency 2 6 2 2 2 3" xfId="4144" xr:uid="{00000000-0005-0000-0000-00006D040000}"/>
    <cellStyle name="Currency 2 6 2 2 2 3 2" xfId="8610" xr:uid="{00000000-0005-0000-0000-00006E040000}"/>
    <cellStyle name="Currency 2 6 2 2 2 4" xfId="5356" xr:uid="{00000000-0005-0000-0000-00006F040000}"/>
    <cellStyle name="Currency 2 6 2 2 3" xfId="2056" xr:uid="{00000000-0005-0000-0000-000070040000}"/>
    <cellStyle name="Currency 2 6 2 2 3 2" xfId="6553" xr:uid="{00000000-0005-0000-0000-000071040000}"/>
    <cellStyle name="Currency 2 6 2 2 4" xfId="3365" xr:uid="{00000000-0005-0000-0000-000072040000}"/>
    <cellStyle name="Currency 2 6 2 2 4 2" xfId="7831" xr:uid="{00000000-0005-0000-0000-000073040000}"/>
    <cellStyle name="Currency 2 6 2 2 5" xfId="4576" xr:uid="{00000000-0005-0000-0000-000074040000}"/>
    <cellStyle name="Currency 2 6 2 3" xfId="631" xr:uid="{00000000-0005-0000-0000-000075040000}"/>
    <cellStyle name="Currency 2 6 2 3 2" xfId="632" xr:uid="{00000000-0005-0000-0000-000076040000}"/>
    <cellStyle name="Currency 2 6 2 3 2 2" xfId="2057" xr:uid="{00000000-0005-0000-0000-000077040000}"/>
    <cellStyle name="Currency 2 6 2 3 2 2 2" xfId="6554" xr:uid="{00000000-0005-0000-0000-000078040000}"/>
    <cellStyle name="Currency 2 6 2 3 2 3" xfId="5794" xr:uid="{00000000-0005-0000-0000-000079040000}"/>
    <cellStyle name="Currency 2 6 2 3 3" xfId="2058" xr:uid="{00000000-0005-0000-0000-00007A040000}"/>
    <cellStyle name="Currency 2 6 2 3 3 2" xfId="6555" xr:uid="{00000000-0005-0000-0000-00007B040000}"/>
    <cellStyle name="Currency 2 6 2 3 4" xfId="3869" xr:uid="{00000000-0005-0000-0000-00007C040000}"/>
    <cellStyle name="Currency 2 6 2 3 4 2" xfId="8335" xr:uid="{00000000-0005-0000-0000-00007D040000}"/>
    <cellStyle name="Currency 2 6 2 3 5" xfId="5081" xr:uid="{00000000-0005-0000-0000-00007E040000}"/>
    <cellStyle name="Currency 2 6 2 4" xfId="633" xr:uid="{00000000-0005-0000-0000-00007F040000}"/>
    <cellStyle name="Currency 2 6 2 4 2" xfId="2059" xr:uid="{00000000-0005-0000-0000-000080040000}"/>
    <cellStyle name="Currency 2 6 2 4 2 2" xfId="6556" xr:uid="{00000000-0005-0000-0000-000081040000}"/>
    <cellStyle name="Currency 2 6 2 4 3" xfId="5793" xr:uid="{00000000-0005-0000-0000-000082040000}"/>
    <cellStyle name="Currency 2 6 2 5" xfId="2060" xr:uid="{00000000-0005-0000-0000-000083040000}"/>
    <cellStyle name="Currency 2 6 2 5 2" xfId="6557" xr:uid="{00000000-0005-0000-0000-000084040000}"/>
    <cellStyle name="Currency 2 6 2 6" xfId="3364" xr:uid="{00000000-0005-0000-0000-000085040000}"/>
    <cellStyle name="Currency 2 6 2 6 2" xfId="7830" xr:uid="{00000000-0005-0000-0000-000086040000}"/>
    <cellStyle name="Currency 2 6 2 7" xfId="4575" xr:uid="{00000000-0005-0000-0000-000087040000}"/>
    <cellStyle name="Currency 2 6 3" xfId="634" xr:uid="{00000000-0005-0000-0000-000088040000}"/>
    <cellStyle name="Currency 2 6 3 2" xfId="635" xr:uid="{00000000-0005-0000-0000-000089040000}"/>
    <cellStyle name="Currency 2 6 3 2 2" xfId="2061" xr:uid="{00000000-0005-0000-0000-00008A040000}"/>
    <cellStyle name="Currency 2 6 3 2 2 2" xfId="6558" xr:uid="{00000000-0005-0000-0000-00008B040000}"/>
    <cellStyle name="Currency 2 6 3 2 3" xfId="4145" xr:uid="{00000000-0005-0000-0000-00008C040000}"/>
    <cellStyle name="Currency 2 6 3 2 3 2" xfId="8611" xr:uid="{00000000-0005-0000-0000-00008D040000}"/>
    <cellStyle name="Currency 2 6 3 2 4" xfId="5357" xr:uid="{00000000-0005-0000-0000-00008E040000}"/>
    <cellStyle name="Currency 2 6 3 3" xfId="2062" xr:uid="{00000000-0005-0000-0000-00008F040000}"/>
    <cellStyle name="Currency 2 6 3 3 2" xfId="6559" xr:uid="{00000000-0005-0000-0000-000090040000}"/>
    <cellStyle name="Currency 2 6 3 4" xfId="3366" xr:uid="{00000000-0005-0000-0000-000091040000}"/>
    <cellStyle name="Currency 2 6 3 4 2" xfId="7832" xr:uid="{00000000-0005-0000-0000-000092040000}"/>
    <cellStyle name="Currency 2 6 3 5" xfId="4577" xr:uid="{00000000-0005-0000-0000-000093040000}"/>
    <cellStyle name="Currency 2 6 4" xfId="636" xr:uid="{00000000-0005-0000-0000-000094040000}"/>
    <cellStyle name="Currency 2 6 4 2" xfId="637" xr:uid="{00000000-0005-0000-0000-000095040000}"/>
    <cellStyle name="Currency 2 6 4 2 2" xfId="2063" xr:uid="{00000000-0005-0000-0000-000096040000}"/>
    <cellStyle name="Currency 2 6 4 2 2 2" xfId="6560" xr:uid="{00000000-0005-0000-0000-000097040000}"/>
    <cellStyle name="Currency 2 6 4 2 3" xfId="5940" xr:uid="{00000000-0005-0000-0000-000098040000}"/>
    <cellStyle name="Currency 2 6 4 3" xfId="2064" xr:uid="{00000000-0005-0000-0000-000099040000}"/>
    <cellStyle name="Currency 2 6 4 3 2" xfId="6561" xr:uid="{00000000-0005-0000-0000-00009A040000}"/>
    <cellStyle name="Currency 2 6 4 4" xfId="3868" xr:uid="{00000000-0005-0000-0000-00009B040000}"/>
    <cellStyle name="Currency 2 6 4 4 2" xfId="8334" xr:uid="{00000000-0005-0000-0000-00009C040000}"/>
    <cellStyle name="Currency 2 6 4 5" xfId="5080" xr:uid="{00000000-0005-0000-0000-00009D040000}"/>
    <cellStyle name="Currency 2 6 5" xfId="638" xr:uid="{00000000-0005-0000-0000-00009E040000}"/>
    <cellStyle name="Currency 2 6 5 2" xfId="2065" xr:uid="{00000000-0005-0000-0000-00009F040000}"/>
    <cellStyle name="Currency 2 6 5 2 2" xfId="6562" xr:uid="{00000000-0005-0000-0000-0000A0040000}"/>
    <cellStyle name="Currency 2 6 5 3" xfId="6055" xr:uid="{00000000-0005-0000-0000-0000A1040000}"/>
    <cellStyle name="Currency 2 6 6" xfId="270" xr:uid="{00000000-0005-0000-0000-0000A2040000}"/>
    <cellStyle name="Currency 2 6 6 2" xfId="5992" xr:uid="{00000000-0005-0000-0000-0000A3040000}"/>
    <cellStyle name="Currency 2 6 7" xfId="3363" xr:uid="{00000000-0005-0000-0000-0000A4040000}"/>
    <cellStyle name="Currency 2 6 7 2" xfId="7829" xr:uid="{00000000-0005-0000-0000-0000A5040000}"/>
    <cellStyle name="Currency 2 6 8" xfId="4574" xr:uid="{00000000-0005-0000-0000-0000A6040000}"/>
    <cellStyle name="Currency 2 7" xfId="639" xr:uid="{00000000-0005-0000-0000-0000A7040000}"/>
    <cellStyle name="Currency 2 7 2" xfId="640" xr:uid="{00000000-0005-0000-0000-0000A8040000}"/>
    <cellStyle name="Currency 2 7 2 2" xfId="641" xr:uid="{00000000-0005-0000-0000-0000A9040000}"/>
    <cellStyle name="Currency 2 7 2 2 2" xfId="2066" xr:uid="{00000000-0005-0000-0000-0000AA040000}"/>
    <cellStyle name="Currency 2 7 2 2 2 2" xfId="6563" xr:uid="{00000000-0005-0000-0000-0000AB040000}"/>
    <cellStyle name="Currency 2 7 2 2 3" xfId="4146" xr:uid="{00000000-0005-0000-0000-0000AC040000}"/>
    <cellStyle name="Currency 2 7 2 2 3 2" xfId="8612" xr:uid="{00000000-0005-0000-0000-0000AD040000}"/>
    <cellStyle name="Currency 2 7 2 2 4" xfId="5358" xr:uid="{00000000-0005-0000-0000-0000AE040000}"/>
    <cellStyle name="Currency 2 7 2 3" xfId="2067" xr:uid="{00000000-0005-0000-0000-0000AF040000}"/>
    <cellStyle name="Currency 2 7 2 3 2" xfId="6564" xr:uid="{00000000-0005-0000-0000-0000B0040000}"/>
    <cellStyle name="Currency 2 7 2 4" xfId="3368" xr:uid="{00000000-0005-0000-0000-0000B1040000}"/>
    <cellStyle name="Currency 2 7 2 4 2" xfId="7834" xr:uid="{00000000-0005-0000-0000-0000B2040000}"/>
    <cellStyle name="Currency 2 7 2 5" xfId="4579" xr:uid="{00000000-0005-0000-0000-0000B3040000}"/>
    <cellStyle name="Currency 2 7 3" xfId="642" xr:uid="{00000000-0005-0000-0000-0000B4040000}"/>
    <cellStyle name="Currency 2 7 3 2" xfId="643" xr:uid="{00000000-0005-0000-0000-0000B5040000}"/>
    <cellStyle name="Currency 2 7 3 2 2" xfId="2068" xr:uid="{00000000-0005-0000-0000-0000B6040000}"/>
    <cellStyle name="Currency 2 7 3 2 2 2" xfId="6565" xr:uid="{00000000-0005-0000-0000-0000B7040000}"/>
    <cellStyle name="Currency 2 7 3 2 3" xfId="6054" xr:uid="{00000000-0005-0000-0000-0000B8040000}"/>
    <cellStyle name="Currency 2 7 3 3" xfId="2069" xr:uid="{00000000-0005-0000-0000-0000B9040000}"/>
    <cellStyle name="Currency 2 7 3 3 2" xfId="6566" xr:uid="{00000000-0005-0000-0000-0000BA040000}"/>
    <cellStyle name="Currency 2 7 3 4" xfId="3870" xr:uid="{00000000-0005-0000-0000-0000BB040000}"/>
    <cellStyle name="Currency 2 7 3 4 2" xfId="8336" xr:uid="{00000000-0005-0000-0000-0000BC040000}"/>
    <cellStyle name="Currency 2 7 3 5" xfId="5082" xr:uid="{00000000-0005-0000-0000-0000BD040000}"/>
    <cellStyle name="Currency 2 7 4" xfId="644" xr:uid="{00000000-0005-0000-0000-0000BE040000}"/>
    <cellStyle name="Currency 2 7 4 2" xfId="2070" xr:uid="{00000000-0005-0000-0000-0000BF040000}"/>
    <cellStyle name="Currency 2 7 4 2 2" xfId="6567" xr:uid="{00000000-0005-0000-0000-0000C0040000}"/>
    <cellStyle name="Currency 2 7 4 3" xfId="5792" xr:uid="{00000000-0005-0000-0000-0000C1040000}"/>
    <cellStyle name="Currency 2 7 5" xfId="2071" xr:uid="{00000000-0005-0000-0000-0000C2040000}"/>
    <cellStyle name="Currency 2 7 5 2" xfId="6568" xr:uid="{00000000-0005-0000-0000-0000C3040000}"/>
    <cellStyle name="Currency 2 7 6" xfId="3367" xr:uid="{00000000-0005-0000-0000-0000C4040000}"/>
    <cellStyle name="Currency 2 7 6 2" xfId="7833" xr:uid="{00000000-0005-0000-0000-0000C5040000}"/>
    <cellStyle name="Currency 2 7 7" xfId="4578" xr:uid="{00000000-0005-0000-0000-0000C6040000}"/>
    <cellStyle name="Currency 2 8" xfId="645" xr:uid="{00000000-0005-0000-0000-0000C7040000}"/>
    <cellStyle name="Currency 2 8 2" xfId="646" xr:uid="{00000000-0005-0000-0000-0000C8040000}"/>
    <cellStyle name="Currency 2 8 2 2" xfId="2072" xr:uid="{00000000-0005-0000-0000-0000C9040000}"/>
    <cellStyle name="Currency 2 8 2 2 2" xfId="6569" xr:uid="{00000000-0005-0000-0000-0000CA040000}"/>
    <cellStyle name="Currency 2 8 2 3" xfId="4148" xr:uid="{00000000-0005-0000-0000-0000CB040000}"/>
    <cellStyle name="Currency 2 8 2 3 2" xfId="8614" xr:uid="{00000000-0005-0000-0000-0000CC040000}"/>
    <cellStyle name="Currency 2 8 2 4" xfId="5360" xr:uid="{00000000-0005-0000-0000-0000CD040000}"/>
    <cellStyle name="Currency 2 8 3" xfId="2073" xr:uid="{00000000-0005-0000-0000-0000CE040000}"/>
    <cellStyle name="Currency 2 8 3 2" xfId="4147" xr:uid="{00000000-0005-0000-0000-0000CF040000}"/>
    <cellStyle name="Currency 2 8 3 2 2" xfId="8613" xr:uid="{00000000-0005-0000-0000-0000D0040000}"/>
    <cellStyle name="Currency 2 8 3 3" xfId="5359" xr:uid="{00000000-0005-0000-0000-0000D1040000}"/>
    <cellStyle name="Currency 2 8 4" xfId="3369" xr:uid="{00000000-0005-0000-0000-0000D2040000}"/>
    <cellStyle name="Currency 2 8 4 2" xfId="7835" xr:uid="{00000000-0005-0000-0000-0000D3040000}"/>
    <cellStyle name="Currency 2 8 5" xfId="4580" xr:uid="{00000000-0005-0000-0000-0000D4040000}"/>
    <cellStyle name="Currency 2 9" xfId="647" xr:uid="{00000000-0005-0000-0000-0000D5040000}"/>
    <cellStyle name="Currency 2 9 2" xfId="648" xr:uid="{00000000-0005-0000-0000-0000D6040000}"/>
    <cellStyle name="Currency 2 9 2 2" xfId="2074" xr:uid="{00000000-0005-0000-0000-0000D7040000}"/>
    <cellStyle name="Currency 2 9 2 2 2" xfId="6570" xr:uid="{00000000-0005-0000-0000-0000D8040000}"/>
    <cellStyle name="Currency 2 9 2 3" xfId="5791" xr:uid="{00000000-0005-0000-0000-0000D9040000}"/>
    <cellStyle name="Currency 2 9 3" xfId="2075" xr:uid="{00000000-0005-0000-0000-0000DA040000}"/>
    <cellStyle name="Currency 2 9 3 2" xfId="6571" xr:uid="{00000000-0005-0000-0000-0000DB040000}"/>
    <cellStyle name="Currency 2 9 4" xfId="4149" xr:uid="{00000000-0005-0000-0000-0000DC040000}"/>
    <cellStyle name="Currency 2 9 4 2" xfId="8615" xr:uid="{00000000-0005-0000-0000-0000DD040000}"/>
    <cellStyle name="Currency 2 9 5" xfId="5361" xr:uid="{00000000-0005-0000-0000-0000DE040000}"/>
    <cellStyle name="Currency 3" xfId="54" xr:uid="{00000000-0005-0000-0000-0000DF040000}"/>
    <cellStyle name="Currency 3 10" xfId="649" xr:uid="{00000000-0005-0000-0000-0000E0040000}"/>
    <cellStyle name="Currency 3 10 2" xfId="2076" xr:uid="{00000000-0005-0000-0000-0000E1040000}"/>
    <cellStyle name="Currency 3 10 2 2" xfId="6572" xr:uid="{00000000-0005-0000-0000-0000E2040000}"/>
    <cellStyle name="Currency 3 10 3" xfId="4150" xr:uid="{00000000-0005-0000-0000-0000E3040000}"/>
    <cellStyle name="Currency 3 10 3 2" xfId="8616" xr:uid="{00000000-0005-0000-0000-0000E4040000}"/>
    <cellStyle name="Currency 3 10 4" xfId="5362" xr:uid="{00000000-0005-0000-0000-0000E5040000}"/>
    <cellStyle name="Currency 3 11" xfId="271" xr:uid="{00000000-0005-0000-0000-0000E6040000}"/>
    <cellStyle name="Currency 3 11 2" xfId="3871" xr:uid="{00000000-0005-0000-0000-0000E7040000}"/>
    <cellStyle name="Currency 3 11 2 2" xfId="8337" xr:uid="{00000000-0005-0000-0000-0000E8040000}"/>
    <cellStyle name="Currency 3 11 3" xfId="5083" xr:uid="{00000000-0005-0000-0000-0000E9040000}"/>
    <cellStyle name="Currency 3 12" xfId="3370" xr:uid="{00000000-0005-0000-0000-0000EA040000}"/>
    <cellStyle name="Currency 3 12 2" xfId="7836" xr:uid="{00000000-0005-0000-0000-0000EB040000}"/>
    <cellStyle name="Currency 3 13" xfId="4581" xr:uid="{00000000-0005-0000-0000-0000EC040000}"/>
    <cellStyle name="Currency 3 2" xfId="55" xr:uid="{00000000-0005-0000-0000-0000ED040000}"/>
    <cellStyle name="Currency 3 2 10" xfId="272" xr:uid="{00000000-0005-0000-0000-0000EE040000}"/>
    <cellStyle name="Currency 3 2 10 2" xfId="3872" xr:uid="{00000000-0005-0000-0000-0000EF040000}"/>
    <cellStyle name="Currency 3 2 10 2 2" xfId="8338" xr:uid="{00000000-0005-0000-0000-0000F0040000}"/>
    <cellStyle name="Currency 3 2 10 3" xfId="5084" xr:uid="{00000000-0005-0000-0000-0000F1040000}"/>
    <cellStyle name="Currency 3 2 11" xfId="3371" xr:uid="{00000000-0005-0000-0000-0000F2040000}"/>
    <cellStyle name="Currency 3 2 11 2" xfId="7837" xr:uid="{00000000-0005-0000-0000-0000F3040000}"/>
    <cellStyle name="Currency 3 2 12" xfId="4582" xr:uid="{00000000-0005-0000-0000-0000F4040000}"/>
    <cellStyle name="Currency 3 2 2" xfId="56" xr:uid="{00000000-0005-0000-0000-0000F5040000}"/>
    <cellStyle name="Currency 3 2 2 10" xfId="4583" xr:uid="{00000000-0005-0000-0000-0000F6040000}"/>
    <cellStyle name="Currency 3 2 2 2" xfId="57" xr:uid="{00000000-0005-0000-0000-0000F7040000}"/>
    <cellStyle name="Currency 3 2 2 2 2" xfId="58" xr:uid="{00000000-0005-0000-0000-0000F8040000}"/>
    <cellStyle name="Currency 3 2 2 2 2 2" xfId="59" xr:uid="{00000000-0005-0000-0000-0000F9040000}"/>
    <cellStyle name="Currency 3 2 2 2 2 2 2" xfId="650" xr:uid="{00000000-0005-0000-0000-0000FA040000}"/>
    <cellStyle name="Currency 3 2 2 2 2 2 2 2" xfId="651" xr:uid="{00000000-0005-0000-0000-0000FB040000}"/>
    <cellStyle name="Currency 3 2 2 2 2 2 2 2 2" xfId="2077" xr:uid="{00000000-0005-0000-0000-0000FC040000}"/>
    <cellStyle name="Currency 3 2 2 2 2 2 2 2 2 2" xfId="6573" xr:uid="{00000000-0005-0000-0000-0000FD040000}"/>
    <cellStyle name="Currency 3 2 2 2 2 2 2 2 3" xfId="4151" xr:uid="{00000000-0005-0000-0000-0000FE040000}"/>
    <cellStyle name="Currency 3 2 2 2 2 2 2 2 3 2" xfId="8617" xr:uid="{00000000-0005-0000-0000-0000FF040000}"/>
    <cellStyle name="Currency 3 2 2 2 2 2 2 2 4" xfId="5363" xr:uid="{00000000-0005-0000-0000-000000050000}"/>
    <cellStyle name="Currency 3 2 2 2 2 2 2 3" xfId="2078" xr:uid="{00000000-0005-0000-0000-000001050000}"/>
    <cellStyle name="Currency 3 2 2 2 2 2 2 3 2" xfId="6574" xr:uid="{00000000-0005-0000-0000-000002050000}"/>
    <cellStyle name="Currency 3 2 2 2 2 2 2 4" xfId="3376" xr:uid="{00000000-0005-0000-0000-000003050000}"/>
    <cellStyle name="Currency 3 2 2 2 2 2 2 4 2" xfId="7842" xr:uid="{00000000-0005-0000-0000-000004050000}"/>
    <cellStyle name="Currency 3 2 2 2 2 2 2 5" xfId="4587" xr:uid="{00000000-0005-0000-0000-000005050000}"/>
    <cellStyle name="Currency 3 2 2 2 2 2 3" xfId="652" xr:uid="{00000000-0005-0000-0000-000006050000}"/>
    <cellStyle name="Currency 3 2 2 2 2 2 3 2" xfId="653" xr:uid="{00000000-0005-0000-0000-000007050000}"/>
    <cellStyle name="Currency 3 2 2 2 2 2 3 2 2" xfId="2079" xr:uid="{00000000-0005-0000-0000-000008050000}"/>
    <cellStyle name="Currency 3 2 2 2 2 2 3 2 2 2" xfId="6575" xr:uid="{00000000-0005-0000-0000-000009050000}"/>
    <cellStyle name="Currency 3 2 2 2 2 2 3 2 3" xfId="6053" xr:uid="{00000000-0005-0000-0000-00000A050000}"/>
    <cellStyle name="Currency 3 2 2 2 2 2 3 3" xfId="2080" xr:uid="{00000000-0005-0000-0000-00000B050000}"/>
    <cellStyle name="Currency 3 2 2 2 2 2 3 3 2" xfId="6576" xr:uid="{00000000-0005-0000-0000-00000C050000}"/>
    <cellStyle name="Currency 3 2 2 2 2 2 3 4" xfId="3876" xr:uid="{00000000-0005-0000-0000-00000D050000}"/>
    <cellStyle name="Currency 3 2 2 2 2 2 3 4 2" xfId="8342" xr:uid="{00000000-0005-0000-0000-00000E050000}"/>
    <cellStyle name="Currency 3 2 2 2 2 2 3 5" xfId="5088" xr:uid="{00000000-0005-0000-0000-00000F050000}"/>
    <cellStyle name="Currency 3 2 2 2 2 2 4" xfId="654" xr:uid="{00000000-0005-0000-0000-000010050000}"/>
    <cellStyle name="Currency 3 2 2 2 2 2 4 2" xfId="2081" xr:uid="{00000000-0005-0000-0000-000011050000}"/>
    <cellStyle name="Currency 3 2 2 2 2 2 4 2 2" xfId="6577" xr:uid="{00000000-0005-0000-0000-000012050000}"/>
    <cellStyle name="Currency 3 2 2 2 2 2 4 3" xfId="5790" xr:uid="{00000000-0005-0000-0000-000013050000}"/>
    <cellStyle name="Currency 3 2 2 2 2 2 5" xfId="276" xr:uid="{00000000-0005-0000-0000-000014050000}"/>
    <cellStyle name="Currency 3 2 2 2 2 2 5 2" xfId="6130" xr:uid="{00000000-0005-0000-0000-000015050000}"/>
    <cellStyle name="Currency 3 2 2 2 2 2 6" xfId="3375" xr:uid="{00000000-0005-0000-0000-000016050000}"/>
    <cellStyle name="Currency 3 2 2 2 2 2 6 2" xfId="7841" xr:uid="{00000000-0005-0000-0000-000017050000}"/>
    <cellStyle name="Currency 3 2 2 2 2 2 7" xfId="4586" xr:uid="{00000000-0005-0000-0000-000018050000}"/>
    <cellStyle name="Currency 3 2 2 2 2 3" xfId="655" xr:uid="{00000000-0005-0000-0000-000019050000}"/>
    <cellStyle name="Currency 3 2 2 2 2 3 2" xfId="656" xr:uid="{00000000-0005-0000-0000-00001A050000}"/>
    <cellStyle name="Currency 3 2 2 2 2 3 2 2" xfId="2082" xr:uid="{00000000-0005-0000-0000-00001B050000}"/>
    <cellStyle name="Currency 3 2 2 2 2 3 2 2 2" xfId="6578" xr:uid="{00000000-0005-0000-0000-00001C050000}"/>
    <cellStyle name="Currency 3 2 2 2 2 3 2 3" xfId="4152" xr:uid="{00000000-0005-0000-0000-00001D050000}"/>
    <cellStyle name="Currency 3 2 2 2 2 3 2 3 2" xfId="8618" xr:uid="{00000000-0005-0000-0000-00001E050000}"/>
    <cellStyle name="Currency 3 2 2 2 2 3 2 4" xfId="5364" xr:uid="{00000000-0005-0000-0000-00001F050000}"/>
    <cellStyle name="Currency 3 2 2 2 2 3 3" xfId="2083" xr:uid="{00000000-0005-0000-0000-000020050000}"/>
    <cellStyle name="Currency 3 2 2 2 2 3 3 2" xfId="6579" xr:uid="{00000000-0005-0000-0000-000021050000}"/>
    <cellStyle name="Currency 3 2 2 2 2 3 4" xfId="3377" xr:uid="{00000000-0005-0000-0000-000022050000}"/>
    <cellStyle name="Currency 3 2 2 2 2 3 4 2" xfId="7843" xr:uid="{00000000-0005-0000-0000-000023050000}"/>
    <cellStyle name="Currency 3 2 2 2 2 3 5" xfId="4588" xr:uid="{00000000-0005-0000-0000-000024050000}"/>
    <cellStyle name="Currency 3 2 2 2 2 4" xfId="657" xr:uid="{00000000-0005-0000-0000-000025050000}"/>
    <cellStyle name="Currency 3 2 2 2 2 4 2" xfId="658" xr:uid="{00000000-0005-0000-0000-000026050000}"/>
    <cellStyle name="Currency 3 2 2 2 2 4 2 2" xfId="2084" xr:uid="{00000000-0005-0000-0000-000027050000}"/>
    <cellStyle name="Currency 3 2 2 2 2 4 2 2 2" xfId="6580" xr:uid="{00000000-0005-0000-0000-000028050000}"/>
    <cellStyle name="Currency 3 2 2 2 2 4 2 3" xfId="6143" xr:uid="{00000000-0005-0000-0000-000029050000}"/>
    <cellStyle name="Currency 3 2 2 2 2 4 3" xfId="2085" xr:uid="{00000000-0005-0000-0000-00002A050000}"/>
    <cellStyle name="Currency 3 2 2 2 2 4 3 2" xfId="6581" xr:uid="{00000000-0005-0000-0000-00002B050000}"/>
    <cellStyle name="Currency 3 2 2 2 2 4 4" xfId="3875" xr:uid="{00000000-0005-0000-0000-00002C050000}"/>
    <cellStyle name="Currency 3 2 2 2 2 4 4 2" xfId="8341" xr:uid="{00000000-0005-0000-0000-00002D050000}"/>
    <cellStyle name="Currency 3 2 2 2 2 4 5" xfId="5087" xr:uid="{00000000-0005-0000-0000-00002E050000}"/>
    <cellStyle name="Currency 3 2 2 2 2 5" xfId="659" xr:uid="{00000000-0005-0000-0000-00002F050000}"/>
    <cellStyle name="Currency 3 2 2 2 2 5 2" xfId="2086" xr:uid="{00000000-0005-0000-0000-000030050000}"/>
    <cellStyle name="Currency 3 2 2 2 2 5 2 2" xfId="6582" xr:uid="{00000000-0005-0000-0000-000031050000}"/>
    <cellStyle name="Currency 3 2 2 2 2 5 3" xfId="5789" xr:uid="{00000000-0005-0000-0000-000032050000}"/>
    <cellStyle name="Currency 3 2 2 2 2 6" xfId="275" xr:uid="{00000000-0005-0000-0000-000033050000}"/>
    <cellStyle name="Currency 3 2 2 2 2 6 2" xfId="5985" xr:uid="{00000000-0005-0000-0000-000034050000}"/>
    <cellStyle name="Currency 3 2 2 2 2 7" xfId="3374" xr:uid="{00000000-0005-0000-0000-000035050000}"/>
    <cellStyle name="Currency 3 2 2 2 2 7 2" xfId="7840" xr:uid="{00000000-0005-0000-0000-000036050000}"/>
    <cellStyle name="Currency 3 2 2 2 2 8" xfId="4585" xr:uid="{00000000-0005-0000-0000-000037050000}"/>
    <cellStyle name="Currency 3 2 2 2 3" xfId="60" xr:uid="{00000000-0005-0000-0000-000038050000}"/>
    <cellStyle name="Currency 3 2 2 2 3 2" xfId="660" xr:uid="{00000000-0005-0000-0000-000039050000}"/>
    <cellStyle name="Currency 3 2 2 2 3 2 2" xfId="661" xr:uid="{00000000-0005-0000-0000-00003A050000}"/>
    <cellStyle name="Currency 3 2 2 2 3 2 2 2" xfId="2087" xr:uid="{00000000-0005-0000-0000-00003B050000}"/>
    <cellStyle name="Currency 3 2 2 2 3 2 2 2 2" xfId="6583" xr:uid="{00000000-0005-0000-0000-00003C050000}"/>
    <cellStyle name="Currency 3 2 2 2 3 2 2 3" xfId="4153" xr:uid="{00000000-0005-0000-0000-00003D050000}"/>
    <cellStyle name="Currency 3 2 2 2 3 2 2 3 2" xfId="8619" xr:uid="{00000000-0005-0000-0000-00003E050000}"/>
    <cellStyle name="Currency 3 2 2 2 3 2 2 4" xfId="5365" xr:uid="{00000000-0005-0000-0000-00003F050000}"/>
    <cellStyle name="Currency 3 2 2 2 3 2 3" xfId="2088" xr:uid="{00000000-0005-0000-0000-000040050000}"/>
    <cellStyle name="Currency 3 2 2 2 3 2 3 2" xfId="6584" xr:uid="{00000000-0005-0000-0000-000041050000}"/>
    <cellStyle name="Currency 3 2 2 2 3 2 4" xfId="3379" xr:uid="{00000000-0005-0000-0000-000042050000}"/>
    <cellStyle name="Currency 3 2 2 2 3 2 4 2" xfId="7845" xr:uid="{00000000-0005-0000-0000-000043050000}"/>
    <cellStyle name="Currency 3 2 2 2 3 2 5" xfId="4590" xr:uid="{00000000-0005-0000-0000-000044050000}"/>
    <cellStyle name="Currency 3 2 2 2 3 3" xfId="662" xr:uid="{00000000-0005-0000-0000-000045050000}"/>
    <cellStyle name="Currency 3 2 2 2 3 3 2" xfId="663" xr:uid="{00000000-0005-0000-0000-000046050000}"/>
    <cellStyle name="Currency 3 2 2 2 3 3 2 2" xfId="2089" xr:uid="{00000000-0005-0000-0000-000047050000}"/>
    <cellStyle name="Currency 3 2 2 2 3 3 2 2 2" xfId="6585" xr:uid="{00000000-0005-0000-0000-000048050000}"/>
    <cellStyle name="Currency 3 2 2 2 3 3 2 3" xfId="6052" xr:uid="{00000000-0005-0000-0000-000049050000}"/>
    <cellStyle name="Currency 3 2 2 2 3 3 3" xfId="2090" xr:uid="{00000000-0005-0000-0000-00004A050000}"/>
    <cellStyle name="Currency 3 2 2 2 3 3 3 2" xfId="6586" xr:uid="{00000000-0005-0000-0000-00004B050000}"/>
    <cellStyle name="Currency 3 2 2 2 3 3 4" xfId="3877" xr:uid="{00000000-0005-0000-0000-00004C050000}"/>
    <cellStyle name="Currency 3 2 2 2 3 3 4 2" xfId="8343" xr:uid="{00000000-0005-0000-0000-00004D050000}"/>
    <cellStyle name="Currency 3 2 2 2 3 3 5" xfId="5089" xr:uid="{00000000-0005-0000-0000-00004E050000}"/>
    <cellStyle name="Currency 3 2 2 2 3 4" xfId="664" xr:uid="{00000000-0005-0000-0000-00004F050000}"/>
    <cellStyle name="Currency 3 2 2 2 3 4 2" xfId="2091" xr:uid="{00000000-0005-0000-0000-000050050000}"/>
    <cellStyle name="Currency 3 2 2 2 3 4 2 2" xfId="6587" xr:uid="{00000000-0005-0000-0000-000051050000}"/>
    <cellStyle name="Currency 3 2 2 2 3 4 3" xfId="5788" xr:uid="{00000000-0005-0000-0000-000052050000}"/>
    <cellStyle name="Currency 3 2 2 2 3 5" xfId="277" xr:uid="{00000000-0005-0000-0000-000053050000}"/>
    <cellStyle name="Currency 3 2 2 2 3 5 2" xfId="6129" xr:uid="{00000000-0005-0000-0000-000054050000}"/>
    <cellStyle name="Currency 3 2 2 2 3 6" xfId="3378" xr:uid="{00000000-0005-0000-0000-000055050000}"/>
    <cellStyle name="Currency 3 2 2 2 3 6 2" xfId="7844" xr:uid="{00000000-0005-0000-0000-000056050000}"/>
    <cellStyle name="Currency 3 2 2 2 3 7" xfId="4589" xr:uid="{00000000-0005-0000-0000-000057050000}"/>
    <cellStyle name="Currency 3 2 2 2 4" xfId="665" xr:uid="{00000000-0005-0000-0000-000058050000}"/>
    <cellStyle name="Currency 3 2 2 2 4 2" xfId="666" xr:uid="{00000000-0005-0000-0000-000059050000}"/>
    <cellStyle name="Currency 3 2 2 2 4 2 2" xfId="2092" xr:uid="{00000000-0005-0000-0000-00005A050000}"/>
    <cellStyle name="Currency 3 2 2 2 4 2 2 2" xfId="6588" xr:uid="{00000000-0005-0000-0000-00005B050000}"/>
    <cellStyle name="Currency 3 2 2 2 4 2 3" xfId="4154" xr:uid="{00000000-0005-0000-0000-00005C050000}"/>
    <cellStyle name="Currency 3 2 2 2 4 2 3 2" xfId="8620" xr:uid="{00000000-0005-0000-0000-00005D050000}"/>
    <cellStyle name="Currency 3 2 2 2 4 2 4" xfId="5366" xr:uid="{00000000-0005-0000-0000-00005E050000}"/>
    <cellStyle name="Currency 3 2 2 2 4 3" xfId="2093" xr:uid="{00000000-0005-0000-0000-00005F050000}"/>
    <cellStyle name="Currency 3 2 2 2 4 3 2" xfId="6589" xr:uid="{00000000-0005-0000-0000-000060050000}"/>
    <cellStyle name="Currency 3 2 2 2 4 4" xfId="3380" xr:uid="{00000000-0005-0000-0000-000061050000}"/>
    <cellStyle name="Currency 3 2 2 2 4 4 2" xfId="7846" xr:uid="{00000000-0005-0000-0000-000062050000}"/>
    <cellStyle name="Currency 3 2 2 2 4 5" xfId="4591" xr:uid="{00000000-0005-0000-0000-000063050000}"/>
    <cellStyle name="Currency 3 2 2 2 5" xfId="667" xr:uid="{00000000-0005-0000-0000-000064050000}"/>
    <cellStyle name="Currency 3 2 2 2 5 2" xfId="668" xr:uid="{00000000-0005-0000-0000-000065050000}"/>
    <cellStyle name="Currency 3 2 2 2 5 2 2" xfId="2094" xr:uid="{00000000-0005-0000-0000-000066050000}"/>
    <cellStyle name="Currency 3 2 2 2 5 2 2 2" xfId="6590" xr:uid="{00000000-0005-0000-0000-000067050000}"/>
    <cellStyle name="Currency 3 2 2 2 5 2 3" xfId="5787" xr:uid="{00000000-0005-0000-0000-000068050000}"/>
    <cellStyle name="Currency 3 2 2 2 5 3" xfId="2095" xr:uid="{00000000-0005-0000-0000-000069050000}"/>
    <cellStyle name="Currency 3 2 2 2 5 3 2" xfId="6591" xr:uid="{00000000-0005-0000-0000-00006A050000}"/>
    <cellStyle name="Currency 3 2 2 2 5 4" xfId="3874" xr:uid="{00000000-0005-0000-0000-00006B050000}"/>
    <cellStyle name="Currency 3 2 2 2 5 4 2" xfId="8340" xr:uid="{00000000-0005-0000-0000-00006C050000}"/>
    <cellStyle name="Currency 3 2 2 2 5 5" xfId="5086" xr:uid="{00000000-0005-0000-0000-00006D050000}"/>
    <cellStyle name="Currency 3 2 2 2 6" xfId="669" xr:uid="{00000000-0005-0000-0000-00006E050000}"/>
    <cellStyle name="Currency 3 2 2 2 6 2" xfId="2096" xr:uid="{00000000-0005-0000-0000-00006F050000}"/>
    <cellStyle name="Currency 3 2 2 2 6 2 2" xfId="6592" xr:uid="{00000000-0005-0000-0000-000070050000}"/>
    <cellStyle name="Currency 3 2 2 2 6 3" xfId="5786" xr:uid="{00000000-0005-0000-0000-000071050000}"/>
    <cellStyle name="Currency 3 2 2 2 7" xfId="274" xr:uid="{00000000-0005-0000-0000-000072050000}"/>
    <cellStyle name="Currency 3 2 2 2 7 2" xfId="5883" xr:uid="{00000000-0005-0000-0000-000073050000}"/>
    <cellStyle name="Currency 3 2 2 2 8" xfId="3373" xr:uid="{00000000-0005-0000-0000-000074050000}"/>
    <cellStyle name="Currency 3 2 2 2 8 2" xfId="7839" xr:uid="{00000000-0005-0000-0000-000075050000}"/>
    <cellStyle name="Currency 3 2 2 2 9" xfId="4584" xr:uid="{00000000-0005-0000-0000-000076050000}"/>
    <cellStyle name="Currency 3 2 2 3" xfId="61" xr:uid="{00000000-0005-0000-0000-000077050000}"/>
    <cellStyle name="Currency 3 2 2 3 2" xfId="62" xr:uid="{00000000-0005-0000-0000-000078050000}"/>
    <cellStyle name="Currency 3 2 2 3 2 2" xfId="670" xr:uid="{00000000-0005-0000-0000-000079050000}"/>
    <cellStyle name="Currency 3 2 2 3 2 2 2" xfId="671" xr:uid="{00000000-0005-0000-0000-00007A050000}"/>
    <cellStyle name="Currency 3 2 2 3 2 2 2 2" xfId="2097" xr:uid="{00000000-0005-0000-0000-00007B050000}"/>
    <cellStyle name="Currency 3 2 2 3 2 2 2 2 2" xfId="6593" xr:uid="{00000000-0005-0000-0000-00007C050000}"/>
    <cellStyle name="Currency 3 2 2 3 2 2 2 3" xfId="4155" xr:uid="{00000000-0005-0000-0000-00007D050000}"/>
    <cellStyle name="Currency 3 2 2 3 2 2 2 3 2" xfId="8621" xr:uid="{00000000-0005-0000-0000-00007E050000}"/>
    <cellStyle name="Currency 3 2 2 3 2 2 2 4" xfId="5367" xr:uid="{00000000-0005-0000-0000-00007F050000}"/>
    <cellStyle name="Currency 3 2 2 3 2 2 3" xfId="2098" xr:uid="{00000000-0005-0000-0000-000080050000}"/>
    <cellStyle name="Currency 3 2 2 3 2 2 3 2" xfId="6594" xr:uid="{00000000-0005-0000-0000-000081050000}"/>
    <cellStyle name="Currency 3 2 2 3 2 2 4" xfId="3383" xr:uid="{00000000-0005-0000-0000-000082050000}"/>
    <cellStyle name="Currency 3 2 2 3 2 2 4 2" xfId="7849" xr:uid="{00000000-0005-0000-0000-000083050000}"/>
    <cellStyle name="Currency 3 2 2 3 2 2 5" xfId="4594" xr:uid="{00000000-0005-0000-0000-000084050000}"/>
    <cellStyle name="Currency 3 2 2 3 2 3" xfId="672" xr:uid="{00000000-0005-0000-0000-000085050000}"/>
    <cellStyle name="Currency 3 2 2 3 2 3 2" xfId="673" xr:uid="{00000000-0005-0000-0000-000086050000}"/>
    <cellStyle name="Currency 3 2 2 3 2 3 2 2" xfId="2099" xr:uid="{00000000-0005-0000-0000-000087050000}"/>
    <cellStyle name="Currency 3 2 2 3 2 3 2 2 2" xfId="6595" xr:uid="{00000000-0005-0000-0000-000088050000}"/>
    <cellStyle name="Currency 3 2 2 3 2 3 2 3" xfId="5785" xr:uid="{00000000-0005-0000-0000-000089050000}"/>
    <cellStyle name="Currency 3 2 2 3 2 3 3" xfId="2100" xr:uid="{00000000-0005-0000-0000-00008A050000}"/>
    <cellStyle name="Currency 3 2 2 3 2 3 3 2" xfId="6596" xr:uid="{00000000-0005-0000-0000-00008B050000}"/>
    <cellStyle name="Currency 3 2 2 3 2 3 4" xfId="3879" xr:uid="{00000000-0005-0000-0000-00008C050000}"/>
    <cellStyle name="Currency 3 2 2 3 2 3 4 2" xfId="8345" xr:uid="{00000000-0005-0000-0000-00008D050000}"/>
    <cellStyle name="Currency 3 2 2 3 2 3 5" xfId="5091" xr:uid="{00000000-0005-0000-0000-00008E050000}"/>
    <cellStyle name="Currency 3 2 2 3 2 4" xfId="674" xr:uid="{00000000-0005-0000-0000-00008F050000}"/>
    <cellStyle name="Currency 3 2 2 3 2 4 2" xfId="2101" xr:uid="{00000000-0005-0000-0000-000090050000}"/>
    <cellStyle name="Currency 3 2 2 3 2 4 2 2" xfId="6597" xr:uid="{00000000-0005-0000-0000-000091050000}"/>
    <cellStyle name="Currency 3 2 2 3 2 4 3" xfId="5938" xr:uid="{00000000-0005-0000-0000-000092050000}"/>
    <cellStyle name="Currency 3 2 2 3 2 5" xfId="279" xr:uid="{00000000-0005-0000-0000-000093050000}"/>
    <cellStyle name="Currency 3 2 2 3 2 5 2" xfId="5990" xr:uid="{00000000-0005-0000-0000-000094050000}"/>
    <cellStyle name="Currency 3 2 2 3 2 6" xfId="3382" xr:uid="{00000000-0005-0000-0000-000095050000}"/>
    <cellStyle name="Currency 3 2 2 3 2 6 2" xfId="7848" xr:uid="{00000000-0005-0000-0000-000096050000}"/>
    <cellStyle name="Currency 3 2 2 3 2 7" xfId="4593" xr:uid="{00000000-0005-0000-0000-000097050000}"/>
    <cellStyle name="Currency 3 2 2 3 3" xfId="675" xr:uid="{00000000-0005-0000-0000-000098050000}"/>
    <cellStyle name="Currency 3 2 2 3 3 2" xfId="676" xr:uid="{00000000-0005-0000-0000-000099050000}"/>
    <cellStyle name="Currency 3 2 2 3 3 2 2" xfId="2102" xr:uid="{00000000-0005-0000-0000-00009A050000}"/>
    <cellStyle name="Currency 3 2 2 3 3 2 2 2" xfId="6598" xr:uid="{00000000-0005-0000-0000-00009B050000}"/>
    <cellStyle name="Currency 3 2 2 3 3 2 3" xfId="4156" xr:uid="{00000000-0005-0000-0000-00009C050000}"/>
    <cellStyle name="Currency 3 2 2 3 3 2 3 2" xfId="8622" xr:uid="{00000000-0005-0000-0000-00009D050000}"/>
    <cellStyle name="Currency 3 2 2 3 3 2 4" xfId="5368" xr:uid="{00000000-0005-0000-0000-00009E050000}"/>
    <cellStyle name="Currency 3 2 2 3 3 3" xfId="2103" xr:uid="{00000000-0005-0000-0000-00009F050000}"/>
    <cellStyle name="Currency 3 2 2 3 3 3 2" xfId="6599" xr:uid="{00000000-0005-0000-0000-0000A0050000}"/>
    <cellStyle name="Currency 3 2 2 3 3 4" xfId="3384" xr:uid="{00000000-0005-0000-0000-0000A1050000}"/>
    <cellStyle name="Currency 3 2 2 3 3 4 2" xfId="7850" xr:uid="{00000000-0005-0000-0000-0000A2050000}"/>
    <cellStyle name="Currency 3 2 2 3 3 5" xfId="4595" xr:uid="{00000000-0005-0000-0000-0000A3050000}"/>
    <cellStyle name="Currency 3 2 2 3 4" xfId="677" xr:uid="{00000000-0005-0000-0000-0000A4050000}"/>
    <cellStyle name="Currency 3 2 2 3 4 2" xfId="678" xr:uid="{00000000-0005-0000-0000-0000A5050000}"/>
    <cellStyle name="Currency 3 2 2 3 4 2 2" xfId="2104" xr:uid="{00000000-0005-0000-0000-0000A6050000}"/>
    <cellStyle name="Currency 3 2 2 3 4 2 2 2" xfId="6600" xr:uid="{00000000-0005-0000-0000-0000A7050000}"/>
    <cellStyle name="Currency 3 2 2 3 4 2 3" xfId="5784" xr:uid="{00000000-0005-0000-0000-0000A8050000}"/>
    <cellStyle name="Currency 3 2 2 3 4 3" xfId="2105" xr:uid="{00000000-0005-0000-0000-0000A9050000}"/>
    <cellStyle name="Currency 3 2 2 3 4 3 2" xfId="6601" xr:uid="{00000000-0005-0000-0000-0000AA050000}"/>
    <cellStyle name="Currency 3 2 2 3 4 4" xfId="3878" xr:uid="{00000000-0005-0000-0000-0000AB050000}"/>
    <cellStyle name="Currency 3 2 2 3 4 4 2" xfId="8344" xr:uid="{00000000-0005-0000-0000-0000AC050000}"/>
    <cellStyle name="Currency 3 2 2 3 4 5" xfId="5090" xr:uid="{00000000-0005-0000-0000-0000AD050000}"/>
    <cellStyle name="Currency 3 2 2 3 5" xfId="679" xr:uid="{00000000-0005-0000-0000-0000AE050000}"/>
    <cellStyle name="Currency 3 2 2 3 5 2" xfId="2106" xr:uid="{00000000-0005-0000-0000-0000AF050000}"/>
    <cellStyle name="Currency 3 2 2 3 5 2 2" xfId="6602" xr:uid="{00000000-0005-0000-0000-0000B0050000}"/>
    <cellStyle name="Currency 3 2 2 3 5 3" xfId="6145" xr:uid="{00000000-0005-0000-0000-0000B1050000}"/>
    <cellStyle name="Currency 3 2 2 3 6" xfId="278" xr:uid="{00000000-0005-0000-0000-0000B2050000}"/>
    <cellStyle name="Currency 3 2 2 3 6 2" xfId="5882" xr:uid="{00000000-0005-0000-0000-0000B3050000}"/>
    <cellStyle name="Currency 3 2 2 3 7" xfId="3381" xr:uid="{00000000-0005-0000-0000-0000B4050000}"/>
    <cellStyle name="Currency 3 2 2 3 7 2" xfId="7847" xr:uid="{00000000-0005-0000-0000-0000B5050000}"/>
    <cellStyle name="Currency 3 2 2 3 8" xfId="4592" xr:uid="{00000000-0005-0000-0000-0000B6050000}"/>
    <cellStyle name="Currency 3 2 2 4" xfId="63" xr:uid="{00000000-0005-0000-0000-0000B7050000}"/>
    <cellStyle name="Currency 3 2 2 4 2" xfId="680" xr:uid="{00000000-0005-0000-0000-0000B8050000}"/>
    <cellStyle name="Currency 3 2 2 4 2 2" xfId="681" xr:uid="{00000000-0005-0000-0000-0000B9050000}"/>
    <cellStyle name="Currency 3 2 2 4 2 2 2" xfId="2107" xr:uid="{00000000-0005-0000-0000-0000BA050000}"/>
    <cellStyle name="Currency 3 2 2 4 2 2 2 2" xfId="6603" xr:uid="{00000000-0005-0000-0000-0000BB050000}"/>
    <cellStyle name="Currency 3 2 2 4 2 2 3" xfId="4157" xr:uid="{00000000-0005-0000-0000-0000BC050000}"/>
    <cellStyle name="Currency 3 2 2 4 2 2 3 2" xfId="8623" xr:uid="{00000000-0005-0000-0000-0000BD050000}"/>
    <cellStyle name="Currency 3 2 2 4 2 2 4" xfId="5369" xr:uid="{00000000-0005-0000-0000-0000BE050000}"/>
    <cellStyle name="Currency 3 2 2 4 2 3" xfId="2108" xr:uid="{00000000-0005-0000-0000-0000BF050000}"/>
    <cellStyle name="Currency 3 2 2 4 2 3 2" xfId="6604" xr:uid="{00000000-0005-0000-0000-0000C0050000}"/>
    <cellStyle name="Currency 3 2 2 4 2 4" xfId="3386" xr:uid="{00000000-0005-0000-0000-0000C1050000}"/>
    <cellStyle name="Currency 3 2 2 4 2 4 2" xfId="7852" xr:uid="{00000000-0005-0000-0000-0000C2050000}"/>
    <cellStyle name="Currency 3 2 2 4 2 5" xfId="4597" xr:uid="{00000000-0005-0000-0000-0000C3050000}"/>
    <cellStyle name="Currency 3 2 2 4 3" xfId="682" xr:uid="{00000000-0005-0000-0000-0000C4050000}"/>
    <cellStyle name="Currency 3 2 2 4 3 2" xfId="683" xr:uid="{00000000-0005-0000-0000-0000C5050000}"/>
    <cellStyle name="Currency 3 2 2 4 3 2 2" xfId="2109" xr:uid="{00000000-0005-0000-0000-0000C6050000}"/>
    <cellStyle name="Currency 3 2 2 4 3 2 2 2" xfId="6605" xr:uid="{00000000-0005-0000-0000-0000C7050000}"/>
    <cellStyle name="Currency 3 2 2 4 3 2 3" xfId="5937" xr:uid="{00000000-0005-0000-0000-0000C8050000}"/>
    <cellStyle name="Currency 3 2 2 4 3 3" xfId="2110" xr:uid="{00000000-0005-0000-0000-0000C9050000}"/>
    <cellStyle name="Currency 3 2 2 4 3 3 2" xfId="6606" xr:uid="{00000000-0005-0000-0000-0000CA050000}"/>
    <cellStyle name="Currency 3 2 2 4 3 4" xfId="3880" xr:uid="{00000000-0005-0000-0000-0000CB050000}"/>
    <cellStyle name="Currency 3 2 2 4 3 4 2" xfId="8346" xr:uid="{00000000-0005-0000-0000-0000CC050000}"/>
    <cellStyle name="Currency 3 2 2 4 3 5" xfId="5092" xr:uid="{00000000-0005-0000-0000-0000CD050000}"/>
    <cellStyle name="Currency 3 2 2 4 4" xfId="684" xr:uid="{00000000-0005-0000-0000-0000CE050000}"/>
    <cellStyle name="Currency 3 2 2 4 4 2" xfId="2111" xr:uid="{00000000-0005-0000-0000-0000CF050000}"/>
    <cellStyle name="Currency 3 2 2 4 4 2 2" xfId="6607" xr:uid="{00000000-0005-0000-0000-0000D0050000}"/>
    <cellStyle name="Currency 3 2 2 4 4 3" xfId="6051" xr:uid="{00000000-0005-0000-0000-0000D1050000}"/>
    <cellStyle name="Currency 3 2 2 4 5" xfId="280" xr:uid="{00000000-0005-0000-0000-0000D2050000}"/>
    <cellStyle name="Currency 3 2 2 4 5 2" xfId="6128" xr:uid="{00000000-0005-0000-0000-0000D3050000}"/>
    <cellStyle name="Currency 3 2 2 4 6" xfId="3385" xr:uid="{00000000-0005-0000-0000-0000D4050000}"/>
    <cellStyle name="Currency 3 2 2 4 6 2" xfId="7851" xr:uid="{00000000-0005-0000-0000-0000D5050000}"/>
    <cellStyle name="Currency 3 2 2 4 7" xfId="4596" xr:uid="{00000000-0005-0000-0000-0000D6050000}"/>
    <cellStyle name="Currency 3 2 2 5" xfId="685" xr:uid="{00000000-0005-0000-0000-0000D7050000}"/>
    <cellStyle name="Currency 3 2 2 5 2" xfId="686" xr:uid="{00000000-0005-0000-0000-0000D8050000}"/>
    <cellStyle name="Currency 3 2 2 5 2 2" xfId="2112" xr:uid="{00000000-0005-0000-0000-0000D9050000}"/>
    <cellStyle name="Currency 3 2 2 5 2 2 2" xfId="6608" xr:uid="{00000000-0005-0000-0000-0000DA050000}"/>
    <cellStyle name="Currency 3 2 2 5 2 3" xfId="4159" xr:uid="{00000000-0005-0000-0000-0000DB050000}"/>
    <cellStyle name="Currency 3 2 2 5 2 3 2" xfId="8625" xr:uid="{00000000-0005-0000-0000-0000DC050000}"/>
    <cellStyle name="Currency 3 2 2 5 2 4" xfId="5371" xr:uid="{00000000-0005-0000-0000-0000DD050000}"/>
    <cellStyle name="Currency 3 2 2 5 3" xfId="2113" xr:uid="{00000000-0005-0000-0000-0000DE050000}"/>
    <cellStyle name="Currency 3 2 2 5 3 2" xfId="4158" xr:uid="{00000000-0005-0000-0000-0000DF050000}"/>
    <cellStyle name="Currency 3 2 2 5 3 2 2" xfId="8624" xr:uid="{00000000-0005-0000-0000-0000E0050000}"/>
    <cellStyle name="Currency 3 2 2 5 3 3" xfId="5370" xr:uid="{00000000-0005-0000-0000-0000E1050000}"/>
    <cellStyle name="Currency 3 2 2 5 4" xfId="3387" xr:uid="{00000000-0005-0000-0000-0000E2050000}"/>
    <cellStyle name="Currency 3 2 2 5 4 2" xfId="7853" xr:uid="{00000000-0005-0000-0000-0000E3050000}"/>
    <cellStyle name="Currency 3 2 2 5 5" xfId="4598" xr:uid="{00000000-0005-0000-0000-0000E4050000}"/>
    <cellStyle name="Currency 3 2 2 6" xfId="687" xr:uid="{00000000-0005-0000-0000-0000E5050000}"/>
    <cellStyle name="Currency 3 2 2 6 2" xfId="688" xr:uid="{00000000-0005-0000-0000-0000E6050000}"/>
    <cellStyle name="Currency 3 2 2 6 2 2" xfId="2114" xr:uid="{00000000-0005-0000-0000-0000E7050000}"/>
    <cellStyle name="Currency 3 2 2 6 2 2 2" xfId="6609" xr:uid="{00000000-0005-0000-0000-0000E8050000}"/>
    <cellStyle name="Currency 3 2 2 6 2 3" xfId="6144" xr:uid="{00000000-0005-0000-0000-0000E9050000}"/>
    <cellStyle name="Currency 3 2 2 6 3" xfId="2115" xr:uid="{00000000-0005-0000-0000-0000EA050000}"/>
    <cellStyle name="Currency 3 2 2 6 3 2" xfId="6610" xr:uid="{00000000-0005-0000-0000-0000EB050000}"/>
    <cellStyle name="Currency 3 2 2 6 4" xfId="4160" xr:uid="{00000000-0005-0000-0000-0000EC050000}"/>
    <cellStyle name="Currency 3 2 2 6 4 2" xfId="8626" xr:uid="{00000000-0005-0000-0000-0000ED050000}"/>
    <cellStyle name="Currency 3 2 2 6 5" xfId="5372" xr:uid="{00000000-0005-0000-0000-0000EE050000}"/>
    <cellStyle name="Currency 3 2 2 7" xfId="689" xr:uid="{00000000-0005-0000-0000-0000EF050000}"/>
    <cellStyle name="Currency 3 2 2 7 2" xfId="2116" xr:uid="{00000000-0005-0000-0000-0000F0050000}"/>
    <cellStyle name="Currency 3 2 2 7 2 2" xfId="6611" xr:uid="{00000000-0005-0000-0000-0000F1050000}"/>
    <cellStyle name="Currency 3 2 2 7 3" xfId="4161" xr:uid="{00000000-0005-0000-0000-0000F2050000}"/>
    <cellStyle name="Currency 3 2 2 7 3 2" xfId="8627" xr:uid="{00000000-0005-0000-0000-0000F3050000}"/>
    <cellStyle name="Currency 3 2 2 7 4" xfId="5373" xr:uid="{00000000-0005-0000-0000-0000F4050000}"/>
    <cellStyle name="Currency 3 2 2 8" xfId="273" xr:uid="{00000000-0005-0000-0000-0000F5050000}"/>
    <cellStyle name="Currency 3 2 2 8 2" xfId="3873" xr:uid="{00000000-0005-0000-0000-0000F6050000}"/>
    <cellStyle name="Currency 3 2 2 8 2 2" xfId="8339" xr:uid="{00000000-0005-0000-0000-0000F7050000}"/>
    <cellStyle name="Currency 3 2 2 8 3" xfId="5085" xr:uid="{00000000-0005-0000-0000-0000F8050000}"/>
    <cellStyle name="Currency 3 2 2 9" xfId="3372" xr:uid="{00000000-0005-0000-0000-0000F9050000}"/>
    <cellStyle name="Currency 3 2 2 9 2" xfId="7838" xr:uid="{00000000-0005-0000-0000-0000FA050000}"/>
    <cellStyle name="Currency 3 2 3" xfId="64" xr:uid="{00000000-0005-0000-0000-0000FB050000}"/>
    <cellStyle name="Currency 3 2 3 2" xfId="65" xr:uid="{00000000-0005-0000-0000-0000FC050000}"/>
    <cellStyle name="Currency 3 2 3 2 2" xfId="66" xr:uid="{00000000-0005-0000-0000-0000FD050000}"/>
    <cellStyle name="Currency 3 2 3 2 2 2" xfId="690" xr:uid="{00000000-0005-0000-0000-0000FE050000}"/>
    <cellStyle name="Currency 3 2 3 2 2 2 2" xfId="691" xr:uid="{00000000-0005-0000-0000-0000FF050000}"/>
    <cellStyle name="Currency 3 2 3 2 2 2 2 2" xfId="2117" xr:uid="{00000000-0005-0000-0000-000000060000}"/>
    <cellStyle name="Currency 3 2 3 2 2 2 2 2 2" xfId="6612" xr:uid="{00000000-0005-0000-0000-000001060000}"/>
    <cellStyle name="Currency 3 2 3 2 2 2 2 3" xfId="4162" xr:uid="{00000000-0005-0000-0000-000002060000}"/>
    <cellStyle name="Currency 3 2 3 2 2 2 2 3 2" xfId="8628" xr:uid="{00000000-0005-0000-0000-000003060000}"/>
    <cellStyle name="Currency 3 2 3 2 2 2 2 4" xfId="5374" xr:uid="{00000000-0005-0000-0000-000004060000}"/>
    <cellStyle name="Currency 3 2 3 2 2 2 3" xfId="2118" xr:uid="{00000000-0005-0000-0000-000005060000}"/>
    <cellStyle name="Currency 3 2 3 2 2 2 3 2" xfId="6613" xr:uid="{00000000-0005-0000-0000-000006060000}"/>
    <cellStyle name="Currency 3 2 3 2 2 2 4" xfId="3391" xr:uid="{00000000-0005-0000-0000-000007060000}"/>
    <cellStyle name="Currency 3 2 3 2 2 2 4 2" xfId="7857" xr:uid="{00000000-0005-0000-0000-000008060000}"/>
    <cellStyle name="Currency 3 2 3 2 2 2 5" xfId="4602" xr:uid="{00000000-0005-0000-0000-000009060000}"/>
    <cellStyle name="Currency 3 2 3 2 2 3" xfId="692" xr:uid="{00000000-0005-0000-0000-00000A060000}"/>
    <cellStyle name="Currency 3 2 3 2 2 3 2" xfId="693" xr:uid="{00000000-0005-0000-0000-00000B060000}"/>
    <cellStyle name="Currency 3 2 3 2 2 3 2 2" xfId="2119" xr:uid="{00000000-0005-0000-0000-00000C060000}"/>
    <cellStyle name="Currency 3 2 3 2 2 3 2 2 2" xfId="6614" xr:uid="{00000000-0005-0000-0000-00000D060000}"/>
    <cellStyle name="Currency 3 2 3 2 2 3 2 3" xfId="6050" xr:uid="{00000000-0005-0000-0000-00000E060000}"/>
    <cellStyle name="Currency 3 2 3 2 2 3 3" xfId="2120" xr:uid="{00000000-0005-0000-0000-00000F060000}"/>
    <cellStyle name="Currency 3 2 3 2 2 3 3 2" xfId="6615" xr:uid="{00000000-0005-0000-0000-000010060000}"/>
    <cellStyle name="Currency 3 2 3 2 2 3 4" xfId="3883" xr:uid="{00000000-0005-0000-0000-000011060000}"/>
    <cellStyle name="Currency 3 2 3 2 2 3 4 2" xfId="8349" xr:uid="{00000000-0005-0000-0000-000012060000}"/>
    <cellStyle name="Currency 3 2 3 2 2 3 5" xfId="5095" xr:uid="{00000000-0005-0000-0000-000013060000}"/>
    <cellStyle name="Currency 3 2 3 2 2 4" xfId="694" xr:uid="{00000000-0005-0000-0000-000014060000}"/>
    <cellStyle name="Currency 3 2 3 2 2 4 2" xfId="2121" xr:uid="{00000000-0005-0000-0000-000015060000}"/>
    <cellStyle name="Currency 3 2 3 2 2 4 2 2" xfId="6616" xr:uid="{00000000-0005-0000-0000-000016060000}"/>
    <cellStyle name="Currency 3 2 3 2 2 4 3" xfId="5783" xr:uid="{00000000-0005-0000-0000-000017060000}"/>
    <cellStyle name="Currency 3 2 3 2 2 5" xfId="283" xr:uid="{00000000-0005-0000-0000-000018060000}"/>
    <cellStyle name="Currency 3 2 3 2 2 5 2" xfId="5988" xr:uid="{00000000-0005-0000-0000-000019060000}"/>
    <cellStyle name="Currency 3 2 3 2 2 6" xfId="3390" xr:uid="{00000000-0005-0000-0000-00001A060000}"/>
    <cellStyle name="Currency 3 2 3 2 2 6 2" xfId="7856" xr:uid="{00000000-0005-0000-0000-00001B060000}"/>
    <cellStyle name="Currency 3 2 3 2 2 7" xfId="4601" xr:uid="{00000000-0005-0000-0000-00001C060000}"/>
    <cellStyle name="Currency 3 2 3 2 3" xfId="695" xr:uid="{00000000-0005-0000-0000-00001D060000}"/>
    <cellStyle name="Currency 3 2 3 2 3 2" xfId="696" xr:uid="{00000000-0005-0000-0000-00001E060000}"/>
    <cellStyle name="Currency 3 2 3 2 3 2 2" xfId="2122" xr:uid="{00000000-0005-0000-0000-00001F060000}"/>
    <cellStyle name="Currency 3 2 3 2 3 2 2 2" xfId="6617" xr:uid="{00000000-0005-0000-0000-000020060000}"/>
    <cellStyle name="Currency 3 2 3 2 3 2 3" xfId="4163" xr:uid="{00000000-0005-0000-0000-000021060000}"/>
    <cellStyle name="Currency 3 2 3 2 3 2 3 2" xfId="8629" xr:uid="{00000000-0005-0000-0000-000022060000}"/>
    <cellStyle name="Currency 3 2 3 2 3 2 4" xfId="5375" xr:uid="{00000000-0005-0000-0000-000023060000}"/>
    <cellStyle name="Currency 3 2 3 2 3 3" xfId="2123" xr:uid="{00000000-0005-0000-0000-000024060000}"/>
    <cellStyle name="Currency 3 2 3 2 3 3 2" xfId="6618" xr:uid="{00000000-0005-0000-0000-000025060000}"/>
    <cellStyle name="Currency 3 2 3 2 3 4" xfId="3392" xr:uid="{00000000-0005-0000-0000-000026060000}"/>
    <cellStyle name="Currency 3 2 3 2 3 4 2" xfId="7858" xr:uid="{00000000-0005-0000-0000-000027060000}"/>
    <cellStyle name="Currency 3 2 3 2 3 5" xfId="4603" xr:uid="{00000000-0005-0000-0000-000028060000}"/>
    <cellStyle name="Currency 3 2 3 2 4" xfId="697" xr:uid="{00000000-0005-0000-0000-000029060000}"/>
    <cellStyle name="Currency 3 2 3 2 4 2" xfId="698" xr:uid="{00000000-0005-0000-0000-00002A060000}"/>
    <cellStyle name="Currency 3 2 3 2 4 2 2" xfId="2124" xr:uid="{00000000-0005-0000-0000-00002B060000}"/>
    <cellStyle name="Currency 3 2 3 2 4 2 2 2" xfId="6619" xr:uid="{00000000-0005-0000-0000-00002C060000}"/>
    <cellStyle name="Currency 3 2 3 2 4 2 3" xfId="5782" xr:uid="{00000000-0005-0000-0000-00002D060000}"/>
    <cellStyle name="Currency 3 2 3 2 4 3" xfId="2125" xr:uid="{00000000-0005-0000-0000-00002E060000}"/>
    <cellStyle name="Currency 3 2 3 2 4 3 2" xfId="6620" xr:uid="{00000000-0005-0000-0000-00002F060000}"/>
    <cellStyle name="Currency 3 2 3 2 4 4" xfId="3882" xr:uid="{00000000-0005-0000-0000-000030060000}"/>
    <cellStyle name="Currency 3 2 3 2 4 4 2" xfId="8348" xr:uid="{00000000-0005-0000-0000-000031060000}"/>
    <cellStyle name="Currency 3 2 3 2 4 5" xfId="5094" xr:uid="{00000000-0005-0000-0000-000032060000}"/>
    <cellStyle name="Currency 3 2 3 2 5" xfId="699" xr:uid="{00000000-0005-0000-0000-000033060000}"/>
    <cellStyle name="Currency 3 2 3 2 5 2" xfId="2126" xr:uid="{00000000-0005-0000-0000-000034060000}"/>
    <cellStyle name="Currency 3 2 3 2 5 2 2" xfId="6621" xr:uid="{00000000-0005-0000-0000-000035060000}"/>
    <cellStyle name="Currency 3 2 3 2 5 3" xfId="5936" xr:uid="{00000000-0005-0000-0000-000036060000}"/>
    <cellStyle name="Currency 3 2 3 2 6" xfId="282" xr:uid="{00000000-0005-0000-0000-000037060000}"/>
    <cellStyle name="Currency 3 2 3 2 6 2" xfId="5880" xr:uid="{00000000-0005-0000-0000-000038060000}"/>
    <cellStyle name="Currency 3 2 3 2 7" xfId="3389" xr:uid="{00000000-0005-0000-0000-000039060000}"/>
    <cellStyle name="Currency 3 2 3 2 7 2" xfId="7855" xr:uid="{00000000-0005-0000-0000-00003A060000}"/>
    <cellStyle name="Currency 3 2 3 2 8" xfId="4600" xr:uid="{00000000-0005-0000-0000-00003B060000}"/>
    <cellStyle name="Currency 3 2 3 3" xfId="67" xr:uid="{00000000-0005-0000-0000-00003C060000}"/>
    <cellStyle name="Currency 3 2 3 3 2" xfId="700" xr:uid="{00000000-0005-0000-0000-00003D060000}"/>
    <cellStyle name="Currency 3 2 3 3 2 2" xfId="701" xr:uid="{00000000-0005-0000-0000-00003E060000}"/>
    <cellStyle name="Currency 3 2 3 3 2 2 2" xfId="2127" xr:uid="{00000000-0005-0000-0000-00003F060000}"/>
    <cellStyle name="Currency 3 2 3 3 2 2 2 2" xfId="6622" xr:uid="{00000000-0005-0000-0000-000040060000}"/>
    <cellStyle name="Currency 3 2 3 3 2 2 3" xfId="4164" xr:uid="{00000000-0005-0000-0000-000041060000}"/>
    <cellStyle name="Currency 3 2 3 3 2 2 3 2" xfId="8630" xr:uid="{00000000-0005-0000-0000-000042060000}"/>
    <cellStyle name="Currency 3 2 3 3 2 2 4" xfId="5376" xr:uid="{00000000-0005-0000-0000-000043060000}"/>
    <cellStyle name="Currency 3 2 3 3 2 3" xfId="2128" xr:uid="{00000000-0005-0000-0000-000044060000}"/>
    <cellStyle name="Currency 3 2 3 3 2 3 2" xfId="6623" xr:uid="{00000000-0005-0000-0000-000045060000}"/>
    <cellStyle name="Currency 3 2 3 3 2 4" xfId="3394" xr:uid="{00000000-0005-0000-0000-000046060000}"/>
    <cellStyle name="Currency 3 2 3 3 2 4 2" xfId="7860" xr:uid="{00000000-0005-0000-0000-000047060000}"/>
    <cellStyle name="Currency 3 2 3 3 2 5" xfId="4605" xr:uid="{00000000-0005-0000-0000-000048060000}"/>
    <cellStyle name="Currency 3 2 3 3 3" xfId="702" xr:uid="{00000000-0005-0000-0000-000049060000}"/>
    <cellStyle name="Currency 3 2 3 3 3 2" xfId="703" xr:uid="{00000000-0005-0000-0000-00004A060000}"/>
    <cellStyle name="Currency 3 2 3 3 3 2 2" xfId="2129" xr:uid="{00000000-0005-0000-0000-00004B060000}"/>
    <cellStyle name="Currency 3 2 3 3 3 2 2 2" xfId="6624" xr:uid="{00000000-0005-0000-0000-00004C060000}"/>
    <cellStyle name="Currency 3 2 3 3 3 2 3" xfId="5781" xr:uid="{00000000-0005-0000-0000-00004D060000}"/>
    <cellStyle name="Currency 3 2 3 3 3 3" xfId="2130" xr:uid="{00000000-0005-0000-0000-00004E060000}"/>
    <cellStyle name="Currency 3 2 3 3 3 3 2" xfId="6625" xr:uid="{00000000-0005-0000-0000-00004F060000}"/>
    <cellStyle name="Currency 3 2 3 3 3 4" xfId="3884" xr:uid="{00000000-0005-0000-0000-000050060000}"/>
    <cellStyle name="Currency 3 2 3 3 3 4 2" xfId="8350" xr:uid="{00000000-0005-0000-0000-000051060000}"/>
    <cellStyle name="Currency 3 2 3 3 3 5" xfId="5096" xr:uid="{00000000-0005-0000-0000-000052060000}"/>
    <cellStyle name="Currency 3 2 3 3 4" xfId="704" xr:uid="{00000000-0005-0000-0000-000053060000}"/>
    <cellStyle name="Currency 3 2 3 3 4 2" xfId="2131" xr:uid="{00000000-0005-0000-0000-000054060000}"/>
    <cellStyle name="Currency 3 2 3 3 4 2 2" xfId="6626" xr:uid="{00000000-0005-0000-0000-000055060000}"/>
    <cellStyle name="Currency 3 2 3 3 4 3" xfId="5780" xr:uid="{00000000-0005-0000-0000-000056060000}"/>
    <cellStyle name="Currency 3 2 3 3 5" xfId="284" xr:uid="{00000000-0005-0000-0000-000057060000}"/>
    <cellStyle name="Currency 3 2 3 3 5 2" xfId="6127" xr:uid="{00000000-0005-0000-0000-000058060000}"/>
    <cellStyle name="Currency 3 2 3 3 6" xfId="3393" xr:uid="{00000000-0005-0000-0000-000059060000}"/>
    <cellStyle name="Currency 3 2 3 3 6 2" xfId="7859" xr:uid="{00000000-0005-0000-0000-00005A060000}"/>
    <cellStyle name="Currency 3 2 3 3 7" xfId="4604" xr:uid="{00000000-0005-0000-0000-00005B060000}"/>
    <cellStyle name="Currency 3 2 3 4" xfId="705" xr:uid="{00000000-0005-0000-0000-00005C060000}"/>
    <cellStyle name="Currency 3 2 3 4 2" xfId="706" xr:uid="{00000000-0005-0000-0000-00005D060000}"/>
    <cellStyle name="Currency 3 2 3 4 2 2" xfId="2132" xr:uid="{00000000-0005-0000-0000-00005E060000}"/>
    <cellStyle name="Currency 3 2 3 4 2 2 2" xfId="6627" xr:uid="{00000000-0005-0000-0000-00005F060000}"/>
    <cellStyle name="Currency 3 2 3 4 2 3" xfId="4165" xr:uid="{00000000-0005-0000-0000-000060060000}"/>
    <cellStyle name="Currency 3 2 3 4 2 3 2" xfId="8631" xr:uid="{00000000-0005-0000-0000-000061060000}"/>
    <cellStyle name="Currency 3 2 3 4 2 4" xfId="5377" xr:uid="{00000000-0005-0000-0000-000062060000}"/>
    <cellStyle name="Currency 3 2 3 4 3" xfId="2133" xr:uid="{00000000-0005-0000-0000-000063060000}"/>
    <cellStyle name="Currency 3 2 3 4 3 2" xfId="6628" xr:uid="{00000000-0005-0000-0000-000064060000}"/>
    <cellStyle name="Currency 3 2 3 4 4" xfId="3395" xr:uid="{00000000-0005-0000-0000-000065060000}"/>
    <cellStyle name="Currency 3 2 3 4 4 2" xfId="7861" xr:uid="{00000000-0005-0000-0000-000066060000}"/>
    <cellStyle name="Currency 3 2 3 4 5" xfId="4606" xr:uid="{00000000-0005-0000-0000-000067060000}"/>
    <cellStyle name="Currency 3 2 3 5" xfId="707" xr:uid="{00000000-0005-0000-0000-000068060000}"/>
    <cellStyle name="Currency 3 2 3 5 2" xfId="708" xr:uid="{00000000-0005-0000-0000-000069060000}"/>
    <cellStyle name="Currency 3 2 3 5 2 2" xfId="2134" xr:uid="{00000000-0005-0000-0000-00006A060000}"/>
    <cellStyle name="Currency 3 2 3 5 2 2 2" xfId="6629" xr:uid="{00000000-0005-0000-0000-00006B060000}"/>
    <cellStyle name="Currency 3 2 3 5 2 3" xfId="6049" xr:uid="{00000000-0005-0000-0000-00006C060000}"/>
    <cellStyle name="Currency 3 2 3 5 3" xfId="2135" xr:uid="{00000000-0005-0000-0000-00006D060000}"/>
    <cellStyle name="Currency 3 2 3 5 3 2" xfId="6630" xr:uid="{00000000-0005-0000-0000-00006E060000}"/>
    <cellStyle name="Currency 3 2 3 5 4" xfId="3881" xr:uid="{00000000-0005-0000-0000-00006F060000}"/>
    <cellStyle name="Currency 3 2 3 5 4 2" xfId="8347" xr:uid="{00000000-0005-0000-0000-000070060000}"/>
    <cellStyle name="Currency 3 2 3 5 5" xfId="5093" xr:uid="{00000000-0005-0000-0000-000071060000}"/>
    <cellStyle name="Currency 3 2 3 6" xfId="709" xr:uid="{00000000-0005-0000-0000-000072060000}"/>
    <cellStyle name="Currency 3 2 3 6 2" xfId="2136" xr:uid="{00000000-0005-0000-0000-000073060000}"/>
    <cellStyle name="Currency 3 2 3 6 2 2" xfId="6631" xr:uid="{00000000-0005-0000-0000-000074060000}"/>
    <cellStyle name="Currency 3 2 3 6 3" xfId="6048" xr:uid="{00000000-0005-0000-0000-000075060000}"/>
    <cellStyle name="Currency 3 2 3 7" xfId="281" xr:uid="{00000000-0005-0000-0000-000076060000}"/>
    <cellStyle name="Currency 3 2 3 7 2" xfId="5881" xr:uid="{00000000-0005-0000-0000-000077060000}"/>
    <cellStyle name="Currency 3 2 3 8" xfId="3388" xr:uid="{00000000-0005-0000-0000-000078060000}"/>
    <cellStyle name="Currency 3 2 3 8 2" xfId="7854" xr:uid="{00000000-0005-0000-0000-000079060000}"/>
    <cellStyle name="Currency 3 2 3 9" xfId="4599" xr:uid="{00000000-0005-0000-0000-00007A060000}"/>
    <cellStyle name="Currency 3 2 4" xfId="68" xr:uid="{00000000-0005-0000-0000-00007B060000}"/>
    <cellStyle name="Currency 3 2 4 2" xfId="69" xr:uid="{00000000-0005-0000-0000-00007C060000}"/>
    <cellStyle name="Currency 3 2 4 2 2" xfId="710" xr:uid="{00000000-0005-0000-0000-00007D060000}"/>
    <cellStyle name="Currency 3 2 4 2 2 2" xfId="711" xr:uid="{00000000-0005-0000-0000-00007E060000}"/>
    <cellStyle name="Currency 3 2 4 2 2 2 2" xfId="2137" xr:uid="{00000000-0005-0000-0000-00007F060000}"/>
    <cellStyle name="Currency 3 2 4 2 2 2 2 2" xfId="6632" xr:uid="{00000000-0005-0000-0000-000080060000}"/>
    <cellStyle name="Currency 3 2 4 2 2 2 3" xfId="4166" xr:uid="{00000000-0005-0000-0000-000081060000}"/>
    <cellStyle name="Currency 3 2 4 2 2 2 3 2" xfId="8632" xr:uid="{00000000-0005-0000-0000-000082060000}"/>
    <cellStyle name="Currency 3 2 4 2 2 2 4" xfId="5378" xr:uid="{00000000-0005-0000-0000-000083060000}"/>
    <cellStyle name="Currency 3 2 4 2 2 3" xfId="2138" xr:uid="{00000000-0005-0000-0000-000084060000}"/>
    <cellStyle name="Currency 3 2 4 2 2 3 2" xfId="6633" xr:uid="{00000000-0005-0000-0000-000085060000}"/>
    <cellStyle name="Currency 3 2 4 2 2 4" xfId="3398" xr:uid="{00000000-0005-0000-0000-000086060000}"/>
    <cellStyle name="Currency 3 2 4 2 2 4 2" xfId="7864" xr:uid="{00000000-0005-0000-0000-000087060000}"/>
    <cellStyle name="Currency 3 2 4 2 2 5" xfId="4609" xr:uid="{00000000-0005-0000-0000-000088060000}"/>
    <cellStyle name="Currency 3 2 4 2 3" xfId="712" xr:uid="{00000000-0005-0000-0000-000089060000}"/>
    <cellStyle name="Currency 3 2 4 2 3 2" xfId="713" xr:uid="{00000000-0005-0000-0000-00008A060000}"/>
    <cellStyle name="Currency 3 2 4 2 3 2 2" xfId="2139" xr:uid="{00000000-0005-0000-0000-00008B060000}"/>
    <cellStyle name="Currency 3 2 4 2 3 2 2 2" xfId="6634" xr:uid="{00000000-0005-0000-0000-00008C060000}"/>
    <cellStyle name="Currency 3 2 4 2 3 2 3" xfId="6047" xr:uid="{00000000-0005-0000-0000-00008D060000}"/>
    <cellStyle name="Currency 3 2 4 2 3 3" xfId="2140" xr:uid="{00000000-0005-0000-0000-00008E060000}"/>
    <cellStyle name="Currency 3 2 4 2 3 3 2" xfId="6635" xr:uid="{00000000-0005-0000-0000-00008F060000}"/>
    <cellStyle name="Currency 3 2 4 2 3 4" xfId="3886" xr:uid="{00000000-0005-0000-0000-000090060000}"/>
    <cellStyle name="Currency 3 2 4 2 3 4 2" xfId="8352" xr:uid="{00000000-0005-0000-0000-000091060000}"/>
    <cellStyle name="Currency 3 2 4 2 3 5" xfId="5098" xr:uid="{00000000-0005-0000-0000-000092060000}"/>
    <cellStyle name="Currency 3 2 4 2 4" xfId="714" xr:uid="{00000000-0005-0000-0000-000093060000}"/>
    <cellStyle name="Currency 3 2 4 2 4 2" xfId="2141" xr:uid="{00000000-0005-0000-0000-000094060000}"/>
    <cellStyle name="Currency 3 2 4 2 4 2 2" xfId="6636" xr:uid="{00000000-0005-0000-0000-000095060000}"/>
    <cellStyle name="Currency 3 2 4 2 4 3" xfId="5779" xr:uid="{00000000-0005-0000-0000-000096060000}"/>
    <cellStyle name="Currency 3 2 4 2 5" xfId="286" xr:uid="{00000000-0005-0000-0000-000097060000}"/>
    <cellStyle name="Currency 3 2 4 2 5 2" xfId="5989" xr:uid="{00000000-0005-0000-0000-000098060000}"/>
    <cellStyle name="Currency 3 2 4 2 6" xfId="3397" xr:uid="{00000000-0005-0000-0000-000099060000}"/>
    <cellStyle name="Currency 3 2 4 2 6 2" xfId="7863" xr:uid="{00000000-0005-0000-0000-00009A060000}"/>
    <cellStyle name="Currency 3 2 4 2 7" xfId="4608" xr:uid="{00000000-0005-0000-0000-00009B060000}"/>
    <cellStyle name="Currency 3 2 4 3" xfId="715" xr:uid="{00000000-0005-0000-0000-00009C060000}"/>
    <cellStyle name="Currency 3 2 4 3 2" xfId="716" xr:uid="{00000000-0005-0000-0000-00009D060000}"/>
    <cellStyle name="Currency 3 2 4 3 2 2" xfId="2142" xr:uid="{00000000-0005-0000-0000-00009E060000}"/>
    <cellStyle name="Currency 3 2 4 3 2 2 2" xfId="6637" xr:uid="{00000000-0005-0000-0000-00009F060000}"/>
    <cellStyle name="Currency 3 2 4 3 2 3" xfId="4167" xr:uid="{00000000-0005-0000-0000-0000A0060000}"/>
    <cellStyle name="Currency 3 2 4 3 2 3 2" xfId="8633" xr:uid="{00000000-0005-0000-0000-0000A1060000}"/>
    <cellStyle name="Currency 3 2 4 3 2 4" xfId="5379" xr:uid="{00000000-0005-0000-0000-0000A2060000}"/>
    <cellStyle name="Currency 3 2 4 3 3" xfId="2143" xr:uid="{00000000-0005-0000-0000-0000A3060000}"/>
    <cellStyle name="Currency 3 2 4 3 3 2" xfId="6638" xr:uid="{00000000-0005-0000-0000-0000A4060000}"/>
    <cellStyle name="Currency 3 2 4 3 4" xfId="3399" xr:uid="{00000000-0005-0000-0000-0000A5060000}"/>
    <cellStyle name="Currency 3 2 4 3 4 2" xfId="7865" xr:uid="{00000000-0005-0000-0000-0000A6060000}"/>
    <cellStyle name="Currency 3 2 4 3 5" xfId="4610" xr:uid="{00000000-0005-0000-0000-0000A7060000}"/>
    <cellStyle name="Currency 3 2 4 4" xfId="717" xr:uid="{00000000-0005-0000-0000-0000A8060000}"/>
    <cellStyle name="Currency 3 2 4 4 2" xfId="718" xr:uid="{00000000-0005-0000-0000-0000A9060000}"/>
    <cellStyle name="Currency 3 2 4 4 2 2" xfId="2144" xr:uid="{00000000-0005-0000-0000-0000AA060000}"/>
    <cellStyle name="Currency 3 2 4 4 2 2 2" xfId="6639" xr:uid="{00000000-0005-0000-0000-0000AB060000}"/>
    <cellStyle name="Currency 3 2 4 4 2 3" xfId="5778" xr:uid="{00000000-0005-0000-0000-0000AC060000}"/>
    <cellStyle name="Currency 3 2 4 4 3" xfId="2145" xr:uid="{00000000-0005-0000-0000-0000AD060000}"/>
    <cellStyle name="Currency 3 2 4 4 3 2" xfId="6640" xr:uid="{00000000-0005-0000-0000-0000AE060000}"/>
    <cellStyle name="Currency 3 2 4 4 4" xfId="3885" xr:uid="{00000000-0005-0000-0000-0000AF060000}"/>
    <cellStyle name="Currency 3 2 4 4 4 2" xfId="8351" xr:uid="{00000000-0005-0000-0000-0000B0060000}"/>
    <cellStyle name="Currency 3 2 4 4 5" xfId="5097" xr:uid="{00000000-0005-0000-0000-0000B1060000}"/>
    <cellStyle name="Currency 3 2 4 5" xfId="719" xr:uid="{00000000-0005-0000-0000-0000B2060000}"/>
    <cellStyle name="Currency 3 2 4 5 2" xfId="2146" xr:uid="{00000000-0005-0000-0000-0000B3060000}"/>
    <cellStyle name="Currency 3 2 4 5 2 2" xfId="6641" xr:uid="{00000000-0005-0000-0000-0000B4060000}"/>
    <cellStyle name="Currency 3 2 4 5 3" xfId="5935" xr:uid="{00000000-0005-0000-0000-0000B5060000}"/>
    <cellStyle name="Currency 3 2 4 6" xfId="285" xr:uid="{00000000-0005-0000-0000-0000B6060000}"/>
    <cellStyle name="Currency 3 2 4 6 2" xfId="5879" xr:uid="{00000000-0005-0000-0000-0000B7060000}"/>
    <cellStyle name="Currency 3 2 4 7" xfId="3396" xr:uid="{00000000-0005-0000-0000-0000B8060000}"/>
    <cellStyle name="Currency 3 2 4 7 2" xfId="7862" xr:uid="{00000000-0005-0000-0000-0000B9060000}"/>
    <cellStyle name="Currency 3 2 4 8" xfId="4607" xr:uid="{00000000-0005-0000-0000-0000BA060000}"/>
    <cellStyle name="Currency 3 2 5" xfId="70" xr:uid="{00000000-0005-0000-0000-0000BB060000}"/>
    <cellStyle name="Currency 3 2 5 2" xfId="720" xr:uid="{00000000-0005-0000-0000-0000BC060000}"/>
    <cellStyle name="Currency 3 2 5 2 2" xfId="721" xr:uid="{00000000-0005-0000-0000-0000BD060000}"/>
    <cellStyle name="Currency 3 2 5 2 2 2" xfId="722" xr:uid="{00000000-0005-0000-0000-0000BE060000}"/>
    <cellStyle name="Currency 3 2 5 2 2 2 2" xfId="2147" xr:uid="{00000000-0005-0000-0000-0000BF060000}"/>
    <cellStyle name="Currency 3 2 5 2 2 2 2 2" xfId="6642" xr:uid="{00000000-0005-0000-0000-0000C0060000}"/>
    <cellStyle name="Currency 3 2 5 2 2 2 3" xfId="4168" xr:uid="{00000000-0005-0000-0000-0000C1060000}"/>
    <cellStyle name="Currency 3 2 5 2 2 2 3 2" xfId="8634" xr:uid="{00000000-0005-0000-0000-0000C2060000}"/>
    <cellStyle name="Currency 3 2 5 2 2 2 4" xfId="5380" xr:uid="{00000000-0005-0000-0000-0000C3060000}"/>
    <cellStyle name="Currency 3 2 5 2 2 3" xfId="2148" xr:uid="{00000000-0005-0000-0000-0000C4060000}"/>
    <cellStyle name="Currency 3 2 5 2 2 3 2" xfId="6643" xr:uid="{00000000-0005-0000-0000-0000C5060000}"/>
    <cellStyle name="Currency 3 2 5 2 2 4" xfId="3402" xr:uid="{00000000-0005-0000-0000-0000C6060000}"/>
    <cellStyle name="Currency 3 2 5 2 2 4 2" xfId="7868" xr:uid="{00000000-0005-0000-0000-0000C7060000}"/>
    <cellStyle name="Currency 3 2 5 2 2 5" xfId="4613" xr:uid="{00000000-0005-0000-0000-0000C8060000}"/>
    <cellStyle name="Currency 3 2 5 2 3" xfId="723" xr:uid="{00000000-0005-0000-0000-0000C9060000}"/>
    <cellStyle name="Currency 3 2 5 2 3 2" xfId="724" xr:uid="{00000000-0005-0000-0000-0000CA060000}"/>
    <cellStyle name="Currency 3 2 5 2 3 2 2" xfId="2149" xr:uid="{00000000-0005-0000-0000-0000CB060000}"/>
    <cellStyle name="Currency 3 2 5 2 3 2 2 2" xfId="6644" xr:uid="{00000000-0005-0000-0000-0000CC060000}"/>
    <cellStyle name="Currency 3 2 5 2 3 2 3" xfId="5934" xr:uid="{00000000-0005-0000-0000-0000CD060000}"/>
    <cellStyle name="Currency 3 2 5 2 3 3" xfId="2150" xr:uid="{00000000-0005-0000-0000-0000CE060000}"/>
    <cellStyle name="Currency 3 2 5 2 3 3 2" xfId="6645" xr:uid="{00000000-0005-0000-0000-0000CF060000}"/>
    <cellStyle name="Currency 3 2 5 2 3 4" xfId="3888" xr:uid="{00000000-0005-0000-0000-0000D0060000}"/>
    <cellStyle name="Currency 3 2 5 2 3 4 2" xfId="8354" xr:uid="{00000000-0005-0000-0000-0000D1060000}"/>
    <cellStyle name="Currency 3 2 5 2 3 5" xfId="5100" xr:uid="{00000000-0005-0000-0000-0000D2060000}"/>
    <cellStyle name="Currency 3 2 5 2 4" xfId="725" xr:uid="{00000000-0005-0000-0000-0000D3060000}"/>
    <cellStyle name="Currency 3 2 5 2 4 2" xfId="2151" xr:uid="{00000000-0005-0000-0000-0000D4060000}"/>
    <cellStyle name="Currency 3 2 5 2 4 2 2" xfId="6646" xr:uid="{00000000-0005-0000-0000-0000D5060000}"/>
    <cellStyle name="Currency 3 2 5 2 4 3" xfId="6046" xr:uid="{00000000-0005-0000-0000-0000D6060000}"/>
    <cellStyle name="Currency 3 2 5 2 5" xfId="2152" xr:uid="{00000000-0005-0000-0000-0000D7060000}"/>
    <cellStyle name="Currency 3 2 5 2 5 2" xfId="6647" xr:uid="{00000000-0005-0000-0000-0000D8060000}"/>
    <cellStyle name="Currency 3 2 5 2 6" xfId="3401" xr:uid="{00000000-0005-0000-0000-0000D9060000}"/>
    <cellStyle name="Currency 3 2 5 2 6 2" xfId="7867" xr:uid="{00000000-0005-0000-0000-0000DA060000}"/>
    <cellStyle name="Currency 3 2 5 2 7" xfId="4612" xr:uid="{00000000-0005-0000-0000-0000DB060000}"/>
    <cellStyle name="Currency 3 2 5 3" xfId="726" xr:uid="{00000000-0005-0000-0000-0000DC060000}"/>
    <cellStyle name="Currency 3 2 5 3 2" xfId="727" xr:uid="{00000000-0005-0000-0000-0000DD060000}"/>
    <cellStyle name="Currency 3 2 5 3 2 2" xfId="2153" xr:uid="{00000000-0005-0000-0000-0000DE060000}"/>
    <cellStyle name="Currency 3 2 5 3 2 2 2" xfId="6648" xr:uid="{00000000-0005-0000-0000-0000DF060000}"/>
    <cellStyle name="Currency 3 2 5 3 2 3" xfId="4169" xr:uid="{00000000-0005-0000-0000-0000E0060000}"/>
    <cellStyle name="Currency 3 2 5 3 2 3 2" xfId="8635" xr:uid="{00000000-0005-0000-0000-0000E1060000}"/>
    <cellStyle name="Currency 3 2 5 3 2 4" xfId="5381" xr:uid="{00000000-0005-0000-0000-0000E2060000}"/>
    <cellStyle name="Currency 3 2 5 3 3" xfId="2154" xr:uid="{00000000-0005-0000-0000-0000E3060000}"/>
    <cellStyle name="Currency 3 2 5 3 3 2" xfId="6649" xr:uid="{00000000-0005-0000-0000-0000E4060000}"/>
    <cellStyle name="Currency 3 2 5 3 4" xfId="3403" xr:uid="{00000000-0005-0000-0000-0000E5060000}"/>
    <cellStyle name="Currency 3 2 5 3 4 2" xfId="7869" xr:uid="{00000000-0005-0000-0000-0000E6060000}"/>
    <cellStyle name="Currency 3 2 5 3 5" xfId="4614" xr:uid="{00000000-0005-0000-0000-0000E7060000}"/>
    <cellStyle name="Currency 3 2 5 4" xfId="728" xr:uid="{00000000-0005-0000-0000-0000E8060000}"/>
    <cellStyle name="Currency 3 2 5 4 2" xfId="729" xr:uid="{00000000-0005-0000-0000-0000E9060000}"/>
    <cellStyle name="Currency 3 2 5 4 2 2" xfId="2155" xr:uid="{00000000-0005-0000-0000-0000EA060000}"/>
    <cellStyle name="Currency 3 2 5 4 2 2 2" xfId="6650" xr:uid="{00000000-0005-0000-0000-0000EB060000}"/>
    <cellStyle name="Currency 3 2 5 4 2 3" xfId="5777" xr:uid="{00000000-0005-0000-0000-0000EC060000}"/>
    <cellStyle name="Currency 3 2 5 4 3" xfId="2156" xr:uid="{00000000-0005-0000-0000-0000ED060000}"/>
    <cellStyle name="Currency 3 2 5 4 3 2" xfId="6651" xr:uid="{00000000-0005-0000-0000-0000EE060000}"/>
    <cellStyle name="Currency 3 2 5 4 4" xfId="3887" xr:uid="{00000000-0005-0000-0000-0000EF060000}"/>
    <cellStyle name="Currency 3 2 5 4 4 2" xfId="8353" xr:uid="{00000000-0005-0000-0000-0000F0060000}"/>
    <cellStyle name="Currency 3 2 5 4 5" xfId="5099" xr:uid="{00000000-0005-0000-0000-0000F1060000}"/>
    <cellStyle name="Currency 3 2 5 5" xfId="730" xr:uid="{00000000-0005-0000-0000-0000F2060000}"/>
    <cellStyle name="Currency 3 2 5 5 2" xfId="2157" xr:uid="{00000000-0005-0000-0000-0000F3060000}"/>
    <cellStyle name="Currency 3 2 5 5 2 2" xfId="6652" xr:uid="{00000000-0005-0000-0000-0000F4060000}"/>
    <cellStyle name="Currency 3 2 5 5 3" xfId="5776" xr:uid="{00000000-0005-0000-0000-0000F5060000}"/>
    <cellStyle name="Currency 3 2 5 6" xfId="287" xr:uid="{00000000-0005-0000-0000-0000F6060000}"/>
    <cellStyle name="Currency 3 2 5 6 2" xfId="6126" xr:uid="{00000000-0005-0000-0000-0000F7060000}"/>
    <cellStyle name="Currency 3 2 5 7" xfId="3400" xr:uid="{00000000-0005-0000-0000-0000F8060000}"/>
    <cellStyle name="Currency 3 2 5 7 2" xfId="7866" xr:uid="{00000000-0005-0000-0000-0000F9060000}"/>
    <cellStyle name="Currency 3 2 5 8" xfId="4611" xr:uid="{00000000-0005-0000-0000-0000FA060000}"/>
    <cellStyle name="Currency 3 2 6" xfId="731" xr:uid="{00000000-0005-0000-0000-0000FB060000}"/>
    <cellStyle name="Currency 3 2 6 2" xfId="732" xr:uid="{00000000-0005-0000-0000-0000FC060000}"/>
    <cellStyle name="Currency 3 2 6 2 2" xfId="733" xr:uid="{00000000-0005-0000-0000-0000FD060000}"/>
    <cellStyle name="Currency 3 2 6 2 2 2" xfId="2158" xr:uid="{00000000-0005-0000-0000-0000FE060000}"/>
    <cellStyle name="Currency 3 2 6 2 2 2 2" xfId="6653" xr:uid="{00000000-0005-0000-0000-0000FF060000}"/>
    <cellStyle name="Currency 3 2 6 2 2 3" xfId="4170" xr:uid="{00000000-0005-0000-0000-000000070000}"/>
    <cellStyle name="Currency 3 2 6 2 2 3 2" xfId="8636" xr:uid="{00000000-0005-0000-0000-000001070000}"/>
    <cellStyle name="Currency 3 2 6 2 2 4" xfId="5382" xr:uid="{00000000-0005-0000-0000-000002070000}"/>
    <cellStyle name="Currency 3 2 6 2 3" xfId="2159" xr:uid="{00000000-0005-0000-0000-000003070000}"/>
    <cellStyle name="Currency 3 2 6 2 3 2" xfId="6654" xr:uid="{00000000-0005-0000-0000-000004070000}"/>
    <cellStyle name="Currency 3 2 6 2 4" xfId="3405" xr:uid="{00000000-0005-0000-0000-000005070000}"/>
    <cellStyle name="Currency 3 2 6 2 4 2" xfId="7871" xr:uid="{00000000-0005-0000-0000-000006070000}"/>
    <cellStyle name="Currency 3 2 6 2 5" xfId="4616" xr:uid="{00000000-0005-0000-0000-000007070000}"/>
    <cellStyle name="Currency 3 2 6 3" xfId="734" xr:uid="{00000000-0005-0000-0000-000008070000}"/>
    <cellStyle name="Currency 3 2 6 3 2" xfId="735" xr:uid="{00000000-0005-0000-0000-000009070000}"/>
    <cellStyle name="Currency 3 2 6 3 2 2" xfId="2160" xr:uid="{00000000-0005-0000-0000-00000A070000}"/>
    <cellStyle name="Currency 3 2 6 3 2 2 2" xfId="6655" xr:uid="{00000000-0005-0000-0000-00000B070000}"/>
    <cellStyle name="Currency 3 2 6 3 2 3" xfId="6045" xr:uid="{00000000-0005-0000-0000-00000C070000}"/>
    <cellStyle name="Currency 3 2 6 3 3" xfId="2161" xr:uid="{00000000-0005-0000-0000-00000D070000}"/>
    <cellStyle name="Currency 3 2 6 3 3 2" xfId="6656" xr:uid="{00000000-0005-0000-0000-00000E070000}"/>
    <cellStyle name="Currency 3 2 6 3 4" xfId="3889" xr:uid="{00000000-0005-0000-0000-00000F070000}"/>
    <cellStyle name="Currency 3 2 6 3 4 2" xfId="8355" xr:uid="{00000000-0005-0000-0000-000010070000}"/>
    <cellStyle name="Currency 3 2 6 3 5" xfId="5101" xr:uid="{00000000-0005-0000-0000-000011070000}"/>
    <cellStyle name="Currency 3 2 6 4" xfId="736" xr:uid="{00000000-0005-0000-0000-000012070000}"/>
    <cellStyle name="Currency 3 2 6 4 2" xfId="2162" xr:uid="{00000000-0005-0000-0000-000013070000}"/>
    <cellStyle name="Currency 3 2 6 4 2 2" xfId="6657" xr:uid="{00000000-0005-0000-0000-000014070000}"/>
    <cellStyle name="Currency 3 2 6 4 3" xfId="5775" xr:uid="{00000000-0005-0000-0000-000015070000}"/>
    <cellStyle name="Currency 3 2 6 5" xfId="2163" xr:uid="{00000000-0005-0000-0000-000016070000}"/>
    <cellStyle name="Currency 3 2 6 5 2" xfId="6658" xr:uid="{00000000-0005-0000-0000-000017070000}"/>
    <cellStyle name="Currency 3 2 6 6" xfId="3404" xr:uid="{00000000-0005-0000-0000-000018070000}"/>
    <cellStyle name="Currency 3 2 6 6 2" xfId="7870" xr:uid="{00000000-0005-0000-0000-000019070000}"/>
    <cellStyle name="Currency 3 2 6 7" xfId="4615" xr:uid="{00000000-0005-0000-0000-00001A070000}"/>
    <cellStyle name="Currency 3 2 7" xfId="737" xr:uid="{00000000-0005-0000-0000-00001B070000}"/>
    <cellStyle name="Currency 3 2 7 2" xfId="738" xr:uid="{00000000-0005-0000-0000-00001C070000}"/>
    <cellStyle name="Currency 3 2 7 2 2" xfId="2164" xr:uid="{00000000-0005-0000-0000-00001D070000}"/>
    <cellStyle name="Currency 3 2 7 2 2 2" xfId="6659" xr:uid="{00000000-0005-0000-0000-00001E070000}"/>
    <cellStyle name="Currency 3 2 7 2 3" xfId="4172" xr:uid="{00000000-0005-0000-0000-00001F070000}"/>
    <cellStyle name="Currency 3 2 7 2 3 2" xfId="8638" xr:uid="{00000000-0005-0000-0000-000020070000}"/>
    <cellStyle name="Currency 3 2 7 2 4" xfId="5384" xr:uid="{00000000-0005-0000-0000-000021070000}"/>
    <cellStyle name="Currency 3 2 7 3" xfId="2165" xr:uid="{00000000-0005-0000-0000-000022070000}"/>
    <cellStyle name="Currency 3 2 7 3 2" xfId="4171" xr:uid="{00000000-0005-0000-0000-000023070000}"/>
    <cellStyle name="Currency 3 2 7 3 2 2" xfId="8637" xr:uid="{00000000-0005-0000-0000-000024070000}"/>
    <cellStyle name="Currency 3 2 7 3 3" xfId="5383" xr:uid="{00000000-0005-0000-0000-000025070000}"/>
    <cellStyle name="Currency 3 2 7 4" xfId="3406" xr:uid="{00000000-0005-0000-0000-000026070000}"/>
    <cellStyle name="Currency 3 2 7 4 2" xfId="7872" xr:uid="{00000000-0005-0000-0000-000027070000}"/>
    <cellStyle name="Currency 3 2 7 5" xfId="4617" xr:uid="{00000000-0005-0000-0000-000028070000}"/>
    <cellStyle name="Currency 3 2 8" xfId="739" xr:uid="{00000000-0005-0000-0000-000029070000}"/>
    <cellStyle name="Currency 3 2 8 2" xfId="740" xr:uid="{00000000-0005-0000-0000-00002A070000}"/>
    <cellStyle name="Currency 3 2 8 2 2" xfId="2166" xr:uid="{00000000-0005-0000-0000-00002B070000}"/>
    <cellStyle name="Currency 3 2 8 2 2 2" xfId="6660" xr:uid="{00000000-0005-0000-0000-00002C070000}"/>
    <cellStyle name="Currency 3 2 8 2 3" xfId="5700" xr:uid="{00000000-0005-0000-0000-00002D070000}"/>
    <cellStyle name="Currency 3 2 8 3" xfId="2167" xr:uid="{00000000-0005-0000-0000-00002E070000}"/>
    <cellStyle name="Currency 3 2 8 3 2" xfId="6661" xr:uid="{00000000-0005-0000-0000-00002F070000}"/>
    <cellStyle name="Currency 3 2 8 4" xfId="4173" xr:uid="{00000000-0005-0000-0000-000030070000}"/>
    <cellStyle name="Currency 3 2 8 4 2" xfId="8639" xr:uid="{00000000-0005-0000-0000-000031070000}"/>
    <cellStyle name="Currency 3 2 8 5" xfId="5385" xr:uid="{00000000-0005-0000-0000-000032070000}"/>
    <cellStyle name="Currency 3 2 9" xfId="741" xr:uid="{00000000-0005-0000-0000-000033070000}"/>
    <cellStyle name="Currency 3 2 9 2" xfId="2168" xr:uid="{00000000-0005-0000-0000-000034070000}"/>
    <cellStyle name="Currency 3 2 9 2 2" xfId="6662" xr:uid="{00000000-0005-0000-0000-000035070000}"/>
    <cellStyle name="Currency 3 2 9 3" xfId="4174" xr:uid="{00000000-0005-0000-0000-000036070000}"/>
    <cellStyle name="Currency 3 2 9 3 2" xfId="8640" xr:uid="{00000000-0005-0000-0000-000037070000}"/>
    <cellStyle name="Currency 3 2 9 4" xfId="5386" xr:uid="{00000000-0005-0000-0000-000038070000}"/>
    <cellStyle name="Currency 3 3" xfId="71" xr:uid="{00000000-0005-0000-0000-000039070000}"/>
    <cellStyle name="Currency 3 3 10" xfId="3407" xr:uid="{00000000-0005-0000-0000-00003A070000}"/>
    <cellStyle name="Currency 3 3 10 2" xfId="7873" xr:uid="{00000000-0005-0000-0000-00003B070000}"/>
    <cellStyle name="Currency 3 3 11" xfId="4618" xr:uid="{00000000-0005-0000-0000-00003C070000}"/>
    <cellStyle name="Currency 3 3 2" xfId="72" xr:uid="{00000000-0005-0000-0000-00003D070000}"/>
    <cellStyle name="Currency 3 3 2 2" xfId="73" xr:uid="{00000000-0005-0000-0000-00003E070000}"/>
    <cellStyle name="Currency 3 3 2 2 2" xfId="74" xr:uid="{00000000-0005-0000-0000-00003F070000}"/>
    <cellStyle name="Currency 3 3 2 2 2 2" xfId="742" xr:uid="{00000000-0005-0000-0000-000040070000}"/>
    <cellStyle name="Currency 3 3 2 2 2 2 2" xfId="743" xr:uid="{00000000-0005-0000-0000-000041070000}"/>
    <cellStyle name="Currency 3 3 2 2 2 2 2 2" xfId="2169" xr:uid="{00000000-0005-0000-0000-000042070000}"/>
    <cellStyle name="Currency 3 3 2 2 2 2 2 2 2" xfId="6663" xr:uid="{00000000-0005-0000-0000-000043070000}"/>
    <cellStyle name="Currency 3 3 2 2 2 2 2 3" xfId="4175" xr:uid="{00000000-0005-0000-0000-000044070000}"/>
    <cellStyle name="Currency 3 3 2 2 2 2 2 3 2" xfId="8641" xr:uid="{00000000-0005-0000-0000-000045070000}"/>
    <cellStyle name="Currency 3 3 2 2 2 2 2 4" xfId="5387" xr:uid="{00000000-0005-0000-0000-000046070000}"/>
    <cellStyle name="Currency 3 3 2 2 2 2 3" xfId="2170" xr:uid="{00000000-0005-0000-0000-000047070000}"/>
    <cellStyle name="Currency 3 3 2 2 2 2 3 2" xfId="6664" xr:uid="{00000000-0005-0000-0000-000048070000}"/>
    <cellStyle name="Currency 3 3 2 2 2 2 4" xfId="3411" xr:uid="{00000000-0005-0000-0000-000049070000}"/>
    <cellStyle name="Currency 3 3 2 2 2 2 4 2" xfId="7877" xr:uid="{00000000-0005-0000-0000-00004A070000}"/>
    <cellStyle name="Currency 3 3 2 2 2 2 5" xfId="4622" xr:uid="{00000000-0005-0000-0000-00004B070000}"/>
    <cellStyle name="Currency 3 3 2 2 2 3" xfId="744" xr:uid="{00000000-0005-0000-0000-00004C070000}"/>
    <cellStyle name="Currency 3 3 2 2 2 3 2" xfId="745" xr:uid="{00000000-0005-0000-0000-00004D070000}"/>
    <cellStyle name="Currency 3 3 2 2 2 3 2 2" xfId="2171" xr:uid="{00000000-0005-0000-0000-00004E070000}"/>
    <cellStyle name="Currency 3 3 2 2 2 3 2 2 2" xfId="6665" xr:uid="{00000000-0005-0000-0000-00004F070000}"/>
    <cellStyle name="Currency 3 3 2 2 2 3 2 3" xfId="5898" xr:uid="{00000000-0005-0000-0000-000050070000}"/>
    <cellStyle name="Currency 3 3 2 2 2 3 3" xfId="2172" xr:uid="{00000000-0005-0000-0000-000051070000}"/>
    <cellStyle name="Currency 3 3 2 2 2 3 3 2" xfId="6666" xr:uid="{00000000-0005-0000-0000-000052070000}"/>
    <cellStyle name="Currency 3 3 2 2 2 3 4" xfId="3893" xr:uid="{00000000-0005-0000-0000-000053070000}"/>
    <cellStyle name="Currency 3 3 2 2 2 3 4 2" xfId="8359" xr:uid="{00000000-0005-0000-0000-000054070000}"/>
    <cellStyle name="Currency 3 3 2 2 2 3 5" xfId="5105" xr:uid="{00000000-0005-0000-0000-000055070000}"/>
    <cellStyle name="Currency 3 3 2 2 2 4" xfId="746" xr:uid="{00000000-0005-0000-0000-000056070000}"/>
    <cellStyle name="Currency 3 3 2 2 2 4 2" xfId="2173" xr:uid="{00000000-0005-0000-0000-000057070000}"/>
    <cellStyle name="Currency 3 3 2 2 2 4 2 2" xfId="6667" xr:uid="{00000000-0005-0000-0000-000058070000}"/>
    <cellStyle name="Currency 3 3 2 2 2 4 3" xfId="6044" xr:uid="{00000000-0005-0000-0000-000059070000}"/>
    <cellStyle name="Currency 3 3 2 2 2 5" xfId="291" xr:uid="{00000000-0005-0000-0000-00005A070000}"/>
    <cellStyle name="Currency 3 3 2 2 2 5 2" xfId="5986" xr:uid="{00000000-0005-0000-0000-00005B070000}"/>
    <cellStyle name="Currency 3 3 2 2 2 6" xfId="3410" xr:uid="{00000000-0005-0000-0000-00005C070000}"/>
    <cellStyle name="Currency 3 3 2 2 2 6 2" xfId="7876" xr:uid="{00000000-0005-0000-0000-00005D070000}"/>
    <cellStyle name="Currency 3 3 2 2 2 7" xfId="4621" xr:uid="{00000000-0005-0000-0000-00005E070000}"/>
    <cellStyle name="Currency 3 3 2 2 3" xfId="747" xr:uid="{00000000-0005-0000-0000-00005F070000}"/>
    <cellStyle name="Currency 3 3 2 2 3 2" xfId="748" xr:uid="{00000000-0005-0000-0000-000060070000}"/>
    <cellStyle name="Currency 3 3 2 2 3 2 2" xfId="2174" xr:uid="{00000000-0005-0000-0000-000061070000}"/>
    <cellStyle name="Currency 3 3 2 2 3 2 2 2" xfId="6668" xr:uid="{00000000-0005-0000-0000-000062070000}"/>
    <cellStyle name="Currency 3 3 2 2 3 2 3" xfId="4176" xr:uid="{00000000-0005-0000-0000-000063070000}"/>
    <cellStyle name="Currency 3 3 2 2 3 2 3 2" xfId="8642" xr:uid="{00000000-0005-0000-0000-000064070000}"/>
    <cellStyle name="Currency 3 3 2 2 3 2 4" xfId="5388" xr:uid="{00000000-0005-0000-0000-000065070000}"/>
    <cellStyle name="Currency 3 3 2 2 3 3" xfId="2175" xr:uid="{00000000-0005-0000-0000-000066070000}"/>
    <cellStyle name="Currency 3 3 2 2 3 3 2" xfId="6669" xr:uid="{00000000-0005-0000-0000-000067070000}"/>
    <cellStyle name="Currency 3 3 2 2 3 4" xfId="3412" xr:uid="{00000000-0005-0000-0000-000068070000}"/>
    <cellStyle name="Currency 3 3 2 2 3 4 2" xfId="7878" xr:uid="{00000000-0005-0000-0000-000069070000}"/>
    <cellStyle name="Currency 3 3 2 2 3 5" xfId="4623" xr:uid="{00000000-0005-0000-0000-00006A070000}"/>
    <cellStyle name="Currency 3 3 2 2 4" xfId="749" xr:uid="{00000000-0005-0000-0000-00006B070000}"/>
    <cellStyle name="Currency 3 3 2 2 4 2" xfId="750" xr:uid="{00000000-0005-0000-0000-00006C070000}"/>
    <cellStyle name="Currency 3 3 2 2 4 2 2" xfId="2176" xr:uid="{00000000-0005-0000-0000-00006D070000}"/>
    <cellStyle name="Currency 3 3 2 2 4 2 2 2" xfId="6670" xr:uid="{00000000-0005-0000-0000-00006E070000}"/>
    <cellStyle name="Currency 3 3 2 2 4 2 3" xfId="5774" xr:uid="{00000000-0005-0000-0000-00006F070000}"/>
    <cellStyle name="Currency 3 3 2 2 4 3" xfId="2177" xr:uid="{00000000-0005-0000-0000-000070070000}"/>
    <cellStyle name="Currency 3 3 2 2 4 3 2" xfId="6671" xr:uid="{00000000-0005-0000-0000-000071070000}"/>
    <cellStyle name="Currency 3 3 2 2 4 4" xfId="3892" xr:uid="{00000000-0005-0000-0000-000072070000}"/>
    <cellStyle name="Currency 3 3 2 2 4 4 2" xfId="8358" xr:uid="{00000000-0005-0000-0000-000073070000}"/>
    <cellStyle name="Currency 3 3 2 2 4 5" xfId="5104" xr:uid="{00000000-0005-0000-0000-000074070000}"/>
    <cellStyle name="Currency 3 3 2 2 5" xfId="751" xr:uid="{00000000-0005-0000-0000-000075070000}"/>
    <cellStyle name="Currency 3 3 2 2 5 2" xfId="2178" xr:uid="{00000000-0005-0000-0000-000076070000}"/>
    <cellStyle name="Currency 3 3 2 2 5 2 2" xfId="6672" xr:uid="{00000000-0005-0000-0000-000077070000}"/>
    <cellStyle name="Currency 3 3 2 2 5 3" xfId="4713" xr:uid="{00000000-0005-0000-0000-000078070000}"/>
    <cellStyle name="Currency 3 3 2 2 6" xfId="290" xr:uid="{00000000-0005-0000-0000-000079070000}"/>
    <cellStyle name="Currency 3 3 2 2 6 2" xfId="5877" xr:uid="{00000000-0005-0000-0000-00007A070000}"/>
    <cellStyle name="Currency 3 3 2 2 7" xfId="3409" xr:uid="{00000000-0005-0000-0000-00007B070000}"/>
    <cellStyle name="Currency 3 3 2 2 7 2" xfId="7875" xr:uid="{00000000-0005-0000-0000-00007C070000}"/>
    <cellStyle name="Currency 3 3 2 2 8" xfId="4620" xr:uid="{00000000-0005-0000-0000-00007D070000}"/>
    <cellStyle name="Currency 3 3 2 3" xfId="75" xr:uid="{00000000-0005-0000-0000-00007E070000}"/>
    <cellStyle name="Currency 3 3 2 3 2" xfId="752" xr:uid="{00000000-0005-0000-0000-00007F070000}"/>
    <cellStyle name="Currency 3 3 2 3 2 2" xfId="753" xr:uid="{00000000-0005-0000-0000-000080070000}"/>
    <cellStyle name="Currency 3 3 2 3 2 2 2" xfId="2179" xr:uid="{00000000-0005-0000-0000-000081070000}"/>
    <cellStyle name="Currency 3 3 2 3 2 2 2 2" xfId="6673" xr:uid="{00000000-0005-0000-0000-000082070000}"/>
    <cellStyle name="Currency 3 3 2 3 2 2 3" xfId="4177" xr:uid="{00000000-0005-0000-0000-000083070000}"/>
    <cellStyle name="Currency 3 3 2 3 2 2 3 2" xfId="8643" xr:uid="{00000000-0005-0000-0000-000084070000}"/>
    <cellStyle name="Currency 3 3 2 3 2 2 4" xfId="5389" xr:uid="{00000000-0005-0000-0000-000085070000}"/>
    <cellStyle name="Currency 3 3 2 3 2 3" xfId="2180" xr:uid="{00000000-0005-0000-0000-000086070000}"/>
    <cellStyle name="Currency 3 3 2 3 2 3 2" xfId="6674" xr:uid="{00000000-0005-0000-0000-000087070000}"/>
    <cellStyle name="Currency 3 3 2 3 2 4" xfId="3414" xr:uid="{00000000-0005-0000-0000-000088070000}"/>
    <cellStyle name="Currency 3 3 2 3 2 4 2" xfId="7880" xr:uid="{00000000-0005-0000-0000-000089070000}"/>
    <cellStyle name="Currency 3 3 2 3 2 5" xfId="4625" xr:uid="{00000000-0005-0000-0000-00008A070000}"/>
    <cellStyle name="Currency 3 3 2 3 3" xfId="754" xr:uid="{00000000-0005-0000-0000-00008B070000}"/>
    <cellStyle name="Currency 3 3 2 3 3 2" xfId="755" xr:uid="{00000000-0005-0000-0000-00008C070000}"/>
    <cellStyle name="Currency 3 3 2 3 3 2 2" xfId="2181" xr:uid="{00000000-0005-0000-0000-00008D070000}"/>
    <cellStyle name="Currency 3 3 2 3 3 2 2 2" xfId="6675" xr:uid="{00000000-0005-0000-0000-00008E070000}"/>
    <cellStyle name="Currency 3 3 2 3 3 2 3" xfId="4504" xr:uid="{00000000-0005-0000-0000-00008F070000}"/>
    <cellStyle name="Currency 3 3 2 3 3 3" xfId="2182" xr:uid="{00000000-0005-0000-0000-000090070000}"/>
    <cellStyle name="Currency 3 3 2 3 3 3 2" xfId="6676" xr:uid="{00000000-0005-0000-0000-000091070000}"/>
    <cellStyle name="Currency 3 3 2 3 3 4" xfId="3894" xr:uid="{00000000-0005-0000-0000-000092070000}"/>
    <cellStyle name="Currency 3 3 2 3 3 4 2" xfId="8360" xr:uid="{00000000-0005-0000-0000-000093070000}"/>
    <cellStyle name="Currency 3 3 2 3 3 5" xfId="5106" xr:uid="{00000000-0005-0000-0000-000094070000}"/>
    <cellStyle name="Currency 3 3 2 3 4" xfId="756" xr:uid="{00000000-0005-0000-0000-000095070000}"/>
    <cellStyle name="Currency 3 3 2 3 4 2" xfId="2183" xr:uid="{00000000-0005-0000-0000-000096070000}"/>
    <cellStyle name="Currency 3 3 2 3 4 2 2" xfId="6677" xr:uid="{00000000-0005-0000-0000-000097070000}"/>
    <cellStyle name="Currency 3 3 2 3 4 3" xfId="4496" xr:uid="{00000000-0005-0000-0000-000098070000}"/>
    <cellStyle name="Currency 3 3 2 3 5" xfId="292" xr:uid="{00000000-0005-0000-0000-000099070000}"/>
    <cellStyle name="Currency 3 3 2 3 5 2" xfId="6125" xr:uid="{00000000-0005-0000-0000-00009A070000}"/>
    <cellStyle name="Currency 3 3 2 3 6" xfId="3413" xr:uid="{00000000-0005-0000-0000-00009B070000}"/>
    <cellStyle name="Currency 3 3 2 3 6 2" xfId="7879" xr:uid="{00000000-0005-0000-0000-00009C070000}"/>
    <cellStyle name="Currency 3 3 2 3 7" xfId="4624" xr:uid="{00000000-0005-0000-0000-00009D070000}"/>
    <cellStyle name="Currency 3 3 2 4" xfId="757" xr:uid="{00000000-0005-0000-0000-00009E070000}"/>
    <cellStyle name="Currency 3 3 2 4 2" xfId="758" xr:uid="{00000000-0005-0000-0000-00009F070000}"/>
    <cellStyle name="Currency 3 3 2 4 2 2" xfId="2184" xr:uid="{00000000-0005-0000-0000-0000A0070000}"/>
    <cellStyle name="Currency 3 3 2 4 2 2 2" xfId="6678" xr:uid="{00000000-0005-0000-0000-0000A1070000}"/>
    <cellStyle name="Currency 3 3 2 4 2 3" xfId="4178" xr:uid="{00000000-0005-0000-0000-0000A2070000}"/>
    <cellStyle name="Currency 3 3 2 4 2 3 2" xfId="8644" xr:uid="{00000000-0005-0000-0000-0000A3070000}"/>
    <cellStyle name="Currency 3 3 2 4 2 4" xfId="5390" xr:uid="{00000000-0005-0000-0000-0000A4070000}"/>
    <cellStyle name="Currency 3 3 2 4 3" xfId="2185" xr:uid="{00000000-0005-0000-0000-0000A5070000}"/>
    <cellStyle name="Currency 3 3 2 4 3 2" xfId="6679" xr:uid="{00000000-0005-0000-0000-0000A6070000}"/>
    <cellStyle name="Currency 3 3 2 4 4" xfId="3415" xr:uid="{00000000-0005-0000-0000-0000A7070000}"/>
    <cellStyle name="Currency 3 3 2 4 4 2" xfId="7881" xr:uid="{00000000-0005-0000-0000-0000A8070000}"/>
    <cellStyle name="Currency 3 3 2 4 5" xfId="4626" xr:uid="{00000000-0005-0000-0000-0000A9070000}"/>
    <cellStyle name="Currency 3 3 2 5" xfId="759" xr:uid="{00000000-0005-0000-0000-0000AA070000}"/>
    <cellStyle name="Currency 3 3 2 5 2" xfId="760" xr:uid="{00000000-0005-0000-0000-0000AB070000}"/>
    <cellStyle name="Currency 3 3 2 5 2 2" xfId="2186" xr:uid="{00000000-0005-0000-0000-0000AC070000}"/>
    <cellStyle name="Currency 3 3 2 5 2 2 2" xfId="6680" xr:uid="{00000000-0005-0000-0000-0000AD070000}"/>
    <cellStyle name="Currency 3 3 2 5 2 3" xfId="6043" xr:uid="{00000000-0005-0000-0000-0000AE070000}"/>
    <cellStyle name="Currency 3 3 2 5 3" xfId="2187" xr:uid="{00000000-0005-0000-0000-0000AF070000}"/>
    <cellStyle name="Currency 3 3 2 5 3 2" xfId="6681" xr:uid="{00000000-0005-0000-0000-0000B0070000}"/>
    <cellStyle name="Currency 3 3 2 5 4" xfId="3891" xr:uid="{00000000-0005-0000-0000-0000B1070000}"/>
    <cellStyle name="Currency 3 3 2 5 4 2" xfId="8357" xr:uid="{00000000-0005-0000-0000-0000B2070000}"/>
    <cellStyle name="Currency 3 3 2 5 5" xfId="5103" xr:uid="{00000000-0005-0000-0000-0000B3070000}"/>
    <cellStyle name="Currency 3 3 2 6" xfId="761" xr:uid="{00000000-0005-0000-0000-0000B4070000}"/>
    <cellStyle name="Currency 3 3 2 6 2" xfId="2188" xr:uid="{00000000-0005-0000-0000-0000B5070000}"/>
    <cellStyle name="Currency 3 3 2 6 2 2" xfId="6682" xr:uid="{00000000-0005-0000-0000-0000B6070000}"/>
    <cellStyle name="Currency 3 3 2 6 3" xfId="6042" xr:uid="{00000000-0005-0000-0000-0000B7070000}"/>
    <cellStyle name="Currency 3 3 2 7" xfId="289" xr:uid="{00000000-0005-0000-0000-0000B8070000}"/>
    <cellStyle name="Currency 3 3 2 7 2" xfId="5878" xr:uid="{00000000-0005-0000-0000-0000B9070000}"/>
    <cellStyle name="Currency 3 3 2 8" xfId="3408" xr:uid="{00000000-0005-0000-0000-0000BA070000}"/>
    <cellStyle name="Currency 3 3 2 8 2" xfId="7874" xr:uid="{00000000-0005-0000-0000-0000BB070000}"/>
    <cellStyle name="Currency 3 3 2 9" xfId="4619" xr:uid="{00000000-0005-0000-0000-0000BC070000}"/>
    <cellStyle name="Currency 3 3 3" xfId="76" xr:uid="{00000000-0005-0000-0000-0000BD070000}"/>
    <cellStyle name="Currency 3 3 3 2" xfId="77" xr:uid="{00000000-0005-0000-0000-0000BE070000}"/>
    <cellStyle name="Currency 3 3 3 2 2" xfId="762" xr:uid="{00000000-0005-0000-0000-0000BF070000}"/>
    <cellStyle name="Currency 3 3 3 2 2 2" xfId="763" xr:uid="{00000000-0005-0000-0000-0000C0070000}"/>
    <cellStyle name="Currency 3 3 3 2 2 2 2" xfId="2189" xr:uid="{00000000-0005-0000-0000-0000C1070000}"/>
    <cellStyle name="Currency 3 3 3 2 2 2 2 2" xfId="6683" xr:uid="{00000000-0005-0000-0000-0000C2070000}"/>
    <cellStyle name="Currency 3 3 3 2 2 2 3" xfId="4179" xr:uid="{00000000-0005-0000-0000-0000C3070000}"/>
    <cellStyle name="Currency 3 3 3 2 2 2 3 2" xfId="8645" xr:uid="{00000000-0005-0000-0000-0000C4070000}"/>
    <cellStyle name="Currency 3 3 3 2 2 2 4" xfId="5391" xr:uid="{00000000-0005-0000-0000-0000C5070000}"/>
    <cellStyle name="Currency 3 3 3 2 2 3" xfId="2190" xr:uid="{00000000-0005-0000-0000-0000C6070000}"/>
    <cellStyle name="Currency 3 3 3 2 2 3 2" xfId="6684" xr:uid="{00000000-0005-0000-0000-0000C7070000}"/>
    <cellStyle name="Currency 3 3 3 2 2 4" xfId="3418" xr:uid="{00000000-0005-0000-0000-0000C8070000}"/>
    <cellStyle name="Currency 3 3 3 2 2 4 2" xfId="7884" xr:uid="{00000000-0005-0000-0000-0000C9070000}"/>
    <cellStyle name="Currency 3 3 3 2 2 5" xfId="4629" xr:uid="{00000000-0005-0000-0000-0000CA070000}"/>
    <cellStyle name="Currency 3 3 3 2 3" xfId="764" xr:uid="{00000000-0005-0000-0000-0000CB070000}"/>
    <cellStyle name="Currency 3 3 3 2 3 2" xfId="765" xr:uid="{00000000-0005-0000-0000-0000CC070000}"/>
    <cellStyle name="Currency 3 3 3 2 3 2 2" xfId="2191" xr:uid="{00000000-0005-0000-0000-0000CD070000}"/>
    <cellStyle name="Currency 3 3 3 2 3 2 2 2" xfId="6685" xr:uid="{00000000-0005-0000-0000-0000CE070000}"/>
    <cellStyle name="Currency 3 3 3 2 3 2 3" xfId="5773" xr:uid="{00000000-0005-0000-0000-0000CF070000}"/>
    <cellStyle name="Currency 3 3 3 2 3 3" xfId="2192" xr:uid="{00000000-0005-0000-0000-0000D0070000}"/>
    <cellStyle name="Currency 3 3 3 2 3 3 2" xfId="6686" xr:uid="{00000000-0005-0000-0000-0000D1070000}"/>
    <cellStyle name="Currency 3 3 3 2 3 4" xfId="3896" xr:uid="{00000000-0005-0000-0000-0000D2070000}"/>
    <cellStyle name="Currency 3 3 3 2 3 4 2" xfId="8362" xr:uid="{00000000-0005-0000-0000-0000D3070000}"/>
    <cellStyle name="Currency 3 3 3 2 3 5" xfId="5108" xr:uid="{00000000-0005-0000-0000-0000D4070000}"/>
    <cellStyle name="Currency 3 3 3 2 4" xfId="766" xr:uid="{00000000-0005-0000-0000-0000D5070000}"/>
    <cellStyle name="Currency 3 3 3 2 4 2" xfId="2193" xr:uid="{00000000-0005-0000-0000-0000D6070000}"/>
    <cellStyle name="Currency 3 3 3 2 4 2 2" xfId="6687" xr:uid="{00000000-0005-0000-0000-0000D7070000}"/>
    <cellStyle name="Currency 3 3 3 2 4 3" xfId="5772" xr:uid="{00000000-0005-0000-0000-0000D8070000}"/>
    <cellStyle name="Currency 3 3 3 2 5" xfId="294" xr:uid="{00000000-0005-0000-0000-0000D9070000}"/>
    <cellStyle name="Currency 3 3 3 2 5 2" xfId="5987" xr:uid="{00000000-0005-0000-0000-0000DA070000}"/>
    <cellStyle name="Currency 3 3 3 2 6" xfId="3417" xr:uid="{00000000-0005-0000-0000-0000DB070000}"/>
    <cellStyle name="Currency 3 3 3 2 6 2" xfId="7883" xr:uid="{00000000-0005-0000-0000-0000DC070000}"/>
    <cellStyle name="Currency 3 3 3 2 7" xfId="4628" xr:uid="{00000000-0005-0000-0000-0000DD070000}"/>
    <cellStyle name="Currency 3 3 3 3" xfId="767" xr:uid="{00000000-0005-0000-0000-0000DE070000}"/>
    <cellStyle name="Currency 3 3 3 3 2" xfId="768" xr:uid="{00000000-0005-0000-0000-0000DF070000}"/>
    <cellStyle name="Currency 3 3 3 3 2 2" xfId="2194" xr:uid="{00000000-0005-0000-0000-0000E0070000}"/>
    <cellStyle name="Currency 3 3 3 3 2 2 2" xfId="6688" xr:uid="{00000000-0005-0000-0000-0000E1070000}"/>
    <cellStyle name="Currency 3 3 3 3 2 3" xfId="4180" xr:uid="{00000000-0005-0000-0000-0000E2070000}"/>
    <cellStyle name="Currency 3 3 3 3 2 3 2" xfId="8646" xr:uid="{00000000-0005-0000-0000-0000E3070000}"/>
    <cellStyle name="Currency 3 3 3 3 2 4" xfId="5392" xr:uid="{00000000-0005-0000-0000-0000E4070000}"/>
    <cellStyle name="Currency 3 3 3 3 3" xfId="2195" xr:uid="{00000000-0005-0000-0000-0000E5070000}"/>
    <cellStyle name="Currency 3 3 3 3 3 2" xfId="6689" xr:uid="{00000000-0005-0000-0000-0000E6070000}"/>
    <cellStyle name="Currency 3 3 3 3 4" xfId="3419" xr:uid="{00000000-0005-0000-0000-0000E7070000}"/>
    <cellStyle name="Currency 3 3 3 3 4 2" xfId="7885" xr:uid="{00000000-0005-0000-0000-0000E8070000}"/>
    <cellStyle name="Currency 3 3 3 3 5" xfId="4630" xr:uid="{00000000-0005-0000-0000-0000E9070000}"/>
    <cellStyle name="Currency 3 3 3 4" xfId="769" xr:uid="{00000000-0005-0000-0000-0000EA070000}"/>
    <cellStyle name="Currency 3 3 3 4 2" xfId="770" xr:uid="{00000000-0005-0000-0000-0000EB070000}"/>
    <cellStyle name="Currency 3 3 3 4 2 2" xfId="2196" xr:uid="{00000000-0005-0000-0000-0000EC070000}"/>
    <cellStyle name="Currency 3 3 3 4 2 2 2" xfId="6690" xr:uid="{00000000-0005-0000-0000-0000ED070000}"/>
    <cellStyle name="Currency 3 3 3 4 2 3" xfId="5771" xr:uid="{00000000-0005-0000-0000-0000EE070000}"/>
    <cellStyle name="Currency 3 3 3 4 3" xfId="2197" xr:uid="{00000000-0005-0000-0000-0000EF070000}"/>
    <cellStyle name="Currency 3 3 3 4 3 2" xfId="6691" xr:uid="{00000000-0005-0000-0000-0000F0070000}"/>
    <cellStyle name="Currency 3 3 3 4 4" xfId="3895" xr:uid="{00000000-0005-0000-0000-0000F1070000}"/>
    <cellStyle name="Currency 3 3 3 4 4 2" xfId="8361" xr:uid="{00000000-0005-0000-0000-0000F2070000}"/>
    <cellStyle name="Currency 3 3 3 4 5" xfId="5107" xr:uid="{00000000-0005-0000-0000-0000F3070000}"/>
    <cellStyle name="Currency 3 3 3 5" xfId="771" xr:uid="{00000000-0005-0000-0000-0000F4070000}"/>
    <cellStyle name="Currency 3 3 3 5 2" xfId="2198" xr:uid="{00000000-0005-0000-0000-0000F5070000}"/>
    <cellStyle name="Currency 3 3 3 5 2 2" xfId="6692" xr:uid="{00000000-0005-0000-0000-0000F6070000}"/>
    <cellStyle name="Currency 3 3 3 5 3" xfId="5933" xr:uid="{00000000-0005-0000-0000-0000F7070000}"/>
    <cellStyle name="Currency 3 3 3 6" xfId="293" xr:uid="{00000000-0005-0000-0000-0000F8070000}"/>
    <cellStyle name="Currency 3 3 3 6 2" xfId="5876" xr:uid="{00000000-0005-0000-0000-0000F9070000}"/>
    <cellStyle name="Currency 3 3 3 7" xfId="3416" xr:uid="{00000000-0005-0000-0000-0000FA070000}"/>
    <cellStyle name="Currency 3 3 3 7 2" xfId="7882" xr:uid="{00000000-0005-0000-0000-0000FB070000}"/>
    <cellStyle name="Currency 3 3 3 8" xfId="4627" xr:uid="{00000000-0005-0000-0000-0000FC070000}"/>
    <cellStyle name="Currency 3 3 4" xfId="78" xr:uid="{00000000-0005-0000-0000-0000FD070000}"/>
    <cellStyle name="Currency 3 3 4 2" xfId="772" xr:uid="{00000000-0005-0000-0000-0000FE070000}"/>
    <cellStyle name="Currency 3 3 4 2 2" xfId="773" xr:uid="{00000000-0005-0000-0000-0000FF070000}"/>
    <cellStyle name="Currency 3 3 4 2 2 2" xfId="774" xr:uid="{00000000-0005-0000-0000-000000080000}"/>
    <cellStyle name="Currency 3 3 4 2 2 2 2" xfId="2199" xr:uid="{00000000-0005-0000-0000-000001080000}"/>
    <cellStyle name="Currency 3 3 4 2 2 2 2 2" xfId="6693" xr:uid="{00000000-0005-0000-0000-000002080000}"/>
    <cellStyle name="Currency 3 3 4 2 2 2 3" xfId="4181" xr:uid="{00000000-0005-0000-0000-000003080000}"/>
    <cellStyle name="Currency 3 3 4 2 2 2 3 2" xfId="8647" xr:uid="{00000000-0005-0000-0000-000004080000}"/>
    <cellStyle name="Currency 3 3 4 2 2 2 4" xfId="5393" xr:uid="{00000000-0005-0000-0000-000005080000}"/>
    <cellStyle name="Currency 3 3 4 2 2 3" xfId="2200" xr:uid="{00000000-0005-0000-0000-000006080000}"/>
    <cellStyle name="Currency 3 3 4 2 2 3 2" xfId="6694" xr:uid="{00000000-0005-0000-0000-000007080000}"/>
    <cellStyle name="Currency 3 3 4 2 2 4" xfId="3422" xr:uid="{00000000-0005-0000-0000-000008080000}"/>
    <cellStyle name="Currency 3 3 4 2 2 4 2" xfId="7888" xr:uid="{00000000-0005-0000-0000-000009080000}"/>
    <cellStyle name="Currency 3 3 4 2 2 5" xfId="4633" xr:uid="{00000000-0005-0000-0000-00000A080000}"/>
    <cellStyle name="Currency 3 3 4 2 3" xfId="775" xr:uid="{00000000-0005-0000-0000-00000B080000}"/>
    <cellStyle name="Currency 3 3 4 2 3 2" xfId="776" xr:uid="{00000000-0005-0000-0000-00000C080000}"/>
    <cellStyle name="Currency 3 3 4 2 3 2 2" xfId="2201" xr:uid="{00000000-0005-0000-0000-00000D080000}"/>
    <cellStyle name="Currency 3 3 4 2 3 2 2 2" xfId="6695" xr:uid="{00000000-0005-0000-0000-00000E080000}"/>
    <cellStyle name="Currency 3 3 4 2 3 2 3" xfId="5770" xr:uid="{00000000-0005-0000-0000-00000F080000}"/>
    <cellStyle name="Currency 3 3 4 2 3 3" xfId="2202" xr:uid="{00000000-0005-0000-0000-000010080000}"/>
    <cellStyle name="Currency 3 3 4 2 3 3 2" xfId="6696" xr:uid="{00000000-0005-0000-0000-000011080000}"/>
    <cellStyle name="Currency 3 3 4 2 3 4" xfId="3898" xr:uid="{00000000-0005-0000-0000-000012080000}"/>
    <cellStyle name="Currency 3 3 4 2 3 4 2" xfId="8364" xr:uid="{00000000-0005-0000-0000-000013080000}"/>
    <cellStyle name="Currency 3 3 4 2 3 5" xfId="5110" xr:uid="{00000000-0005-0000-0000-000014080000}"/>
    <cellStyle name="Currency 3 3 4 2 4" xfId="777" xr:uid="{00000000-0005-0000-0000-000015080000}"/>
    <cellStyle name="Currency 3 3 4 2 4 2" xfId="2203" xr:uid="{00000000-0005-0000-0000-000016080000}"/>
    <cellStyle name="Currency 3 3 4 2 4 2 2" xfId="6697" xr:uid="{00000000-0005-0000-0000-000017080000}"/>
    <cellStyle name="Currency 3 3 4 2 4 3" xfId="5931" xr:uid="{00000000-0005-0000-0000-000018080000}"/>
    <cellStyle name="Currency 3 3 4 2 5" xfId="2204" xr:uid="{00000000-0005-0000-0000-000019080000}"/>
    <cellStyle name="Currency 3 3 4 2 5 2" xfId="6698" xr:uid="{00000000-0005-0000-0000-00001A080000}"/>
    <cellStyle name="Currency 3 3 4 2 6" xfId="3421" xr:uid="{00000000-0005-0000-0000-00001B080000}"/>
    <cellStyle name="Currency 3 3 4 2 6 2" xfId="7887" xr:uid="{00000000-0005-0000-0000-00001C080000}"/>
    <cellStyle name="Currency 3 3 4 2 7" xfId="4632" xr:uid="{00000000-0005-0000-0000-00001D080000}"/>
    <cellStyle name="Currency 3 3 4 3" xfId="778" xr:uid="{00000000-0005-0000-0000-00001E080000}"/>
    <cellStyle name="Currency 3 3 4 3 2" xfId="779" xr:uid="{00000000-0005-0000-0000-00001F080000}"/>
    <cellStyle name="Currency 3 3 4 3 2 2" xfId="2205" xr:uid="{00000000-0005-0000-0000-000020080000}"/>
    <cellStyle name="Currency 3 3 4 3 2 2 2" xfId="6699" xr:uid="{00000000-0005-0000-0000-000021080000}"/>
    <cellStyle name="Currency 3 3 4 3 2 3" xfId="4182" xr:uid="{00000000-0005-0000-0000-000022080000}"/>
    <cellStyle name="Currency 3 3 4 3 2 3 2" xfId="8648" xr:uid="{00000000-0005-0000-0000-000023080000}"/>
    <cellStyle name="Currency 3 3 4 3 2 4" xfId="5394" xr:uid="{00000000-0005-0000-0000-000024080000}"/>
    <cellStyle name="Currency 3 3 4 3 3" xfId="2206" xr:uid="{00000000-0005-0000-0000-000025080000}"/>
    <cellStyle name="Currency 3 3 4 3 3 2" xfId="6700" xr:uid="{00000000-0005-0000-0000-000026080000}"/>
    <cellStyle name="Currency 3 3 4 3 4" xfId="3423" xr:uid="{00000000-0005-0000-0000-000027080000}"/>
    <cellStyle name="Currency 3 3 4 3 4 2" xfId="7889" xr:uid="{00000000-0005-0000-0000-000028080000}"/>
    <cellStyle name="Currency 3 3 4 3 5" xfId="4634" xr:uid="{00000000-0005-0000-0000-000029080000}"/>
    <cellStyle name="Currency 3 3 4 4" xfId="780" xr:uid="{00000000-0005-0000-0000-00002A080000}"/>
    <cellStyle name="Currency 3 3 4 4 2" xfId="781" xr:uid="{00000000-0005-0000-0000-00002B080000}"/>
    <cellStyle name="Currency 3 3 4 4 2 2" xfId="2207" xr:uid="{00000000-0005-0000-0000-00002C080000}"/>
    <cellStyle name="Currency 3 3 4 4 2 2 2" xfId="6701" xr:uid="{00000000-0005-0000-0000-00002D080000}"/>
    <cellStyle name="Currency 3 3 4 4 2 3" xfId="5932" xr:uid="{00000000-0005-0000-0000-00002E080000}"/>
    <cellStyle name="Currency 3 3 4 4 3" xfId="2208" xr:uid="{00000000-0005-0000-0000-00002F080000}"/>
    <cellStyle name="Currency 3 3 4 4 3 2" xfId="6702" xr:uid="{00000000-0005-0000-0000-000030080000}"/>
    <cellStyle name="Currency 3 3 4 4 4" xfId="3897" xr:uid="{00000000-0005-0000-0000-000031080000}"/>
    <cellStyle name="Currency 3 3 4 4 4 2" xfId="8363" xr:uid="{00000000-0005-0000-0000-000032080000}"/>
    <cellStyle name="Currency 3 3 4 4 5" xfId="5109" xr:uid="{00000000-0005-0000-0000-000033080000}"/>
    <cellStyle name="Currency 3 3 4 5" xfId="782" xr:uid="{00000000-0005-0000-0000-000034080000}"/>
    <cellStyle name="Currency 3 3 4 5 2" xfId="2209" xr:uid="{00000000-0005-0000-0000-000035080000}"/>
    <cellStyle name="Currency 3 3 4 5 2 2" xfId="6703" xr:uid="{00000000-0005-0000-0000-000036080000}"/>
    <cellStyle name="Currency 3 3 4 5 3" xfId="6041" xr:uid="{00000000-0005-0000-0000-000037080000}"/>
    <cellStyle name="Currency 3 3 4 6" xfId="295" xr:uid="{00000000-0005-0000-0000-000038080000}"/>
    <cellStyle name="Currency 3 3 4 6 2" xfId="6124" xr:uid="{00000000-0005-0000-0000-000039080000}"/>
    <cellStyle name="Currency 3 3 4 7" xfId="3420" xr:uid="{00000000-0005-0000-0000-00003A080000}"/>
    <cellStyle name="Currency 3 3 4 7 2" xfId="7886" xr:uid="{00000000-0005-0000-0000-00003B080000}"/>
    <cellStyle name="Currency 3 3 4 8" xfId="4631" xr:uid="{00000000-0005-0000-0000-00003C080000}"/>
    <cellStyle name="Currency 3 3 5" xfId="783" xr:uid="{00000000-0005-0000-0000-00003D080000}"/>
    <cellStyle name="Currency 3 3 5 2" xfId="784" xr:uid="{00000000-0005-0000-0000-00003E080000}"/>
    <cellStyle name="Currency 3 3 5 2 2" xfId="785" xr:uid="{00000000-0005-0000-0000-00003F080000}"/>
    <cellStyle name="Currency 3 3 5 2 2 2" xfId="2210" xr:uid="{00000000-0005-0000-0000-000040080000}"/>
    <cellStyle name="Currency 3 3 5 2 2 2 2" xfId="6704" xr:uid="{00000000-0005-0000-0000-000041080000}"/>
    <cellStyle name="Currency 3 3 5 2 2 3" xfId="4183" xr:uid="{00000000-0005-0000-0000-000042080000}"/>
    <cellStyle name="Currency 3 3 5 2 2 3 2" xfId="8649" xr:uid="{00000000-0005-0000-0000-000043080000}"/>
    <cellStyle name="Currency 3 3 5 2 2 4" xfId="5395" xr:uid="{00000000-0005-0000-0000-000044080000}"/>
    <cellStyle name="Currency 3 3 5 2 3" xfId="2211" xr:uid="{00000000-0005-0000-0000-000045080000}"/>
    <cellStyle name="Currency 3 3 5 2 3 2" xfId="6705" xr:uid="{00000000-0005-0000-0000-000046080000}"/>
    <cellStyle name="Currency 3 3 5 2 4" xfId="3425" xr:uid="{00000000-0005-0000-0000-000047080000}"/>
    <cellStyle name="Currency 3 3 5 2 4 2" xfId="7891" xr:uid="{00000000-0005-0000-0000-000048080000}"/>
    <cellStyle name="Currency 3 3 5 2 5" xfId="4636" xr:uid="{00000000-0005-0000-0000-000049080000}"/>
    <cellStyle name="Currency 3 3 5 3" xfId="786" xr:uid="{00000000-0005-0000-0000-00004A080000}"/>
    <cellStyle name="Currency 3 3 5 3 2" xfId="787" xr:uid="{00000000-0005-0000-0000-00004B080000}"/>
    <cellStyle name="Currency 3 3 5 3 2 2" xfId="2212" xr:uid="{00000000-0005-0000-0000-00004C080000}"/>
    <cellStyle name="Currency 3 3 5 3 2 2 2" xfId="6706" xr:uid="{00000000-0005-0000-0000-00004D080000}"/>
    <cellStyle name="Currency 3 3 5 3 2 3" xfId="6040" xr:uid="{00000000-0005-0000-0000-00004E080000}"/>
    <cellStyle name="Currency 3 3 5 3 3" xfId="2213" xr:uid="{00000000-0005-0000-0000-00004F080000}"/>
    <cellStyle name="Currency 3 3 5 3 3 2" xfId="6707" xr:uid="{00000000-0005-0000-0000-000050080000}"/>
    <cellStyle name="Currency 3 3 5 3 4" xfId="3899" xr:uid="{00000000-0005-0000-0000-000051080000}"/>
    <cellStyle name="Currency 3 3 5 3 4 2" xfId="8365" xr:uid="{00000000-0005-0000-0000-000052080000}"/>
    <cellStyle name="Currency 3 3 5 3 5" xfId="5111" xr:uid="{00000000-0005-0000-0000-000053080000}"/>
    <cellStyle name="Currency 3 3 5 4" xfId="788" xr:uid="{00000000-0005-0000-0000-000054080000}"/>
    <cellStyle name="Currency 3 3 5 4 2" xfId="2214" xr:uid="{00000000-0005-0000-0000-000055080000}"/>
    <cellStyle name="Currency 3 3 5 4 2 2" xfId="6708" xr:uid="{00000000-0005-0000-0000-000056080000}"/>
    <cellStyle name="Currency 3 3 5 4 3" xfId="5769" xr:uid="{00000000-0005-0000-0000-000057080000}"/>
    <cellStyle name="Currency 3 3 5 5" xfId="2215" xr:uid="{00000000-0005-0000-0000-000058080000}"/>
    <cellStyle name="Currency 3 3 5 5 2" xfId="6709" xr:uid="{00000000-0005-0000-0000-000059080000}"/>
    <cellStyle name="Currency 3 3 5 6" xfId="3424" xr:uid="{00000000-0005-0000-0000-00005A080000}"/>
    <cellStyle name="Currency 3 3 5 6 2" xfId="7890" xr:uid="{00000000-0005-0000-0000-00005B080000}"/>
    <cellStyle name="Currency 3 3 5 7" xfId="4635" xr:uid="{00000000-0005-0000-0000-00005C080000}"/>
    <cellStyle name="Currency 3 3 6" xfId="789" xr:uid="{00000000-0005-0000-0000-00005D080000}"/>
    <cellStyle name="Currency 3 3 6 2" xfId="790" xr:uid="{00000000-0005-0000-0000-00005E080000}"/>
    <cellStyle name="Currency 3 3 6 2 2" xfId="2216" xr:uid="{00000000-0005-0000-0000-00005F080000}"/>
    <cellStyle name="Currency 3 3 6 2 2 2" xfId="6710" xr:uid="{00000000-0005-0000-0000-000060080000}"/>
    <cellStyle name="Currency 3 3 6 2 3" xfId="4185" xr:uid="{00000000-0005-0000-0000-000061080000}"/>
    <cellStyle name="Currency 3 3 6 2 3 2" xfId="8651" xr:uid="{00000000-0005-0000-0000-000062080000}"/>
    <cellStyle name="Currency 3 3 6 2 4" xfId="5397" xr:uid="{00000000-0005-0000-0000-000063080000}"/>
    <cellStyle name="Currency 3 3 6 3" xfId="2217" xr:uid="{00000000-0005-0000-0000-000064080000}"/>
    <cellStyle name="Currency 3 3 6 3 2" xfId="4184" xr:uid="{00000000-0005-0000-0000-000065080000}"/>
    <cellStyle name="Currency 3 3 6 3 2 2" xfId="8650" xr:uid="{00000000-0005-0000-0000-000066080000}"/>
    <cellStyle name="Currency 3 3 6 3 3" xfId="5396" xr:uid="{00000000-0005-0000-0000-000067080000}"/>
    <cellStyle name="Currency 3 3 6 4" xfId="3426" xr:uid="{00000000-0005-0000-0000-000068080000}"/>
    <cellStyle name="Currency 3 3 6 4 2" xfId="7892" xr:uid="{00000000-0005-0000-0000-000069080000}"/>
    <cellStyle name="Currency 3 3 6 5" xfId="4637" xr:uid="{00000000-0005-0000-0000-00006A080000}"/>
    <cellStyle name="Currency 3 3 7" xfId="791" xr:uid="{00000000-0005-0000-0000-00006B080000}"/>
    <cellStyle name="Currency 3 3 7 2" xfId="792" xr:uid="{00000000-0005-0000-0000-00006C080000}"/>
    <cellStyle name="Currency 3 3 7 2 2" xfId="2218" xr:uid="{00000000-0005-0000-0000-00006D080000}"/>
    <cellStyle name="Currency 3 3 7 2 2 2" xfId="6711" xr:uid="{00000000-0005-0000-0000-00006E080000}"/>
    <cellStyle name="Currency 3 3 7 2 3" xfId="5768" xr:uid="{00000000-0005-0000-0000-00006F080000}"/>
    <cellStyle name="Currency 3 3 7 3" xfId="2219" xr:uid="{00000000-0005-0000-0000-000070080000}"/>
    <cellStyle name="Currency 3 3 7 3 2" xfId="6712" xr:uid="{00000000-0005-0000-0000-000071080000}"/>
    <cellStyle name="Currency 3 3 7 4" xfId="4186" xr:uid="{00000000-0005-0000-0000-000072080000}"/>
    <cellStyle name="Currency 3 3 7 4 2" xfId="8652" xr:uid="{00000000-0005-0000-0000-000073080000}"/>
    <cellStyle name="Currency 3 3 7 5" xfId="5398" xr:uid="{00000000-0005-0000-0000-000074080000}"/>
    <cellStyle name="Currency 3 3 8" xfId="793" xr:uid="{00000000-0005-0000-0000-000075080000}"/>
    <cellStyle name="Currency 3 3 8 2" xfId="2220" xr:uid="{00000000-0005-0000-0000-000076080000}"/>
    <cellStyle name="Currency 3 3 8 2 2" xfId="6713" xr:uid="{00000000-0005-0000-0000-000077080000}"/>
    <cellStyle name="Currency 3 3 8 3" xfId="4187" xr:uid="{00000000-0005-0000-0000-000078080000}"/>
    <cellStyle name="Currency 3 3 8 3 2" xfId="8653" xr:uid="{00000000-0005-0000-0000-000079080000}"/>
    <cellStyle name="Currency 3 3 8 4" xfId="5399" xr:uid="{00000000-0005-0000-0000-00007A080000}"/>
    <cellStyle name="Currency 3 3 9" xfId="288" xr:uid="{00000000-0005-0000-0000-00007B080000}"/>
    <cellStyle name="Currency 3 3 9 2" xfId="3890" xr:uid="{00000000-0005-0000-0000-00007C080000}"/>
    <cellStyle name="Currency 3 3 9 2 2" xfId="8356" xr:uid="{00000000-0005-0000-0000-00007D080000}"/>
    <cellStyle name="Currency 3 3 9 3" xfId="5102" xr:uid="{00000000-0005-0000-0000-00007E080000}"/>
    <cellStyle name="Currency 3 4" xfId="79" xr:uid="{00000000-0005-0000-0000-00007F080000}"/>
    <cellStyle name="Currency 3 4 2" xfId="80" xr:uid="{00000000-0005-0000-0000-000080080000}"/>
    <cellStyle name="Currency 3 4 2 2" xfId="81" xr:uid="{00000000-0005-0000-0000-000081080000}"/>
    <cellStyle name="Currency 3 4 2 2 2" xfId="794" xr:uid="{00000000-0005-0000-0000-000082080000}"/>
    <cellStyle name="Currency 3 4 2 2 2 2" xfId="795" xr:uid="{00000000-0005-0000-0000-000083080000}"/>
    <cellStyle name="Currency 3 4 2 2 2 2 2" xfId="2221" xr:uid="{00000000-0005-0000-0000-000084080000}"/>
    <cellStyle name="Currency 3 4 2 2 2 2 2 2" xfId="6714" xr:uid="{00000000-0005-0000-0000-000085080000}"/>
    <cellStyle name="Currency 3 4 2 2 2 2 3" xfId="4188" xr:uid="{00000000-0005-0000-0000-000086080000}"/>
    <cellStyle name="Currency 3 4 2 2 2 2 3 2" xfId="8654" xr:uid="{00000000-0005-0000-0000-000087080000}"/>
    <cellStyle name="Currency 3 4 2 2 2 2 4" xfId="5400" xr:uid="{00000000-0005-0000-0000-000088080000}"/>
    <cellStyle name="Currency 3 4 2 2 2 3" xfId="2222" xr:uid="{00000000-0005-0000-0000-000089080000}"/>
    <cellStyle name="Currency 3 4 2 2 2 3 2" xfId="6715" xr:uid="{00000000-0005-0000-0000-00008A080000}"/>
    <cellStyle name="Currency 3 4 2 2 2 4" xfId="3430" xr:uid="{00000000-0005-0000-0000-00008B080000}"/>
    <cellStyle name="Currency 3 4 2 2 2 4 2" xfId="7896" xr:uid="{00000000-0005-0000-0000-00008C080000}"/>
    <cellStyle name="Currency 3 4 2 2 2 5" xfId="4641" xr:uid="{00000000-0005-0000-0000-00008D080000}"/>
    <cellStyle name="Currency 3 4 2 2 3" xfId="796" xr:uid="{00000000-0005-0000-0000-00008E080000}"/>
    <cellStyle name="Currency 3 4 2 2 3 2" xfId="797" xr:uid="{00000000-0005-0000-0000-00008F080000}"/>
    <cellStyle name="Currency 3 4 2 2 3 2 2" xfId="2223" xr:uid="{00000000-0005-0000-0000-000090080000}"/>
    <cellStyle name="Currency 3 4 2 2 3 2 2 2" xfId="6716" xr:uid="{00000000-0005-0000-0000-000091080000}"/>
    <cellStyle name="Currency 3 4 2 2 3 2 3" xfId="5767" xr:uid="{00000000-0005-0000-0000-000092080000}"/>
    <cellStyle name="Currency 3 4 2 2 3 3" xfId="2224" xr:uid="{00000000-0005-0000-0000-000093080000}"/>
    <cellStyle name="Currency 3 4 2 2 3 3 2" xfId="6717" xr:uid="{00000000-0005-0000-0000-000094080000}"/>
    <cellStyle name="Currency 3 4 2 2 3 4" xfId="3902" xr:uid="{00000000-0005-0000-0000-000095080000}"/>
    <cellStyle name="Currency 3 4 2 2 3 4 2" xfId="8368" xr:uid="{00000000-0005-0000-0000-000096080000}"/>
    <cellStyle name="Currency 3 4 2 2 3 5" xfId="5114" xr:uid="{00000000-0005-0000-0000-000097080000}"/>
    <cellStyle name="Currency 3 4 2 2 4" xfId="798" xr:uid="{00000000-0005-0000-0000-000098080000}"/>
    <cellStyle name="Currency 3 4 2 2 4 2" xfId="2225" xr:uid="{00000000-0005-0000-0000-000099080000}"/>
    <cellStyle name="Currency 3 4 2 2 4 2 2" xfId="6718" xr:uid="{00000000-0005-0000-0000-00009A080000}"/>
    <cellStyle name="Currency 3 4 2 2 4 3" xfId="5766" xr:uid="{00000000-0005-0000-0000-00009B080000}"/>
    <cellStyle name="Currency 3 4 2 2 5" xfId="298" xr:uid="{00000000-0005-0000-0000-00009C080000}"/>
    <cellStyle name="Currency 3 4 2 2 5 2" xfId="5874" xr:uid="{00000000-0005-0000-0000-00009D080000}"/>
    <cellStyle name="Currency 3 4 2 2 6" xfId="3429" xr:uid="{00000000-0005-0000-0000-00009E080000}"/>
    <cellStyle name="Currency 3 4 2 2 6 2" xfId="7895" xr:uid="{00000000-0005-0000-0000-00009F080000}"/>
    <cellStyle name="Currency 3 4 2 2 7" xfId="4640" xr:uid="{00000000-0005-0000-0000-0000A0080000}"/>
    <cellStyle name="Currency 3 4 2 3" xfId="799" xr:uid="{00000000-0005-0000-0000-0000A1080000}"/>
    <cellStyle name="Currency 3 4 2 3 2" xfId="800" xr:uid="{00000000-0005-0000-0000-0000A2080000}"/>
    <cellStyle name="Currency 3 4 2 3 2 2" xfId="2226" xr:uid="{00000000-0005-0000-0000-0000A3080000}"/>
    <cellStyle name="Currency 3 4 2 3 2 2 2" xfId="6719" xr:uid="{00000000-0005-0000-0000-0000A4080000}"/>
    <cellStyle name="Currency 3 4 2 3 2 3" xfId="4189" xr:uid="{00000000-0005-0000-0000-0000A5080000}"/>
    <cellStyle name="Currency 3 4 2 3 2 3 2" xfId="8655" xr:uid="{00000000-0005-0000-0000-0000A6080000}"/>
    <cellStyle name="Currency 3 4 2 3 2 4" xfId="5401" xr:uid="{00000000-0005-0000-0000-0000A7080000}"/>
    <cellStyle name="Currency 3 4 2 3 3" xfId="2227" xr:uid="{00000000-0005-0000-0000-0000A8080000}"/>
    <cellStyle name="Currency 3 4 2 3 3 2" xfId="6720" xr:uid="{00000000-0005-0000-0000-0000A9080000}"/>
    <cellStyle name="Currency 3 4 2 3 4" xfId="3431" xr:uid="{00000000-0005-0000-0000-0000AA080000}"/>
    <cellStyle name="Currency 3 4 2 3 4 2" xfId="7897" xr:uid="{00000000-0005-0000-0000-0000AB080000}"/>
    <cellStyle name="Currency 3 4 2 3 5" xfId="4642" xr:uid="{00000000-0005-0000-0000-0000AC080000}"/>
    <cellStyle name="Currency 3 4 2 4" xfId="801" xr:uid="{00000000-0005-0000-0000-0000AD080000}"/>
    <cellStyle name="Currency 3 4 2 4 2" xfId="802" xr:uid="{00000000-0005-0000-0000-0000AE080000}"/>
    <cellStyle name="Currency 3 4 2 4 2 2" xfId="2228" xr:uid="{00000000-0005-0000-0000-0000AF080000}"/>
    <cellStyle name="Currency 3 4 2 4 2 2 2" xfId="6721" xr:uid="{00000000-0005-0000-0000-0000B0080000}"/>
    <cellStyle name="Currency 3 4 2 4 2 3" xfId="6039" xr:uid="{00000000-0005-0000-0000-0000B1080000}"/>
    <cellStyle name="Currency 3 4 2 4 3" xfId="2229" xr:uid="{00000000-0005-0000-0000-0000B2080000}"/>
    <cellStyle name="Currency 3 4 2 4 3 2" xfId="6722" xr:uid="{00000000-0005-0000-0000-0000B3080000}"/>
    <cellStyle name="Currency 3 4 2 4 4" xfId="3901" xr:uid="{00000000-0005-0000-0000-0000B4080000}"/>
    <cellStyle name="Currency 3 4 2 4 4 2" xfId="8367" xr:uid="{00000000-0005-0000-0000-0000B5080000}"/>
    <cellStyle name="Currency 3 4 2 4 5" xfId="5113" xr:uid="{00000000-0005-0000-0000-0000B6080000}"/>
    <cellStyle name="Currency 3 4 2 5" xfId="803" xr:uid="{00000000-0005-0000-0000-0000B7080000}"/>
    <cellStyle name="Currency 3 4 2 5 2" xfId="2230" xr:uid="{00000000-0005-0000-0000-0000B8080000}"/>
    <cellStyle name="Currency 3 4 2 5 2 2" xfId="6723" xr:uid="{00000000-0005-0000-0000-0000B9080000}"/>
    <cellStyle name="Currency 3 4 2 5 3" xfId="5765" xr:uid="{00000000-0005-0000-0000-0000BA080000}"/>
    <cellStyle name="Currency 3 4 2 6" xfId="297" xr:uid="{00000000-0005-0000-0000-0000BB080000}"/>
    <cellStyle name="Currency 3 4 2 6 2" xfId="5875" xr:uid="{00000000-0005-0000-0000-0000BC080000}"/>
    <cellStyle name="Currency 3 4 2 7" xfId="3428" xr:uid="{00000000-0005-0000-0000-0000BD080000}"/>
    <cellStyle name="Currency 3 4 2 7 2" xfId="7894" xr:uid="{00000000-0005-0000-0000-0000BE080000}"/>
    <cellStyle name="Currency 3 4 2 8" xfId="4639" xr:uid="{00000000-0005-0000-0000-0000BF080000}"/>
    <cellStyle name="Currency 3 4 3" xfId="82" xr:uid="{00000000-0005-0000-0000-0000C0080000}"/>
    <cellStyle name="Currency 3 4 3 2" xfId="804" xr:uid="{00000000-0005-0000-0000-0000C1080000}"/>
    <cellStyle name="Currency 3 4 3 2 2" xfId="805" xr:uid="{00000000-0005-0000-0000-0000C2080000}"/>
    <cellStyle name="Currency 3 4 3 2 2 2" xfId="2231" xr:uid="{00000000-0005-0000-0000-0000C3080000}"/>
    <cellStyle name="Currency 3 4 3 2 2 2 2" xfId="6724" xr:uid="{00000000-0005-0000-0000-0000C4080000}"/>
    <cellStyle name="Currency 3 4 3 2 2 3" xfId="4190" xr:uid="{00000000-0005-0000-0000-0000C5080000}"/>
    <cellStyle name="Currency 3 4 3 2 2 3 2" xfId="8656" xr:uid="{00000000-0005-0000-0000-0000C6080000}"/>
    <cellStyle name="Currency 3 4 3 2 2 4" xfId="5402" xr:uid="{00000000-0005-0000-0000-0000C7080000}"/>
    <cellStyle name="Currency 3 4 3 2 3" xfId="2232" xr:uid="{00000000-0005-0000-0000-0000C8080000}"/>
    <cellStyle name="Currency 3 4 3 2 3 2" xfId="6725" xr:uid="{00000000-0005-0000-0000-0000C9080000}"/>
    <cellStyle name="Currency 3 4 3 2 4" xfId="3433" xr:uid="{00000000-0005-0000-0000-0000CA080000}"/>
    <cellStyle name="Currency 3 4 3 2 4 2" xfId="7899" xr:uid="{00000000-0005-0000-0000-0000CB080000}"/>
    <cellStyle name="Currency 3 4 3 2 5" xfId="4644" xr:uid="{00000000-0005-0000-0000-0000CC080000}"/>
    <cellStyle name="Currency 3 4 3 3" xfId="806" xr:uid="{00000000-0005-0000-0000-0000CD080000}"/>
    <cellStyle name="Currency 3 4 3 3 2" xfId="807" xr:uid="{00000000-0005-0000-0000-0000CE080000}"/>
    <cellStyle name="Currency 3 4 3 3 2 2" xfId="2233" xr:uid="{00000000-0005-0000-0000-0000CF080000}"/>
    <cellStyle name="Currency 3 4 3 3 2 2 2" xfId="6726" xr:uid="{00000000-0005-0000-0000-0000D0080000}"/>
    <cellStyle name="Currency 3 4 3 3 2 3" xfId="5764" xr:uid="{00000000-0005-0000-0000-0000D1080000}"/>
    <cellStyle name="Currency 3 4 3 3 3" xfId="2234" xr:uid="{00000000-0005-0000-0000-0000D2080000}"/>
    <cellStyle name="Currency 3 4 3 3 3 2" xfId="6727" xr:uid="{00000000-0005-0000-0000-0000D3080000}"/>
    <cellStyle name="Currency 3 4 3 3 4" xfId="3903" xr:uid="{00000000-0005-0000-0000-0000D4080000}"/>
    <cellStyle name="Currency 3 4 3 3 4 2" xfId="8369" xr:uid="{00000000-0005-0000-0000-0000D5080000}"/>
    <cellStyle name="Currency 3 4 3 3 5" xfId="5115" xr:uid="{00000000-0005-0000-0000-0000D6080000}"/>
    <cellStyle name="Currency 3 4 3 4" xfId="808" xr:uid="{00000000-0005-0000-0000-0000D7080000}"/>
    <cellStyle name="Currency 3 4 3 4 2" xfId="2235" xr:uid="{00000000-0005-0000-0000-0000D8080000}"/>
    <cellStyle name="Currency 3 4 3 4 2 2" xfId="6728" xr:uid="{00000000-0005-0000-0000-0000D9080000}"/>
    <cellStyle name="Currency 3 4 3 4 3" xfId="5930" xr:uid="{00000000-0005-0000-0000-0000DA080000}"/>
    <cellStyle name="Currency 3 4 3 5" xfId="299" xr:uid="{00000000-0005-0000-0000-0000DB080000}"/>
    <cellStyle name="Currency 3 4 3 5 2" xfId="5873" xr:uid="{00000000-0005-0000-0000-0000DC080000}"/>
    <cellStyle name="Currency 3 4 3 6" xfId="3432" xr:uid="{00000000-0005-0000-0000-0000DD080000}"/>
    <cellStyle name="Currency 3 4 3 6 2" xfId="7898" xr:uid="{00000000-0005-0000-0000-0000DE080000}"/>
    <cellStyle name="Currency 3 4 3 7" xfId="4643" xr:uid="{00000000-0005-0000-0000-0000DF080000}"/>
    <cellStyle name="Currency 3 4 4" xfId="809" xr:uid="{00000000-0005-0000-0000-0000E0080000}"/>
    <cellStyle name="Currency 3 4 4 2" xfId="810" xr:uid="{00000000-0005-0000-0000-0000E1080000}"/>
    <cellStyle name="Currency 3 4 4 2 2" xfId="2236" xr:uid="{00000000-0005-0000-0000-0000E2080000}"/>
    <cellStyle name="Currency 3 4 4 2 2 2" xfId="6729" xr:uid="{00000000-0005-0000-0000-0000E3080000}"/>
    <cellStyle name="Currency 3 4 4 2 3" xfId="4192" xr:uid="{00000000-0005-0000-0000-0000E4080000}"/>
    <cellStyle name="Currency 3 4 4 2 3 2" xfId="8658" xr:uid="{00000000-0005-0000-0000-0000E5080000}"/>
    <cellStyle name="Currency 3 4 4 2 4" xfId="5404" xr:uid="{00000000-0005-0000-0000-0000E6080000}"/>
    <cellStyle name="Currency 3 4 4 3" xfId="2237" xr:uid="{00000000-0005-0000-0000-0000E7080000}"/>
    <cellStyle name="Currency 3 4 4 3 2" xfId="4191" xr:uid="{00000000-0005-0000-0000-0000E8080000}"/>
    <cellStyle name="Currency 3 4 4 3 2 2" xfId="8657" xr:uid="{00000000-0005-0000-0000-0000E9080000}"/>
    <cellStyle name="Currency 3 4 4 3 3" xfId="5403" xr:uid="{00000000-0005-0000-0000-0000EA080000}"/>
    <cellStyle name="Currency 3 4 4 4" xfId="3434" xr:uid="{00000000-0005-0000-0000-0000EB080000}"/>
    <cellStyle name="Currency 3 4 4 4 2" xfId="7900" xr:uid="{00000000-0005-0000-0000-0000EC080000}"/>
    <cellStyle name="Currency 3 4 4 5" xfId="4645" xr:uid="{00000000-0005-0000-0000-0000ED080000}"/>
    <cellStyle name="Currency 3 4 5" xfId="811" xr:uid="{00000000-0005-0000-0000-0000EE080000}"/>
    <cellStyle name="Currency 3 4 5 2" xfId="812" xr:uid="{00000000-0005-0000-0000-0000EF080000}"/>
    <cellStyle name="Currency 3 4 5 2 2" xfId="2238" xr:uid="{00000000-0005-0000-0000-0000F0080000}"/>
    <cellStyle name="Currency 3 4 5 2 2 2" xfId="6730" xr:uid="{00000000-0005-0000-0000-0000F1080000}"/>
    <cellStyle name="Currency 3 4 5 2 3" xfId="6038" xr:uid="{00000000-0005-0000-0000-0000F2080000}"/>
    <cellStyle name="Currency 3 4 5 3" xfId="2239" xr:uid="{00000000-0005-0000-0000-0000F3080000}"/>
    <cellStyle name="Currency 3 4 5 3 2" xfId="6731" xr:uid="{00000000-0005-0000-0000-0000F4080000}"/>
    <cellStyle name="Currency 3 4 5 4" xfId="4193" xr:uid="{00000000-0005-0000-0000-0000F5080000}"/>
    <cellStyle name="Currency 3 4 5 4 2" xfId="8659" xr:uid="{00000000-0005-0000-0000-0000F6080000}"/>
    <cellStyle name="Currency 3 4 5 5" xfId="5405" xr:uid="{00000000-0005-0000-0000-0000F7080000}"/>
    <cellStyle name="Currency 3 4 6" xfId="813" xr:uid="{00000000-0005-0000-0000-0000F8080000}"/>
    <cellStyle name="Currency 3 4 6 2" xfId="2240" xr:uid="{00000000-0005-0000-0000-0000F9080000}"/>
    <cellStyle name="Currency 3 4 6 2 2" xfId="6732" xr:uid="{00000000-0005-0000-0000-0000FA080000}"/>
    <cellStyle name="Currency 3 4 6 3" xfId="4194" xr:uid="{00000000-0005-0000-0000-0000FB080000}"/>
    <cellStyle name="Currency 3 4 6 3 2" xfId="8660" xr:uid="{00000000-0005-0000-0000-0000FC080000}"/>
    <cellStyle name="Currency 3 4 6 4" xfId="5406" xr:uid="{00000000-0005-0000-0000-0000FD080000}"/>
    <cellStyle name="Currency 3 4 7" xfId="296" xr:uid="{00000000-0005-0000-0000-0000FE080000}"/>
    <cellStyle name="Currency 3 4 7 2" xfId="3900" xr:uid="{00000000-0005-0000-0000-0000FF080000}"/>
    <cellStyle name="Currency 3 4 7 2 2" xfId="8366" xr:uid="{00000000-0005-0000-0000-000000090000}"/>
    <cellStyle name="Currency 3 4 7 3" xfId="5112" xr:uid="{00000000-0005-0000-0000-000001090000}"/>
    <cellStyle name="Currency 3 4 8" xfId="3427" xr:uid="{00000000-0005-0000-0000-000002090000}"/>
    <cellStyle name="Currency 3 4 8 2" xfId="7893" xr:uid="{00000000-0005-0000-0000-000003090000}"/>
    <cellStyle name="Currency 3 4 9" xfId="4638" xr:uid="{00000000-0005-0000-0000-000004090000}"/>
    <cellStyle name="Currency 3 5" xfId="83" xr:uid="{00000000-0005-0000-0000-000005090000}"/>
    <cellStyle name="Currency 3 5 2" xfId="84" xr:uid="{00000000-0005-0000-0000-000006090000}"/>
    <cellStyle name="Currency 3 5 2 2" xfId="814" xr:uid="{00000000-0005-0000-0000-000007090000}"/>
    <cellStyle name="Currency 3 5 2 2 2" xfId="815" xr:uid="{00000000-0005-0000-0000-000008090000}"/>
    <cellStyle name="Currency 3 5 2 2 2 2" xfId="2241" xr:uid="{00000000-0005-0000-0000-000009090000}"/>
    <cellStyle name="Currency 3 5 2 2 2 2 2" xfId="6733" xr:uid="{00000000-0005-0000-0000-00000A090000}"/>
    <cellStyle name="Currency 3 5 2 2 2 3" xfId="4195" xr:uid="{00000000-0005-0000-0000-00000B090000}"/>
    <cellStyle name="Currency 3 5 2 2 2 3 2" xfId="8661" xr:uid="{00000000-0005-0000-0000-00000C090000}"/>
    <cellStyle name="Currency 3 5 2 2 2 4" xfId="5407" xr:uid="{00000000-0005-0000-0000-00000D090000}"/>
    <cellStyle name="Currency 3 5 2 2 3" xfId="2242" xr:uid="{00000000-0005-0000-0000-00000E090000}"/>
    <cellStyle name="Currency 3 5 2 2 3 2" xfId="6734" xr:uid="{00000000-0005-0000-0000-00000F090000}"/>
    <cellStyle name="Currency 3 5 2 2 4" xfId="3437" xr:uid="{00000000-0005-0000-0000-000010090000}"/>
    <cellStyle name="Currency 3 5 2 2 4 2" xfId="7903" xr:uid="{00000000-0005-0000-0000-000011090000}"/>
    <cellStyle name="Currency 3 5 2 2 5" xfId="4648" xr:uid="{00000000-0005-0000-0000-000012090000}"/>
    <cellStyle name="Currency 3 5 2 3" xfId="816" xr:uid="{00000000-0005-0000-0000-000013090000}"/>
    <cellStyle name="Currency 3 5 2 3 2" xfId="817" xr:uid="{00000000-0005-0000-0000-000014090000}"/>
    <cellStyle name="Currency 3 5 2 3 2 2" xfId="2243" xr:uid="{00000000-0005-0000-0000-000015090000}"/>
    <cellStyle name="Currency 3 5 2 3 2 2 2" xfId="6735" xr:uid="{00000000-0005-0000-0000-000016090000}"/>
    <cellStyle name="Currency 3 5 2 3 2 3" xfId="6037" xr:uid="{00000000-0005-0000-0000-000017090000}"/>
    <cellStyle name="Currency 3 5 2 3 3" xfId="2244" xr:uid="{00000000-0005-0000-0000-000018090000}"/>
    <cellStyle name="Currency 3 5 2 3 3 2" xfId="6736" xr:uid="{00000000-0005-0000-0000-000019090000}"/>
    <cellStyle name="Currency 3 5 2 3 4" xfId="3905" xr:uid="{00000000-0005-0000-0000-00001A090000}"/>
    <cellStyle name="Currency 3 5 2 3 4 2" xfId="8371" xr:uid="{00000000-0005-0000-0000-00001B090000}"/>
    <cellStyle name="Currency 3 5 2 3 5" xfId="5117" xr:uid="{00000000-0005-0000-0000-00001C090000}"/>
    <cellStyle name="Currency 3 5 2 4" xfId="818" xr:uid="{00000000-0005-0000-0000-00001D090000}"/>
    <cellStyle name="Currency 3 5 2 4 2" xfId="2245" xr:uid="{00000000-0005-0000-0000-00001E090000}"/>
    <cellStyle name="Currency 3 5 2 4 2 2" xfId="6737" xr:uid="{00000000-0005-0000-0000-00001F090000}"/>
    <cellStyle name="Currency 3 5 2 4 3" xfId="5763" xr:uid="{00000000-0005-0000-0000-000020090000}"/>
    <cellStyle name="Currency 3 5 2 5" xfId="301" xr:uid="{00000000-0005-0000-0000-000021090000}"/>
    <cellStyle name="Currency 3 5 2 5 2" xfId="6123" xr:uid="{00000000-0005-0000-0000-000022090000}"/>
    <cellStyle name="Currency 3 5 2 6" xfId="3436" xr:uid="{00000000-0005-0000-0000-000023090000}"/>
    <cellStyle name="Currency 3 5 2 6 2" xfId="7902" xr:uid="{00000000-0005-0000-0000-000024090000}"/>
    <cellStyle name="Currency 3 5 2 7" xfId="4647" xr:uid="{00000000-0005-0000-0000-000025090000}"/>
    <cellStyle name="Currency 3 5 3" xfId="819" xr:uid="{00000000-0005-0000-0000-000026090000}"/>
    <cellStyle name="Currency 3 5 3 2" xfId="820" xr:uid="{00000000-0005-0000-0000-000027090000}"/>
    <cellStyle name="Currency 3 5 3 2 2" xfId="2246" xr:uid="{00000000-0005-0000-0000-000028090000}"/>
    <cellStyle name="Currency 3 5 3 2 2 2" xfId="6738" xr:uid="{00000000-0005-0000-0000-000029090000}"/>
    <cellStyle name="Currency 3 5 3 2 3" xfId="4196" xr:uid="{00000000-0005-0000-0000-00002A090000}"/>
    <cellStyle name="Currency 3 5 3 2 3 2" xfId="8662" xr:uid="{00000000-0005-0000-0000-00002B090000}"/>
    <cellStyle name="Currency 3 5 3 2 4" xfId="5408" xr:uid="{00000000-0005-0000-0000-00002C090000}"/>
    <cellStyle name="Currency 3 5 3 3" xfId="2247" xr:uid="{00000000-0005-0000-0000-00002D090000}"/>
    <cellStyle name="Currency 3 5 3 3 2" xfId="6739" xr:uid="{00000000-0005-0000-0000-00002E090000}"/>
    <cellStyle name="Currency 3 5 3 4" xfId="3438" xr:uid="{00000000-0005-0000-0000-00002F090000}"/>
    <cellStyle name="Currency 3 5 3 4 2" xfId="7904" xr:uid="{00000000-0005-0000-0000-000030090000}"/>
    <cellStyle name="Currency 3 5 3 5" xfId="4649" xr:uid="{00000000-0005-0000-0000-000031090000}"/>
    <cellStyle name="Currency 3 5 4" xfId="821" xr:uid="{00000000-0005-0000-0000-000032090000}"/>
    <cellStyle name="Currency 3 5 4 2" xfId="822" xr:uid="{00000000-0005-0000-0000-000033090000}"/>
    <cellStyle name="Currency 3 5 4 2 2" xfId="2248" xr:uid="{00000000-0005-0000-0000-000034090000}"/>
    <cellStyle name="Currency 3 5 4 2 2 2" xfId="6740" xr:uid="{00000000-0005-0000-0000-000035090000}"/>
    <cellStyle name="Currency 3 5 4 2 3" xfId="5762" xr:uid="{00000000-0005-0000-0000-000036090000}"/>
    <cellStyle name="Currency 3 5 4 3" xfId="2249" xr:uid="{00000000-0005-0000-0000-000037090000}"/>
    <cellStyle name="Currency 3 5 4 3 2" xfId="6741" xr:uid="{00000000-0005-0000-0000-000038090000}"/>
    <cellStyle name="Currency 3 5 4 4" xfId="3904" xr:uid="{00000000-0005-0000-0000-000039090000}"/>
    <cellStyle name="Currency 3 5 4 4 2" xfId="8370" xr:uid="{00000000-0005-0000-0000-00003A090000}"/>
    <cellStyle name="Currency 3 5 4 5" xfId="5116" xr:uid="{00000000-0005-0000-0000-00003B090000}"/>
    <cellStyle name="Currency 3 5 5" xfId="823" xr:uid="{00000000-0005-0000-0000-00003C090000}"/>
    <cellStyle name="Currency 3 5 5 2" xfId="2250" xr:uid="{00000000-0005-0000-0000-00003D090000}"/>
    <cellStyle name="Currency 3 5 5 2 2" xfId="6742" xr:uid="{00000000-0005-0000-0000-00003E090000}"/>
    <cellStyle name="Currency 3 5 5 3" xfId="5761" xr:uid="{00000000-0005-0000-0000-00003F090000}"/>
    <cellStyle name="Currency 3 5 6" xfId="300" xr:uid="{00000000-0005-0000-0000-000040090000}"/>
    <cellStyle name="Currency 3 5 6 2" xfId="4499" xr:uid="{00000000-0005-0000-0000-000041090000}"/>
    <cellStyle name="Currency 3 5 7" xfId="3435" xr:uid="{00000000-0005-0000-0000-000042090000}"/>
    <cellStyle name="Currency 3 5 7 2" xfId="7901" xr:uid="{00000000-0005-0000-0000-000043090000}"/>
    <cellStyle name="Currency 3 5 8" xfId="4646" xr:uid="{00000000-0005-0000-0000-000044090000}"/>
    <cellStyle name="Currency 3 6" xfId="85" xr:uid="{00000000-0005-0000-0000-000045090000}"/>
    <cellStyle name="Currency 3 6 2" xfId="824" xr:uid="{00000000-0005-0000-0000-000046090000}"/>
    <cellStyle name="Currency 3 6 2 2" xfId="825" xr:uid="{00000000-0005-0000-0000-000047090000}"/>
    <cellStyle name="Currency 3 6 2 2 2" xfId="826" xr:uid="{00000000-0005-0000-0000-000048090000}"/>
    <cellStyle name="Currency 3 6 2 2 2 2" xfId="2251" xr:uid="{00000000-0005-0000-0000-000049090000}"/>
    <cellStyle name="Currency 3 6 2 2 2 2 2" xfId="6743" xr:uid="{00000000-0005-0000-0000-00004A090000}"/>
    <cellStyle name="Currency 3 6 2 2 2 3" xfId="4197" xr:uid="{00000000-0005-0000-0000-00004B090000}"/>
    <cellStyle name="Currency 3 6 2 2 2 3 2" xfId="8663" xr:uid="{00000000-0005-0000-0000-00004C090000}"/>
    <cellStyle name="Currency 3 6 2 2 2 4" xfId="5409" xr:uid="{00000000-0005-0000-0000-00004D090000}"/>
    <cellStyle name="Currency 3 6 2 2 3" xfId="2252" xr:uid="{00000000-0005-0000-0000-00004E090000}"/>
    <cellStyle name="Currency 3 6 2 2 3 2" xfId="6744" xr:uid="{00000000-0005-0000-0000-00004F090000}"/>
    <cellStyle name="Currency 3 6 2 2 4" xfId="3441" xr:uid="{00000000-0005-0000-0000-000050090000}"/>
    <cellStyle name="Currency 3 6 2 2 4 2" xfId="7907" xr:uid="{00000000-0005-0000-0000-000051090000}"/>
    <cellStyle name="Currency 3 6 2 2 5" xfId="4652" xr:uid="{00000000-0005-0000-0000-000052090000}"/>
    <cellStyle name="Currency 3 6 2 3" xfId="827" xr:uid="{00000000-0005-0000-0000-000053090000}"/>
    <cellStyle name="Currency 3 6 2 3 2" xfId="828" xr:uid="{00000000-0005-0000-0000-000054090000}"/>
    <cellStyle name="Currency 3 6 2 3 2 2" xfId="2253" xr:uid="{00000000-0005-0000-0000-000055090000}"/>
    <cellStyle name="Currency 3 6 2 3 2 2 2" xfId="6745" xr:uid="{00000000-0005-0000-0000-000056090000}"/>
    <cellStyle name="Currency 3 6 2 3 2 3" xfId="6036" xr:uid="{00000000-0005-0000-0000-000057090000}"/>
    <cellStyle name="Currency 3 6 2 3 3" xfId="2254" xr:uid="{00000000-0005-0000-0000-000058090000}"/>
    <cellStyle name="Currency 3 6 2 3 3 2" xfId="6746" xr:uid="{00000000-0005-0000-0000-000059090000}"/>
    <cellStyle name="Currency 3 6 2 3 4" xfId="3907" xr:uid="{00000000-0005-0000-0000-00005A090000}"/>
    <cellStyle name="Currency 3 6 2 3 4 2" xfId="8373" xr:uid="{00000000-0005-0000-0000-00005B090000}"/>
    <cellStyle name="Currency 3 6 2 3 5" xfId="5119" xr:uid="{00000000-0005-0000-0000-00005C090000}"/>
    <cellStyle name="Currency 3 6 2 4" xfId="829" xr:uid="{00000000-0005-0000-0000-00005D090000}"/>
    <cellStyle name="Currency 3 6 2 4 2" xfId="2255" xr:uid="{00000000-0005-0000-0000-00005E090000}"/>
    <cellStyle name="Currency 3 6 2 4 2 2" xfId="6747" xr:uid="{00000000-0005-0000-0000-00005F090000}"/>
    <cellStyle name="Currency 3 6 2 4 3" xfId="5760" xr:uid="{00000000-0005-0000-0000-000060090000}"/>
    <cellStyle name="Currency 3 6 2 5" xfId="2256" xr:uid="{00000000-0005-0000-0000-000061090000}"/>
    <cellStyle name="Currency 3 6 2 5 2" xfId="6748" xr:uid="{00000000-0005-0000-0000-000062090000}"/>
    <cellStyle name="Currency 3 6 2 6" xfId="3440" xr:uid="{00000000-0005-0000-0000-000063090000}"/>
    <cellStyle name="Currency 3 6 2 6 2" xfId="7906" xr:uid="{00000000-0005-0000-0000-000064090000}"/>
    <cellStyle name="Currency 3 6 2 7" xfId="4651" xr:uid="{00000000-0005-0000-0000-000065090000}"/>
    <cellStyle name="Currency 3 6 3" xfId="830" xr:uid="{00000000-0005-0000-0000-000066090000}"/>
    <cellStyle name="Currency 3 6 3 2" xfId="831" xr:uid="{00000000-0005-0000-0000-000067090000}"/>
    <cellStyle name="Currency 3 6 3 2 2" xfId="2257" xr:uid="{00000000-0005-0000-0000-000068090000}"/>
    <cellStyle name="Currency 3 6 3 2 2 2" xfId="6749" xr:uid="{00000000-0005-0000-0000-000069090000}"/>
    <cellStyle name="Currency 3 6 3 2 3" xfId="4198" xr:uid="{00000000-0005-0000-0000-00006A090000}"/>
    <cellStyle name="Currency 3 6 3 2 3 2" xfId="8664" xr:uid="{00000000-0005-0000-0000-00006B090000}"/>
    <cellStyle name="Currency 3 6 3 2 4" xfId="5410" xr:uid="{00000000-0005-0000-0000-00006C090000}"/>
    <cellStyle name="Currency 3 6 3 3" xfId="2258" xr:uid="{00000000-0005-0000-0000-00006D090000}"/>
    <cellStyle name="Currency 3 6 3 3 2" xfId="6750" xr:uid="{00000000-0005-0000-0000-00006E090000}"/>
    <cellStyle name="Currency 3 6 3 4" xfId="3442" xr:uid="{00000000-0005-0000-0000-00006F090000}"/>
    <cellStyle name="Currency 3 6 3 4 2" xfId="7908" xr:uid="{00000000-0005-0000-0000-000070090000}"/>
    <cellStyle name="Currency 3 6 3 5" xfId="4653" xr:uid="{00000000-0005-0000-0000-000071090000}"/>
    <cellStyle name="Currency 3 6 4" xfId="832" xr:uid="{00000000-0005-0000-0000-000072090000}"/>
    <cellStyle name="Currency 3 6 4 2" xfId="833" xr:uid="{00000000-0005-0000-0000-000073090000}"/>
    <cellStyle name="Currency 3 6 4 2 2" xfId="2259" xr:uid="{00000000-0005-0000-0000-000074090000}"/>
    <cellStyle name="Currency 3 6 4 2 2 2" xfId="6751" xr:uid="{00000000-0005-0000-0000-000075090000}"/>
    <cellStyle name="Currency 3 6 4 2 3" xfId="5759" xr:uid="{00000000-0005-0000-0000-000076090000}"/>
    <cellStyle name="Currency 3 6 4 3" xfId="2260" xr:uid="{00000000-0005-0000-0000-000077090000}"/>
    <cellStyle name="Currency 3 6 4 3 2" xfId="6752" xr:uid="{00000000-0005-0000-0000-000078090000}"/>
    <cellStyle name="Currency 3 6 4 4" xfId="3906" xr:uid="{00000000-0005-0000-0000-000079090000}"/>
    <cellStyle name="Currency 3 6 4 4 2" xfId="8372" xr:uid="{00000000-0005-0000-0000-00007A090000}"/>
    <cellStyle name="Currency 3 6 4 5" xfId="5118" xr:uid="{00000000-0005-0000-0000-00007B090000}"/>
    <cellStyle name="Currency 3 6 5" xfId="834" xr:uid="{00000000-0005-0000-0000-00007C090000}"/>
    <cellStyle name="Currency 3 6 5 2" xfId="2261" xr:uid="{00000000-0005-0000-0000-00007D090000}"/>
    <cellStyle name="Currency 3 6 5 2 2" xfId="6753" xr:uid="{00000000-0005-0000-0000-00007E090000}"/>
    <cellStyle name="Currency 3 6 5 3" xfId="5929" xr:uid="{00000000-0005-0000-0000-00007F090000}"/>
    <cellStyle name="Currency 3 6 6" xfId="302" xr:uid="{00000000-0005-0000-0000-000080090000}"/>
    <cellStyle name="Currency 3 6 6 2" xfId="6122" xr:uid="{00000000-0005-0000-0000-000081090000}"/>
    <cellStyle name="Currency 3 6 7" xfId="3439" xr:uid="{00000000-0005-0000-0000-000082090000}"/>
    <cellStyle name="Currency 3 6 7 2" xfId="7905" xr:uid="{00000000-0005-0000-0000-000083090000}"/>
    <cellStyle name="Currency 3 6 8" xfId="4650" xr:uid="{00000000-0005-0000-0000-000084090000}"/>
    <cellStyle name="Currency 3 7" xfId="835" xr:uid="{00000000-0005-0000-0000-000085090000}"/>
    <cellStyle name="Currency 3 7 2" xfId="836" xr:uid="{00000000-0005-0000-0000-000086090000}"/>
    <cellStyle name="Currency 3 7 2 2" xfId="837" xr:uid="{00000000-0005-0000-0000-000087090000}"/>
    <cellStyle name="Currency 3 7 2 2 2" xfId="2262" xr:uid="{00000000-0005-0000-0000-000088090000}"/>
    <cellStyle name="Currency 3 7 2 2 2 2" xfId="6754" xr:uid="{00000000-0005-0000-0000-000089090000}"/>
    <cellStyle name="Currency 3 7 2 2 3" xfId="4199" xr:uid="{00000000-0005-0000-0000-00008A090000}"/>
    <cellStyle name="Currency 3 7 2 2 3 2" xfId="8665" xr:uid="{00000000-0005-0000-0000-00008B090000}"/>
    <cellStyle name="Currency 3 7 2 2 4" xfId="5411" xr:uid="{00000000-0005-0000-0000-00008C090000}"/>
    <cellStyle name="Currency 3 7 2 3" xfId="2263" xr:uid="{00000000-0005-0000-0000-00008D090000}"/>
    <cellStyle name="Currency 3 7 2 3 2" xfId="6755" xr:uid="{00000000-0005-0000-0000-00008E090000}"/>
    <cellStyle name="Currency 3 7 2 4" xfId="3444" xr:uid="{00000000-0005-0000-0000-00008F090000}"/>
    <cellStyle name="Currency 3 7 2 4 2" xfId="7910" xr:uid="{00000000-0005-0000-0000-000090090000}"/>
    <cellStyle name="Currency 3 7 2 5" xfId="4655" xr:uid="{00000000-0005-0000-0000-000091090000}"/>
    <cellStyle name="Currency 3 7 3" xfId="838" xr:uid="{00000000-0005-0000-0000-000092090000}"/>
    <cellStyle name="Currency 3 7 3 2" xfId="839" xr:uid="{00000000-0005-0000-0000-000093090000}"/>
    <cellStyle name="Currency 3 7 3 2 2" xfId="2264" xr:uid="{00000000-0005-0000-0000-000094090000}"/>
    <cellStyle name="Currency 3 7 3 2 2 2" xfId="6756" xr:uid="{00000000-0005-0000-0000-000095090000}"/>
    <cellStyle name="Currency 3 7 3 2 3" xfId="5758" xr:uid="{00000000-0005-0000-0000-000096090000}"/>
    <cellStyle name="Currency 3 7 3 3" xfId="2265" xr:uid="{00000000-0005-0000-0000-000097090000}"/>
    <cellStyle name="Currency 3 7 3 3 2" xfId="6757" xr:uid="{00000000-0005-0000-0000-000098090000}"/>
    <cellStyle name="Currency 3 7 3 4" xfId="3908" xr:uid="{00000000-0005-0000-0000-000099090000}"/>
    <cellStyle name="Currency 3 7 3 4 2" xfId="8374" xr:uid="{00000000-0005-0000-0000-00009A090000}"/>
    <cellStyle name="Currency 3 7 3 5" xfId="5120" xr:uid="{00000000-0005-0000-0000-00009B090000}"/>
    <cellStyle name="Currency 3 7 4" xfId="840" xr:uid="{00000000-0005-0000-0000-00009C090000}"/>
    <cellStyle name="Currency 3 7 4 2" xfId="2266" xr:uid="{00000000-0005-0000-0000-00009D090000}"/>
    <cellStyle name="Currency 3 7 4 2 2" xfId="6758" xr:uid="{00000000-0005-0000-0000-00009E090000}"/>
    <cellStyle name="Currency 3 7 4 3" xfId="5757" xr:uid="{00000000-0005-0000-0000-00009F090000}"/>
    <cellStyle name="Currency 3 7 5" xfId="2267" xr:uid="{00000000-0005-0000-0000-0000A0090000}"/>
    <cellStyle name="Currency 3 7 5 2" xfId="6759" xr:uid="{00000000-0005-0000-0000-0000A1090000}"/>
    <cellStyle name="Currency 3 7 6" xfId="3443" xr:uid="{00000000-0005-0000-0000-0000A2090000}"/>
    <cellStyle name="Currency 3 7 6 2" xfId="7909" xr:uid="{00000000-0005-0000-0000-0000A3090000}"/>
    <cellStyle name="Currency 3 7 7" xfId="4654" xr:uid="{00000000-0005-0000-0000-0000A4090000}"/>
    <cellStyle name="Currency 3 8" xfId="841" xr:uid="{00000000-0005-0000-0000-0000A5090000}"/>
    <cellStyle name="Currency 3 8 2" xfId="842" xr:uid="{00000000-0005-0000-0000-0000A6090000}"/>
    <cellStyle name="Currency 3 8 2 2" xfId="2268" xr:uid="{00000000-0005-0000-0000-0000A7090000}"/>
    <cellStyle name="Currency 3 8 2 2 2" xfId="6760" xr:uid="{00000000-0005-0000-0000-0000A8090000}"/>
    <cellStyle name="Currency 3 8 2 3" xfId="4201" xr:uid="{00000000-0005-0000-0000-0000A9090000}"/>
    <cellStyle name="Currency 3 8 2 3 2" xfId="8667" xr:uid="{00000000-0005-0000-0000-0000AA090000}"/>
    <cellStyle name="Currency 3 8 2 4" xfId="5413" xr:uid="{00000000-0005-0000-0000-0000AB090000}"/>
    <cellStyle name="Currency 3 8 3" xfId="2269" xr:uid="{00000000-0005-0000-0000-0000AC090000}"/>
    <cellStyle name="Currency 3 8 3 2" xfId="4200" xr:uid="{00000000-0005-0000-0000-0000AD090000}"/>
    <cellStyle name="Currency 3 8 3 2 2" xfId="8666" xr:uid="{00000000-0005-0000-0000-0000AE090000}"/>
    <cellStyle name="Currency 3 8 3 3" xfId="5412" xr:uid="{00000000-0005-0000-0000-0000AF090000}"/>
    <cellStyle name="Currency 3 8 4" xfId="3445" xr:uid="{00000000-0005-0000-0000-0000B0090000}"/>
    <cellStyle name="Currency 3 8 4 2" xfId="7911" xr:uid="{00000000-0005-0000-0000-0000B1090000}"/>
    <cellStyle name="Currency 3 8 5" xfId="4656" xr:uid="{00000000-0005-0000-0000-0000B2090000}"/>
    <cellStyle name="Currency 3 9" xfId="843" xr:uid="{00000000-0005-0000-0000-0000B3090000}"/>
    <cellStyle name="Currency 3 9 2" xfId="844" xr:uid="{00000000-0005-0000-0000-0000B4090000}"/>
    <cellStyle name="Currency 3 9 2 2" xfId="2270" xr:uid="{00000000-0005-0000-0000-0000B5090000}"/>
    <cellStyle name="Currency 3 9 2 2 2" xfId="6761" xr:uid="{00000000-0005-0000-0000-0000B6090000}"/>
    <cellStyle name="Currency 3 9 2 3" xfId="6035" xr:uid="{00000000-0005-0000-0000-0000B7090000}"/>
    <cellStyle name="Currency 3 9 3" xfId="2271" xr:uid="{00000000-0005-0000-0000-0000B8090000}"/>
    <cellStyle name="Currency 3 9 3 2" xfId="6762" xr:uid="{00000000-0005-0000-0000-0000B9090000}"/>
    <cellStyle name="Currency 3 9 4" xfId="4202" xr:uid="{00000000-0005-0000-0000-0000BA090000}"/>
    <cellStyle name="Currency 3 9 4 2" xfId="8668" xr:uid="{00000000-0005-0000-0000-0000BB090000}"/>
    <cellStyle name="Currency 3 9 5" xfId="5414" xr:uid="{00000000-0005-0000-0000-0000BC090000}"/>
    <cellStyle name="Currency 4" xfId="86" xr:uid="{00000000-0005-0000-0000-0000BD090000}"/>
    <cellStyle name="Currency 4 10" xfId="303" xr:uid="{00000000-0005-0000-0000-0000BE090000}"/>
    <cellStyle name="Currency 4 10 2" xfId="3909" xr:uid="{00000000-0005-0000-0000-0000BF090000}"/>
    <cellStyle name="Currency 4 10 2 2" xfId="8375" xr:uid="{00000000-0005-0000-0000-0000C0090000}"/>
    <cellStyle name="Currency 4 10 3" xfId="5121" xr:uid="{00000000-0005-0000-0000-0000C1090000}"/>
    <cellStyle name="Currency 4 11" xfId="3446" xr:uid="{00000000-0005-0000-0000-0000C2090000}"/>
    <cellStyle name="Currency 4 11 2" xfId="7912" xr:uid="{00000000-0005-0000-0000-0000C3090000}"/>
    <cellStyle name="Currency 4 12" xfId="4657" xr:uid="{00000000-0005-0000-0000-0000C4090000}"/>
    <cellStyle name="Currency 4 2" xfId="87" xr:uid="{00000000-0005-0000-0000-0000C5090000}"/>
    <cellStyle name="Currency 4 2 10" xfId="3447" xr:uid="{00000000-0005-0000-0000-0000C6090000}"/>
    <cellStyle name="Currency 4 2 10 2" xfId="7913" xr:uid="{00000000-0005-0000-0000-0000C7090000}"/>
    <cellStyle name="Currency 4 2 11" xfId="4658" xr:uid="{00000000-0005-0000-0000-0000C8090000}"/>
    <cellStyle name="Currency 4 2 2" xfId="88" xr:uid="{00000000-0005-0000-0000-0000C9090000}"/>
    <cellStyle name="Currency 4 2 2 2" xfId="89" xr:uid="{00000000-0005-0000-0000-0000CA090000}"/>
    <cellStyle name="Currency 4 2 2 2 2" xfId="90" xr:uid="{00000000-0005-0000-0000-0000CB090000}"/>
    <cellStyle name="Currency 4 2 2 2 2 2" xfId="845" xr:uid="{00000000-0005-0000-0000-0000CC090000}"/>
    <cellStyle name="Currency 4 2 2 2 2 2 2" xfId="846" xr:uid="{00000000-0005-0000-0000-0000CD090000}"/>
    <cellStyle name="Currency 4 2 2 2 2 2 2 2" xfId="2272" xr:uid="{00000000-0005-0000-0000-0000CE090000}"/>
    <cellStyle name="Currency 4 2 2 2 2 2 2 2 2" xfId="6763" xr:uid="{00000000-0005-0000-0000-0000CF090000}"/>
    <cellStyle name="Currency 4 2 2 2 2 2 2 3" xfId="4203" xr:uid="{00000000-0005-0000-0000-0000D0090000}"/>
    <cellStyle name="Currency 4 2 2 2 2 2 2 3 2" xfId="8669" xr:uid="{00000000-0005-0000-0000-0000D1090000}"/>
    <cellStyle name="Currency 4 2 2 2 2 2 2 4" xfId="5415" xr:uid="{00000000-0005-0000-0000-0000D2090000}"/>
    <cellStyle name="Currency 4 2 2 2 2 2 3" xfId="2273" xr:uid="{00000000-0005-0000-0000-0000D3090000}"/>
    <cellStyle name="Currency 4 2 2 2 2 2 3 2" xfId="6764" xr:uid="{00000000-0005-0000-0000-0000D4090000}"/>
    <cellStyle name="Currency 4 2 2 2 2 2 4" xfId="3451" xr:uid="{00000000-0005-0000-0000-0000D5090000}"/>
    <cellStyle name="Currency 4 2 2 2 2 2 4 2" xfId="7917" xr:uid="{00000000-0005-0000-0000-0000D6090000}"/>
    <cellStyle name="Currency 4 2 2 2 2 2 5" xfId="4662" xr:uid="{00000000-0005-0000-0000-0000D7090000}"/>
    <cellStyle name="Currency 4 2 2 2 2 3" xfId="847" xr:uid="{00000000-0005-0000-0000-0000D8090000}"/>
    <cellStyle name="Currency 4 2 2 2 2 3 2" xfId="848" xr:uid="{00000000-0005-0000-0000-0000D9090000}"/>
    <cellStyle name="Currency 4 2 2 2 2 3 2 2" xfId="2274" xr:uid="{00000000-0005-0000-0000-0000DA090000}"/>
    <cellStyle name="Currency 4 2 2 2 2 3 2 2 2" xfId="6765" xr:uid="{00000000-0005-0000-0000-0000DB090000}"/>
    <cellStyle name="Currency 4 2 2 2 2 3 2 3" xfId="5756" xr:uid="{00000000-0005-0000-0000-0000DC090000}"/>
    <cellStyle name="Currency 4 2 2 2 2 3 3" xfId="2275" xr:uid="{00000000-0005-0000-0000-0000DD090000}"/>
    <cellStyle name="Currency 4 2 2 2 2 3 3 2" xfId="6766" xr:uid="{00000000-0005-0000-0000-0000DE090000}"/>
    <cellStyle name="Currency 4 2 2 2 2 3 4" xfId="3913" xr:uid="{00000000-0005-0000-0000-0000DF090000}"/>
    <cellStyle name="Currency 4 2 2 2 2 3 4 2" xfId="8379" xr:uid="{00000000-0005-0000-0000-0000E0090000}"/>
    <cellStyle name="Currency 4 2 2 2 2 3 5" xfId="5125" xr:uid="{00000000-0005-0000-0000-0000E1090000}"/>
    <cellStyle name="Currency 4 2 2 2 2 4" xfId="849" xr:uid="{00000000-0005-0000-0000-0000E2090000}"/>
    <cellStyle name="Currency 4 2 2 2 2 4 2" xfId="2276" xr:uid="{00000000-0005-0000-0000-0000E3090000}"/>
    <cellStyle name="Currency 4 2 2 2 2 4 2 2" xfId="6767" xr:uid="{00000000-0005-0000-0000-0000E4090000}"/>
    <cellStyle name="Currency 4 2 2 2 2 4 3" xfId="5928" xr:uid="{00000000-0005-0000-0000-0000E5090000}"/>
    <cellStyle name="Currency 4 2 2 2 2 5" xfId="307" xr:uid="{00000000-0005-0000-0000-0000E6090000}"/>
    <cellStyle name="Currency 4 2 2 2 2 5 2" xfId="6121" xr:uid="{00000000-0005-0000-0000-0000E7090000}"/>
    <cellStyle name="Currency 4 2 2 2 2 6" xfId="3450" xr:uid="{00000000-0005-0000-0000-0000E8090000}"/>
    <cellStyle name="Currency 4 2 2 2 2 6 2" xfId="7916" xr:uid="{00000000-0005-0000-0000-0000E9090000}"/>
    <cellStyle name="Currency 4 2 2 2 2 7" xfId="4661" xr:uid="{00000000-0005-0000-0000-0000EA090000}"/>
    <cellStyle name="Currency 4 2 2 2 3" xfId="850" xr:uid="{00000000-0005-0000-0000-0000EB090000}"/>
    <cellStyle name="Currency 4 2 2 2 3 2" xfId="851" xr:uid="{00000000-0005-0000-0000-0000EC090000}"/>
    <cellStyle name="Currency 4 2 2 2 3 2 2" xfId="2277" xr:uid="{00000000-0005-0000-0000-0000ED090000}"/>
    <cellStyle name="Currency 4 2 2 2 3 2 2 2" xfId="6768" xr:uid="{00000000-0005-0000-0000-0000EE090000}"/>
    <cellStyle name="Currency 4 2 2 2 3 2 3" xfId="4204" xr:uid="{00000000-0005-0000-0000-0000EF090000}"/>
    <cellStyle name="Currency 4 2 2 2 3 2 3 2" xfId="8670" xr:uid="{00000000-0005-0000-0000-0000F0090000}"/>
    <cellStyle name="Currency 4 2 2 2 3 2 4" xfId="5416" xr:uid="{00000000-0005-0000-0000-0000F1090000}"/>
    <cellStyle name="Currency 4 2 2 2 3 3" xfId="2278" xr:uid="{00000000-0005-0000-0000-0000F2090000}"/>
    <cellStyle name="Currency 4 2 2 2 3 3 2" xfId="6769" xr:uid="{00000000-0005-0000-0000-0000F3090000}"/>
    <cellStyle name="Currency 4 2 2 2 3 4" xfId="3452" xr:uid="{00000000-0005-0000-0000-0000F4090000}"/>
    <cellStyle name="Currency 4 2 2 2 3 4 2" xfId="7918" xr:uid="{00000000-0005-0000-0000-0000F5090000}"/>
    <cellStyle name="Currency 4 2 2 2 3 5" xfId="4663" xr:uid="{00000000-0005-0000-0000-0000F6090000}"/>
    <cellStyle name="Currency 4 2 2 2 4" xfId="852" xr:uid="{00000000-0005-0000-0000-0000F7090000}"/>
    <cellStyle name="Currency 4 2 2 2 4 2" xfId="853" xr:uid="{00000000-0005-0000-0000-0000F8090000}"/>
    <cellStyle name="Currency 4 2 2 2 4 2 2" xfId="2279" xr:uid="{00000000-0005-0000-0000-0000F9090000}"/>
    <cellStyle name="Currency 4 2 2 2 4 2 2 2" xfId="6770" xr:uid="{00000000-0005-0000-0000-0000FA090000}"/>
    <cellStyle name="Currency 4 2 2 2 4 2 3" xfId="5927" xr:uid="{00000000-0005-0000-0000-0000FB090000}"/>
    <cellStyle name="Currency 4 2 2 2 4 3" xfId="2280" xr:uid="{00000000-0005-0000-0000-0000FC090000}"/>
    <cellStyle name="Currency 4 2 2 2 4 3 2" xfId="6771" xr:uid="{00000000-0005-0000-0000-0000FD090000}"/>
    <cellStyle name="Currency 4 2 2 2 4 4" xfId="3912" xr:uid="{00000000-0005-0000-0000-0000FE090000}"/>
    <cellStyle name="Currency 4 2 2 2 4 4 2" xfId="8378" xr:uid="{00000000-0005-0000-0000-0000FF090000}"/>
    <cellStyle name="Currency 4 2 2 2 4 5" xfId="5124" xr:uid="{00000000-0005-0000-0000-0000000A0000}"/>
    <cellStyle name="Currency 4 2 2 2 5" xfId="854" xr:uid="{00000000-0005-0000-0000-0000010A0000}"/>
    <cellStyle name="Currency 4 2 2 2 5 2" xfId="2281" xr:uid="{00000000-0005-0000-0000-0000020A0000}"/>
    <cellStyle name="Currency 4 2 2 2 5 2 2" xfId="6772" xr:uid="{00000000-0005-0000-0000-0000030A0000}"/>
    <cellStyle name="Currency 4 2 2 2 5 3" xfId="6034" xr:uid="{00000000-0005-0000-0000-0000040A0000}"/>
    <cellStyle name="Currency 4 2 2 2 6" xfId="306" xr:uid="{00000000-0005-0000-0000-0000050A0000}"/>
    <cellStyle name="Currency 4 2 2 2 6 2" xfId="5984" xr:uid="{00000000-0005-0000-0000-0000060A0000}"/>
    <cellStyle name="Currency 4 2 2 2 7" xfId="3449" xr:uid="{00000000-0005-0000-0000-0000070A0000}"/>
    <cellStyle name="Currency 4 2 2 2 7 2" xfId="7915" xr:uid="{00000000-0005-0000-0000-0000080A0000}"/>
    <cellStyle name="Currency 4 2 2 2 8" xfId="4660" xr:uid="{00000000-0005-0000-0000-0000090A0000}"/>
    <cellStyle name="Currency 4 2 2 3" xfId="91" xr:uid="{00000000-0005-0000-0000-00000A0A0000}"/>
    <cellStyle name="Currency 4 2 2 3 2" xfId="855" xr:uid="{00000000-0005-0000-0000-00000B0A0000}"/>
    <cellStyle name="Currency 4 2 2 3 2 2" xfId="856" xr:uid="{00000000-0005-0000-0000-00000C0A0000}"/>
    <cellStyle name="Currency 4 2 2 3 2 2 2" xfId="2282" xr:uid="{00000000-0005-0000-0000-00000D0A0000}"/>
    <cellStyle name="Currency 4 2 2 3 2 2 2 2" xfId="6773" xr:uid="{00000000-0005-0000-0000-00000E0A0000}"/>
    <cellStyle name="Currency 4 2 2 3 2 2 3" xfId="4205" xr:uid="{00000000-0005-0000-0000-00000F0A0000}"/>
    <cellStyle name="Currency 4 2 2 3 2 2 3 2" xfId="8671" xr:uid="{00000000-0005-0000-0000-0000100A0000}"/>
    <cellStyle name="Currency 4 2 2 3 2 2 4" xfId="5417" xr:uid="{00000000-0005-0000-0000-0000110A0000}"/>
    <cellStyle name="Currency 4 2 2 3 2 3" xfId="2283" xr:uid="{00000000-0005-0000-0000-0000120A0000}"/>
    <cellStyle name="Currency 4 2 2 3 2 3 2" xfId="6774" xr:uid="{00000000-0005-0000-0000-0000130A0000}"/>
    <cellStyle name="Currency 4 2 2 3 2 4" xfId="3454" xr:uid="{00000000-0005-0000-0000-0000140A0000}"/>
    <cellStyle name="Currency 4 2 2 3 2 4 2" xfId="7920" xr:uid="{00000000-0005-0000-0000-0000150A0000}"/>
    <cellStyle name="Currency 4 2 2 3 2 5" xfId="4665" xr:uid="{00000000-0005-0000-0000-0000160A0000}"/>
    <cellStyle name="Currency 4 2 2 3 3" xfId="857" xr:uid="{00000000-0005-0000-0000-0000170A0000}"/>
    <cellStyle name="Currency 4 2 2 3 3 2" xfId="858" xr:uid="{00000000-0005-0000-0000-0000180A0000}"/>
    <cellStyle name="Currency 4 2 2 3 3 2 2" xfId="2284" xr:uid="{00000000-0005-0000-0000-0000190A0000}"/>
    <cellStyle name="Currency 4 2 2 3 3 2 2 2" xfId="6775" xr:uid="{00000000-0005-0000-0000-00001A0A0000}"/>
    <cellStyle name="Currency 4 2 2 3 3 2 3" xfId="5755" xr:uid="{00000000-0005-0000-0000-00001B0A0000}"/>
    <cellStyle name="Currency 4 2 2 3 3 3" xfId="2285" xr:uid="{00000000-0005-0000-0000-00001C0A0000}"/>
    <cellStyle name="Currency 4 2 2 3 3 3 2" xfId="6776" xr:uid="{00000000-0005-0000-0000-00001D0A0000}"/>
    <cellStyle name="Currency 4 2 2 3 3 4" xfId="3914" xr:uid="{00000000-0005-0000-0000-00001E0A0000}"/>
    <cellStyle name="Currency 4 2 2 3 3 4 2" xfId="8380" xr:uid="{00000000-0005-0000-0000-00001F0A0000}"/>
    <cellStyle name="Currency 4 2 2 3 3 5" xfId="5126" xr:uid="{00000000-0005-0000-0000-0000200A0000}"/>
    <cellStyle name="Currency 4 2 2 3 4" xfId="859" xr:uid="{00000000-0005-0000-0000-0000210A0000}"/>
    <cellStyle name="Currency 4 2 2 3 4 2" xfId="2286" xr:uid="{00000000-0005-0000-0000-0000220A0000}"/>
    <cellStyle name="Currency 4 2 2 3 4 2 2" xfId="6777" xr:uid="{00000000-0005-0000-0000-0000230A0000}"/>
    <cellStyle name="Currency 4 2 2 3 4 3" xfId="5754" xr:uid="{00000000-0005-0000-0000-0000240A0000}"/>
    <cellStyle name="Currency 4 2 2 3 5" xfId="308" xr:uid="{00000000-0005-0000-0000-0000250A0000}"/>
    <cellStyle name="Currency 4 2 2 3 5 2" xfId="5872" xr:uid="{00000000-0005-0000-0000-0000260A0000}"/>
    <cellStyle name="Currency 4 2 2 3 6" xfId="3453" xr:uid="{00000000-0005-0000-0000-0000270A0000}"/>
    <cellStyle name="Currency 4 2 2 3 6 2" xfId="7919" xr:uid="{00000000-0005-0000-0000-0000280A0000}"/>
    <cellStyle name="Currency 4 2 2 3 7" xfId="4664" xr:uid="{00000000-0005-0000-0000-0000290A0000}"/>
    <cellStyle name="Currency 4 2 2 4" xfId="860" xr:uid="{00000000-0005-0000-0000-00002A0A0000}"/>
    <cellStyle name="Currency 4 2 2 4 2" xfId="861" xr:uid="{00000000-0005-0000-0000-00002B0A0000}"/>
    <cellStyle name="Currency 4 2 2 4 2 2" xfId="2287" xr:uid="{00000000-0005-0000-0000-00002C0A0000}"/>
    <cellStyle name="Currency 4 2 2 4 2 2 2" xfId="6778" xr:uid="{00000000-0005-0000-0000-00002D0A0000}"/>
    <cellStyle name="Currency 4 2 2 4 2 3" xfId="4207" xr:uid="{00000000-0005-0000-0000-00002E0A0000}"/>
    <cellStyle name="Currency 4 2 2 4 2 3 2" xfId="8673" xr:uid="{00000000-0005-0000-0000-00002F0A0000}"/>
    <cellStyle name="Currency 4 2 2 4 2 4" xfId="5419" xr:uid="{00000000-0005-0000-0000-0000300A0000}"/>
    <cellStyle name="Currency 4 2 2 4 3" xfId="2288" xr:uid="{00000000-0005-0000-0000-0000310A0000}"/>
    <cellStyle name="Currency 4 2 2 4 3 2" xfId="4206" xr:uid="{00000000-0005-0000-0000-0000320A0000}"/>
    <cellStyle name="Currency 4 2 2 4 3 2 2" xfId="8672" xr:uid="{00000000-0005-0000-0000-0000330A0000}"/>
    <cellStyle name="Currency 4 2 2 4 3 3" xfId="5418" xr:uid="{00000000-0005-0000-0000-0000340A0000}"/>
    <cellStyle name="Currency 4 2 2 4 4" xfId="3455" xr:uid="{00000000-0005-0000-0000-0000350A0000}"/>
    <cellStyle name="Currency 4 2 2 4 4 2" xfId="7921" xr:uid="{00000000-0005-0000-0000-0000360A0000}"/>
    <cellStyle name="Currency 4 2 2 4 5" xfId="4666" xr:uid="{00000000-0005-0000-0000-0000370A0000}"/>
    <cellStyle name="Currency 4 2 2 5" xfId="862" xr:uid="{00000000-0005-0000-0000-0000380A0000}"/>
    <cellStyle name="Currency 4 2 2 5 2" xfId="863" xr:uid="{00000000-0005-0000-0000-0000390A0000}"/>
    <cellStyle name="Currency 4 2 2 5 2 2" xfId="2289" xr:uid="{00000000-0005-0000-0000-00003A0A0000}"/>
    <cellStyle name="Currency 4 2 2 5 2 2 2" xfId="6779" xr:uid="{00000000-0005-0000-0000-00003B0A0000}"/>
    <cellStyle name="Currency 4 2 2 5 2 3" xfId="5753" xr:uid="{00000000-0005-0000-0000-00003C0A0000}"/>
    <cellStyle name="Currency 4 2 2 5 3" xfId="2290" xr:uid="{00000000-0005-0000-0000-00003D0A0000}"/>
    <cellStyle name="Currency 4 2 2 5 3 2" xfId="6780" xr:uid="{00000000-0005-0000-0000-00003E0A0000}"/>
    <cellStyle name="Currency 4 2 2 5 4" xfId="4208" xr:uid="{00000000-0005-0000-0000-00003F0A0000}"/>
    <cellStyle name="Currency 4 2 2 5 4 2" xfId="8674" xr:uid="{00000000-0005-0000-0000-0000400A0000}"/>
    <cellStyle name="Currency 4 2 2 5 5" xfId="5420" xr:uid="{00000000-0005-0000-0000-0000410A0000}"/>
    <cellStyle name="Currency 4 2 2 6" xfId="864" xr:uid="{00000000-0005-0000-0000-0000420A0000}"/>
    <cellStyle name="Currency 4 2 2 6 2" xfId="2291" xr:uid="{00000000-0005-0000-0000-0000430A0000}"/>
    <cellStyle name="Currency 4 2 2 6 2 2" xfId="6781" xr:uid="{00000000-0005-0000-0000-0000440A0000}"/>
    <cellStyle name="Currency 4 2 2 6 3" xfId="4209" xr:uid="{00000000-0005-0000-0000-0000450A0000}"/>
    <cellStyle name="Currency 4 2 2 6 3 2" xfId="8675" xr:uid="{00000000-0005-0000-0000-0000460A0000}"/>
    <cellStyle name="Currency 4 2 2 6 4" xfId="5421" xr:uid="{00000000-0005-0000-0000-0000470A0000}"/>
    <cellStyle name="Currency 4 2 2 7" xfId="305" xr:uid="{00000000-0005-0000-0000-0000480A0000}"/>
    <cellStyle name="Currency 4 2 2 7 2" xfId="3911" xr:uid="{00000000-0005-0000-0000-0000490A0000}"/>
    <cellStyle name="Currency 4 2 2 7 2 2" xfId="8377" xr:uid="{00000000-0005-0000-0000-00004A0A0000}"/>
    <cellStyle name="Currency 4 2 2 7 3" xfId="5123" xr:uid="{00000000-0005-0000-0000-00004B0A0000}"/>
    <cellStyle name="Currency 4 2 2 8" xfId="3448" xr:uid="{00000000-0005-0000-0000-00004C0A0000}"/>
    <cellStyle name="Currency 4 2 2 8 2" xfId="7914" xr:uid="{00000000-0005-0000-0000-00004D0A0000}"/>
    <cellStyle name="Currency 4 2 2 9" xfId="4659" xr:uid="{00000000-0005-0000-0000-00004E0A0000}"/>
    <cellStyle name="Currency 4 2 3" xfId="92" xr:uid="{00000000-0005-0000-0000-00004F0A0000}"/>
    <cellStyle name="Currency 4 2 3 2" xfId="93" xr:uid="{00000000-0005-0000-0000-0000500A0000}"/>
    <cellStyle name="Currency 4 2 3 2 2" xfId="865" xr:uid="{00000000-0005-0000-0000-0000510A0000}"/>
    <cellStyle name="Currency 4 2 3 2 2 2" xfId="866" xr:uid="{00000000-0005-0000-0000-0000520A0000}"/>
    <cellStyle name="Currency 4 2 3 2 2 2 2" xfId="2292" xr:uid="{00000000-0005-0000-0000-0000530A0000}"/>
    <cellStyle name="Currency 4 2 3 2 2 2 2 2" xfId="6782" xr:uid="{00000000-0005-0000-0000-0000540A0000}"/>
    <cellStyle name="Currency 4 2 3 2 2 2 3" xfId="4210" xr:uid="{00000000-0005-0000-0000-0000550A0000}"/>
    <cellStyle name="Currency 4 2 3 2 2 2 3 2" xfId="8676" xr:uid="{00000000-0005-0000-0000-0000560A0000}"/>
    <cellStyle name="Currency 4 2 3 2 2 2 4" xfId="5422" xr:uid="{00000000-0005-0000-0000-0000570A0000}"/>
    <cellStyle name="Currency 4 2 3 2 2 3" xfId="2293" xr:uid="{00000000-0005-0000-0000-0000580A0000}"/>
    <cellStyle name="Currency 4 2 3 2 2 3 2" xfId="6783" xr:uid="{00000000-0005-0000-0000-0000590A0000}"/>
    <cellStyle name="Currency 4 2 3 2 2 4" xfId="3458" xr:uid="{00000000-0005-0000-0000-00005A0A0000}"/>
    <cellStyle name="Currency 4 2 3 2 2 4 2" xfId="7924" xr:uid="{00000000-0005-0000-0000-00005B0A0000}"/>
    <cellStyle name="Currency 4 2 3 2 2 5" xfId="4669" xr:uid="{00000000-0005-0000-0000-00005C0A0000}"/>
    <cellStyle name="Currency 4 2 3 2 3" xfId="867" xr:uid="{00000000-0005-0000-0000-00005D0A0000}"/>
    <cellStyle name="Currency 4 2 3 2 3 2" xfId="868" xr:uid="{00000000-0005-0000-0000-00005E0A0000}"/>
    <cellStyle name="Currency 4 2 3 2 3 2 2" xfId="2294" xr:uid="{00000000-0005-0000-0000-00005F0A0000}"/>
    <cellStyle name="Currency 4 2 3 2 3 2 2 2" xfId="6784" xr:uid="{00000000-0005-0000-0000-0000600A0000}"/>
    <cellStyle name="Currency 4 2 3 2 3 2 3" xfId="5752" xr:uid="{00000000-0005-0000-0000-0000610A0000}"/>
    <cellStyle name="Currency 4 2 3 2 3 3" xfId="2295" xr:uid="{00000000-0005-0000-0000-0000620A0000}"/>
    <cellStyle name="Currency 4 2 3 2 3 3 2" xfId="6785" xr:uid="{00000000-0005-0000-0000-0000630A0000}"/>
    <cellStyle name="Currency 4 2 3 2 3 4" xfId="3916" xr:uid="{00000000-0005-0000-0000-0000640A0000}"/>
    <cellStyle name="Currency 4 2 3 2 3 4 2" xfId="8382" xr:uid="{00000000-0005-0000-0000-0000650A0000}"/>
    <cellStyle name="Currency 4 2 3 2 3 5" xfId="5128" xr:uid="{00000000-0005-0000-0000-0000660A0000}"/>
    <cellStyle name="Currency 4 2 3 2 4" xfId="869" xr:uid="{00000000-0005-0000-0000-0000670A0000}"/>
    <cellStyle name="Currency 4 2 3 2 4 2" xfId="2296" xr:uid="{00000000-0005-0000-0000-0000680A0000}"/>
    <cellStyle name="Currency 4 2 3 2 4 2 2" xfId="6786" xr:uid="{00000000-0005-0000-0000-0000690A0000}"/>
    <cellStyle name="Currency 4 2 3 2 4 3" xfId="5925" xr:uid="{00000000-0005-0000-0000-00006A0A0000}"/>
    <cellStyle name="Currency 4 2 3 2 5" xfId="310" xr:uid="{00000000-0005-0000-0000-00006B0A0000}"/>
    <cellStyle name="Currency 4 2 3 2 5 2" xfId="5982" xr:uid="{00000000-0005-0000-0000-00006C0A0000}"/>
    <cellStyle name="Currency 4 2 3 2 6" xfId="3457" xr:uid="{00000000-0005-0000-0000-00006D0A0000}"/>
    <cellStyle name="Currency 4 2 3 2 6 2" xfId="7923" xr:uid="{00000000-0005-0000-0000-00006E0A0000}"/>
    <cellStyle name="Currency 4 2 3 2 7" xfId="4668" xr:uid="{00000000-0005-0000-0000-00006F0A0000}"/>
    <cellStyle name="Currency 4 2 3 3" xfId="870" xr:uid="{00000000-0005-0000-0000-0000700A0000}"/>
    <cellStyle name="Currency 4 2 3 3 2" xfId="871" xr:uid="{00000000-0005-0000-0000-0000710A0000}"/>
    <cellStyle name="Currency 4 2 3 3 2 2" xfId="2297" xr:uid="{00000000-0005-0000-0000-0000720A0000}"/>
    <cellStyle name="Currency 4 2 3 3 2 2 2" xfId="6787" xr:uid="{00000000-0005-0000-0000-0000730A0000}"/>
    <cellStyle name="Currency 4 2 3 3 2 3" xfId="4211" xr:uid="{00000000-0005-0000-0000-0000740A0000}"/>
    <cellStyle name="Currency 4 2 3 3 2 3 2" xfId="8677" xr:uid="{00000000-0005-0000-0000-0000750A0000}"/>
    <cellStyle name="Currency 4 2 3 3 2 4" xfId="5423" xr:uid="{00000000-0005-0000-0000-0000760A0000}"/>
    <cellStyle name="Currency 4 2 3 3 3" xfId="2298" xr:uid="{00000000-0005-0000-0000-0000770A0000}"/>
    <cellStyle name="Currency 4 2 3 3 3 2" xfId="6788" xr:uid="{00000000-0005-0000-0000-0000780A0000}"/>
    <cellStyle name="Currency 4 2 3 3 4" xfId="3459" xr:uid="{00000000-0005-0000-0000-0000790A0000}"/>
    <cellStyle name="Currency 4 2 3 3 4 2" xfId="7925" xr:uid="{00000000-0005-0000-0000-00007A0A0000}"/>
    <cellStyle name="Currency 4 2 3 3 5" xfId="4670" xr:uid="{00000000-0005-0000-0000-00007B0A0000}"/>
    <cellStyle name="Currency 4 2 3 4" xfId="872" xr:uid="{00000000-0005-0000-0000-00007C0A0000}"/>
    <cellStyle name="Currency 4 2 3 4 2" xfId="873" xr:uid="{00000000-0005-0000-0000-00007D0A0000}"/>
    <cellStyle name="Currency 4 2 3 4 2 2" xfId="2299" xr:uid="{00000000-0005-0000-0000-00007E0A0000}"/>
    <cellStyle name="Currency 4 2 3 4 2 2 2" xfId="6789" xr:uid="{00000000-0005-0000-0000-00007F0A0000}"/>
    <cellStyle name="Currency 4 2 3 4 2 3" xfId="6033" xr:uid="{00000000-0005-0000-0000-0000800A0000}"/>
    <cellStyle name="Currency 4 2 3 4 3" xfId="2300" xr:uid="{00000000-0005-0000-0000-0000810A0000}"/>
    <cellStyle name="Currency 4 2 3 4 3 2" xfId="6790" xr:uid="{00000000-0005-0000-0000-0000820A0000}"/>
    <cellStyle name="Currency 4 2 3 4 4" xfId="3915" xr:uid="{00000000-0005-0000-0000-0000830A0000}"/>
    <cellStyle name="Currency 4 2 3 4 4 2" xfId="8381" xr:uid="{00000000-0005-0000-0000-0000840A0000}"/>
    <cellStyle name="Currency 4 2 3 4 5" xfId="5127" xr:uid="{00000000-0005-0000-0000-0000850A0000}"/>
    <cellStyle name="Currency 4 2 3 5" xfId="874" xr:uid="{00000000-0005-0000-0000-0000860A0000}"/>
    <cellStyle name="Currency 4 2 3 5 2" xfId="2301" xr:uid="{00000000-0005-0000-0000-0000870A0000}"/>
    <cellStyle name="Currency 4 2 3 5 2 2" xfId="6791" xr:uid="{00000000-0005-0000-0000-0000880A0000}"/>
    <cellStyle name="Currency 4 2 3 5 3" xfId="5751" xr:uid="{00000000-0005-0000-0000-0000890A0000}"/>
    <cellStyle name="Currency 4 2 3 6" xfId="309" xr:uid="{00000000-0005-0000-0000-00008A0A0000}"/>
    <cellStyle name="Currency 4 2 3 6 2" xfId="5871" xr:uid="{00000000-0005-0000-0000-00008B0A0000}"/>
    <cellStyle name="Currency 4 2 3 7" xfId="3456" xr:uid="{00000000-0005-0000-0000-00008C0A0000}"/>
    <cellStyle name="Currency 4 2 3 7 2" xfId="7922" xr:uid="{00000000-0005-0000-0000-00008D0A0000}"/>
    <cellStyle name="Currency 4 2 3 8" xfId="4667" xr:uid="{00000000-0005-0000-0000-00008E0A0000}"/>
    <cellStyle name="Currency 4 2 4" xfId="94" xr:uid="{00000000-0005-0000-0000-00008F0A0000}"/>
    <cellStyle name="Currency 4 2 4 2" xfId="875" xr:uid="{00000000-0005-0000-0000-0000900A0000}"/>
    <cellStyle name="Currency 4 2 4 2 2" xfId="876" xr:uid="{00000000-0005-0000-0000-0000910A0000}"/>
    <cellStyle name="Currency 4 2 4 2 2 2" xfId="877" xr:uid="{00000000-0005-0000-0000-0000920A0000}"/>
    <cellStyle name="Currency 4 2 4 2 2 2 2" xfId="2302" xr:uid="{00000000-0005-0000-0000-0000930A0000}"/>
    <cellStyle name="Currency 4 2 4 2 2 2 2 2" xfId="6792" xr:uid="{00000000-0005-0000-0000-0000940A0000}"/>
    <cellStyle name="Currency 4 2 4 2 2 2 3" xfId="4212" xr:uid="{00000000-0005-0000-0000-0000950A0000}"/>
    <cellStyle name="Currency 4 2 4 2 2 2 3 2" xfId="8678" xr:uid="{00000000-0005-0000-0000-0000960A0000}"/>
    <cellStyle name="Currency 4 2 4 2 2 2 4" xfId="5424" xr:uid="{00000000-0005-0000-0000-0000970A0000}"/>
    <cellStyle name="Currency 4 2 4 2 2 3" xfId="2303" xr:uid="{00000000-0005-0000-0000-0000980A0000}"/>
    <cellStyle name="Currency 4 2 4 2 2 3 2" xfId="6793" xr:uid="{00000000-0005-0000-0000-0000990A0000}"/>
    <cellStyle name="Currency 4 2 4 2 2 4" xfId="3462" xr:uid="{00000000-0005-0000-0000-00009A0A0000}"/>
    <cellStyle name="Currency 4 2 4 2 2 4 2" xfId="7928" xr:uid="{00000000-0005-0000-0000-00009B0A0000}"/>
    <cellStyle name="Currency 4 2 4 2 2 5" xfId="4673" xr:uid="{00000000-0005-0000-0000-00009C0A0000}"/>
    <cellStyle name="Currency 4 2 4 2 3" xfId="878" xr:uid="{00000000-0005-0000-0000-00009D0A0000}"/>
    <cellStyle name="Currency 4 2 4 2 3 2" xfId="879" xr:uid="{00000000-0005-0000-0000-00009E0A0000}"/>
    <cellStyle name="Currency 4 2 4 2 3 2 2" xfId="2304" xr:uid="{00000000-0005-0000-0000-00009F0A0000}"/>
    <cellStyle name="Currency 4 2 4 2 3 2 2 2" xfId="6794" xr:uid="{00000000-0005-0000-0000-0000A00A0000}"/>
    <cellStyle name="Currency 4 2 4 2 3 2 3" xfId="5926" xr:uid="{00000000-0005-0000-0000-0000A10A0000}"/>
    <cellStyle name="Currency 4 2 4 2 3 3" xfId="2305" xr:uid="{00000000-0005-0000-0000-0000A20A0000}"/>
    <cellStyle name="Currency 4 2 4 2 3 3 2" xfId="6795" xr:uid="{00000000-0005-0000-0000-0000A30A0000}"/>
    <cellStyle name="Currency 4 2 4 2 3 4" xfId="3918" xr:uid="{00000000-0005-0000-0000-0000A40A0000}"/>
    <cellStyle name="Currency 4 2 4 2 3 4 2" xfId="8384" xr:uid="{00000000-0005-0000-0000-0000A50A0000}"/>
    <cellStyle name="Currency 4 2 4 2 3 5" xfId="5130" xr:uid="{00000000-0005-0000-0000-0000A60A0000}"/>
    <cellStyle name="Currency 4 2 4 2 4" xfId="880" xr:uid="{00000000-0005-0000-0000-0000A70A0000}"/>
    <cellStyle name="Currency 4 2 4 2 4 2" xfId="2306" xr:uid="{00000000-0005-0000-0000-0000A80A0000}"/>
    <cellStyle name="Currency 4 2 4 2 4 2 2" xfId="6796" xr:uid="{00000000-0005-0000-0000-0000A90A0000}"/>
    <cellStyle name="Currency 4 2 4 2 4 3" xfId="6032" xr:uid="{00000000-0005-0000-0000-0000AA0A0000}"/>
    <cellStyle name="Currency 4 2 4 2 5" xfId="2307" xr:uid="{00000000-0005-0000-0000-0000AB0A0000}"/>
    <cellStyle name="Currency 4 2 4 2 5 2" xfId="6797" xr:uid="{00000000-0005-0000-0000-0000AC0A0000}"/>
    <cellStyle name="Currency 4 2 4 2 6" xfId="3461" xr:uid="{00000000-0005-0000-0000-0000AD0A0000}"/>
    <cellStyle name="Currency 4 2 4 2 6 2" xfId="7927" xr:uid="{00000000-0005-0000-0000-0000AE0A0000}"/>
    <cellStyle name="Currency 4 2 4 2 7" xfId="4672" xr:uid="{00000000-0005-0000-0000-0000AF0A0000}"/>
    <cellStyle name="Currency 4 2 4 3" xfId="881" xr:uid="{00000000-0005-0000-0000-0000B00A0000}"/>
    <cellStyle name="Currency 4 2 4 3 2" xfId="882" xr:uid="{00000000-0005-0000-0000-0000B10A0000}"/>
    <cellStyle name="Currency 4 2 4 3 2 2" xfId="2308" xr:uid="{00000000-0005-0000-0000-0000B20A0000}"/>
    <cellStyle name="Currency 4 2 4 3 2 2 2" xfId="6798" xr:uid="{00000000-0005-0000-0000-0000B30A0000}"/>
    <cellStyle name="Currency 4 2 4 3 2 3" xfId="4213" xr:uid="{00000000-0005-0000-0000-0000B40A0000}"/>
    <cellStyle name="Currency 4 2 4 3 2 3 2" xfId="8679" xr:uid="{00000000-0005-0000-0000-0000B50A0000}"/>
    <cellStyle name="Currency 4 2 4 3 2 4" xfId="5425" xr:uid="{00000000-0005-0000-0000-0000B60A0000}"/>
    <cellStyle name="Currency 4 2 4 3 3" xfId="2309" xr:uid="{00000000-0005-0000-0000-0000B70A0000}"/>
    <cellStyle name="Currency 4 2 4 3 3 2" xfId="6799" xr:uid="{00000000-0005-0000-0000-0000B80A0000}"/>
    <cellStyle name="Currency 4 2 4 3 4" xfId="3463" xr:uid="{00000000-0005-0000-0000-0000B90A0000}"/>
    <cellStyle name="Currency 4 2 4 3 4 2" xfId="7929" xr:uid="{00000000-0005-0000-0000-0000BA0A0000}"/>
    <cellStyle name="Currency 4 2 4 3 5" xfId="4674" xr:uid="{00000000-0005-0000-0000-0000BB0A0000}"/>
    <cellStyle name="Currency 4 2 4 4" xfId="883" xr:uid="{00000000-0005-0000-0000-0000BC0A0000}"/>
    <cellStyle name="Currency 4 2 4 4 2" xfId="884" xr:uid="{00000000-0005-0000-0000-0000BD0A0000}"/>
    <cellStyle name="Currency 4 2 4 4 2 2" xfId="2310" xr:uid="{00000000-0005-0000-0000-0000BE0A0000}"/>
    <cellStyle name="Currency 4 2 4 4 2 2 2" xfId="6800" xr:uid="{00000000-0005-0000-0000-0000BF0A0000}"/>
    <cellStyle name="Currency 4 2 4 4 2 3" xfId="5750" xr:uid="{00000000-0005-0000-0000-0000C00A0000}"/>
    <cellStyle name="Currency 4 2 4 4 3" xfId="2311" xr:uid="{00000000-0005-0000-0000-0000C10A0000}"/>
    <cellStyle name="Currency 4 2 4 4 3 2" xfId="6801" xr:uid="{00000000-0005-0000-0000-0000C20A0000}"/>
    <cellStyle name="Currency 4 2 4 4 4" xfId="3917" xr:uid="{00000000-0005-0000-0000-0000C30A0000}"/>
    <cellStyle name="Currency 4 2 4 4 4 2" xfId="8383" xr:uid="{00000000-0005-0000-0000-0000C40A0000}"/>
    <cellStyle name="Currency 4 2 4 4 5" xfId="5129" xr:uid="{00000000-0005-0000-0000-0000C50A0000}"/>
    <cellStyle name="Currency 4 2 4 5" xfId="885" xr:uid="{00000000-0005-0000-0000-0000C60A0000}"/>
    <cellStyle name="Currency 4 2 4 5 2" xfId="2312" xr:uid="{00000000-0005-0000-0000-0000C70A0000}"/>
    <cellStyle name="Currency 4 2 4 5 2 2" xfId="6802" xr:uid="{00000000-0005-0000-0000-0000C80A0000}"/>
    <cellStyle name="Currency 4 2 4 5 3" xfId="5749" xr:uid="{00000000-0005-0000-0000-0000C90A0000}"/>
    <cellStyle name="Currency 4 2 4 6" xfId="311" xr:uid="{00000000-0005-0000-0000-0000CA0A0000}"/>
    <cellStyle name="Currency 4 2 4 6 2" xfId="6120" xr:uid="{00000000-0005-0000-0000-0000CB0A0000}"/>
    <cellStyle name="Currency 4 2 4 7" xfId="3460" xr:uid="{00000000-0005-0000-0000-0000CC0A0000}"/>
    <cellStyle name="Currency 4 2 4 7 2" xfId="7926" xr:uid="{00000000-0005-0000-0000-0000CD0A0000}"/>
    <cellStyle name="Currency 4 2 4 8" xfId="4671" xr:uid="{00000000-0005-0000-0000-0000CE0A0000}"/>
    <cellStyle name="Currency 4 2 5" xfId="886" xr:uid="{00000000-0005-0000-0000-0000CF0A0000}"/>
    <cellStyle name="Currency 4 2 5 2" xfId="887" xr:uid="{00000000-0005-0000-0000-0000D00A0000}"/>
    <cellStyle name="Currency 4 2 5 2 2" xfId="888" xr:uid="{00000000-0005-0000-0000-0000D10A0000}"/>
    <cellStyle name="Currency 4 2 5 2 2 2" xfId="2313" xr:uid="{00000000-0005-0000-0000-0000D20A0000}"/>
    <cellStyle name="Currency 4 2 5 2 2 2 2" xfId="6803" xr:uid="{00000000-0005-0000-0000-0000D30A0000}"/>
    <cellStyle name="Currency 4 2 5 2 2 3" xfId="4214" xr:uid="{00000000-0005-0000-0000-0000D40A0000}"/>
    <cellStyle name="Currency 4 2 5 2 2 3 2" xfId="8680" xr:uid="{00000000-0005-0000-0000-0000D50A0000}"/>
    <cellStyle name="Currency 4 2 5 2 2 4" xfId="5426" xr:uid="{00000000-0005-0000-0000-0000D60A0000}"/>
    <cellStyle name="Currency 4 2 5 2 3" xfId="2314" xr:uid="{00000000-0005-0000-0000-0000D70A0000}"/>
    <cellStyle name="Currency 4 2 5 2 3 2" xfId="6804" xr:uid="{00000000-0005-0000-0000-0000D80A0000}"/>
    <cellStyle name="Currency 4 2 5 2 4" xfId="3465" xr:uid="{00000000-0005-0000-0000-0000D90A0000}"/>
    <cellStyle name="Currency 4 2 5 2 4 2" xfId="7931" xr:uid="{00000000-0005-0000-0000-0000DA0A0000}"/>
    <cellStyle name="Currency 4 2 5 2 5" xfId="4676" xr:uid="{00000000-0005-0000-0000-0000DB0A0000}"/>
    <cellStyle name="Currency 4 2 5 3" xfId="889" xr:uid="{00000000-0005-0000-0000-0000DC0A0000}"/>
    <cellStyle name="Currency 4 2 5 3 2" xfId="890" xr:uid="{00000000-0005-0000-0000-0000DD0A0000}"/>
    <cellStyle name="Currency 4 2 5 3 2 2" xfId="2315" xr:uid="{00000000-0005-0000-0000-0000DE0A0000}"/>
    <cellStyle name="Currency 4 2 5 3 2 2 2" xfId="6805" xr:uid="{00000000-0005-0000-0000-0000DF0A0000}"/>
    <cellStyle name="Currency 4 2 5 3 2 3" xfId="5748" xr:uid="{00000000-0005-0000-0000-0000E00A0000}"/>
    <cellStyle name="Currency 4 2 5 3 3" xfId="2316" xr:uid="{00000000-0005-0000-0000-0000E10A0000}"/>
    <cellStyle name="Currency 4 2 5 3 3 2" xfId="6806" xr:uid="{00000000-0005-0000-0000-0000E20A0000}"/>
    <cellStyle name="Currency 4 2 5 3 4" xfId="3919" xr:uid="{00000000-0005-0000-0000-0000E30A0000}"/>
    <cellStyle name="Currency 4 2 5 3 4 2" xfId="8385" xr:uid="{00000000-0005-0000-0000-0000E40A0000}"/>
    <cellStyle name="Currency 4 2 5 3 5" xfId="5131" xr:uid="{00000000-0005-0000-0000-0000E50A0000}"/>
    <cellStyle name="Currency 4 2 5 4" xfId="891" xr:uid="{00000000-0005-0000-0000-0000E60A0000}"/>
    <cellStyle name="Currency 4 2 5 4 2" xfId="2317" xr:uid="{00000000-0005-0000-0000-0000E70A0000}"/>
    <cellStyle name="Currency 4 2 5 4 2 2" xfId="6807" xr:uid="{00000000-0005-0000-0000-0000E80A0000}"/>
    <cellStyle name="Currency 4 2 5 4 3" xfId="6031" xr:uid="{00000000-0005-0000-0000-0000E90A0000}"/>
    <cellStyle name="Currency 4 2 5 5" xfId="2318" xr:uid="{00000000-0005-0000-0000-0000EA0A0000}"/>
    <cellStyle name="Currency 4 2 5 5 2" xfId="6808" xr:uid="{00000000-0005-0000-0000-0000EB0A0000}"/>
    <cellStyle name="Currency 4 2 5 6" xfId="3464" xr:uid="{00000000-0005-0000-0000-0000EC0A0000}"/>
    <cellStyle name="Currency 4 2 5 6 2" xfId="7930" xr:uid="{00000000-0005-0000-0000-0000ED0A0000}"/>
    <cellStyle name="Currency 4 2 5 7" xfId="4675" xr:uid="{00000000-0005-0000-0000-0000EE0A0000}"/>
    <cellStyle name="Currency 4 2 6" xfId="892" xr:uid="{00000000-0005-0000-0000-0000EF0A0000}"/>
    <cellStyle name="Currency 4 2 6 2" xfId="893" xr:uid="{00000000-0005-0000-0000-0000F00A0000}"/>
    <cellStyle name="Currency 4 2 6 2 2" xfId="2319" xr:uid="{00000000-0005-0000-0000-0000F10A0000}"/>
    <cellStyle name="Currency 4 2 6 2 2 2" xfId="6809" xr:uid="{00000000-0005-0000-0000-0000F20A0000}"/>
    <cellStyle name="Currency 4 2 6 2 3" xfId="4216" xr:uid="{00000000-0005-0000-0000-0000F30A0000}"/>
    <cellStyle name="Currency 4 2 6 2 3 2" xfId="8682" xr:uid="{00000000-0005-0000-0000-0000F40A0000}"/>
    <cellStyle name="Currency 4 2 6 2 4" xfId="5428" xr:uid="{00000000-0005-0000-0000-0000F50A0000}"/>
    <cellStyle name="Currency 4 2 6 3" xfId="2320" xr:uid="{00000000-0005-0000-0000-0000F60A0000}"/>
    <cellStyle name="Currency 4 2 6 3 2" xfId="4215" xr:uid="{00000000-0005-0000-0000-0000F70A0000}"/>
    <cellStyle name="Currency 4 2 6 3 2 2" xfId="8681" xr:uid="{00000000-0005-0000-0000-0000F80A0000}"/>
    <cellStyle name="Currency 4 2 6 3 3" xfId="5427" xr:uid="{00000000-0005-0000-0000-0000F90A0000}"/>
    <cellStyle name="Currency 4 2 6 4" xfId="3466" xr:uid="{00000000-0005-0000-0000-0000FA0A0000}"/>
    <cellStyle name="Currency 4 2 6 4 2" xfId="7932" xr:uid="{00000000-0005-0000-0000-0000FB0A0000}"/>
    <cellStyle name="Currency 4 2 6 5" xfId="4677" xr:uid="{00000000-0005-0000-0000-0000FC0A0000}"/>
    <cellStyle name="Currency 4 2 7" xfId="894" xr:uid="{00000000-0005-0000-0000-0000FD0A0000}"/>
    <cellStyle name="Currency 4 2 7 2" xfId="895" xr:uid="{00000000-0005-0000-0000-0000FE0A0000}"/>
    <cellStyle name="Currency 4 2 7 2 2" xfId="2321" xr:uid="{00000000-0005-0000-0000-0000FF0A0000}"/>
    <cellStyle name="Currency 4 2 7 2 2 2" xfId="6810" xr:uid="{00000000-0005-0000-0000-0000000B0000}"/>
    <cellStyle name="Currency 4 2 7 2 3" xfId="5924" xr:uid="{00000000-0005-0000-0000-0000010B0000}"/>
    <cellStyle name="Currency 4 2 7 3" xfId="2322" xr:uid="{00000000-0005-0000-0000-0000020B0000}"/>
    <cellStyle name="Currency 4 2 7 3 2" xfId="6811" xr:uid="{00000000-0005-0000-0000-0000030B0000}"/>
    <cellStyle name="Currency 4 2 7 4" xfId="4217" xr:uid="{00000000-0005-0000-0000-0000040B0000}"/>
    <cellStyle name="Currency 4 2 7 4 2" xfId="8683" xr:uid="{00000000-0005-0000-0000-0000050B0000}"/>
    <cellStyle name="Currency 4 2 7 5" xfId="5429" xr:uid="{00000000-0005-0000-0000-0000060B0000}"/>
    <cellStyle name="Currency 4 2 8" xfId="896" xr:uid="{00000000-0005-0000-0000-0000070B0000}"/>
    <cellStyle name="Currency 4 2 8 2" xfId="2323" xr:uid="{00000000-0005-0000-0000-0000080B0000}"/>
    <cellStyle name="Currency 4 2 8 2 2" xfId="6812" xr:uid="{00000000-0005-0000-0000-0000090B0000}"/>
    <cellStyle name="Currency 4 2 8 3" xfId="4218" xr:uid="{00000000-0005-0000-0000-00000A0B0000}"/>
    <cellStyle name="Currency 4 2 8 3 2" xfId="8684" xr:uid="{00000000-0005-0000-0000-00000B0B0000}"/>
    <cellStyle name="Currency 4 2 8 4" xfId="5430" xr:uid="{00000000-0005-0000-0000-00000C0B0000}"/>
    <cellStyle name="Currency 4 2 9" xfId="304" xr:uid="{00000000-0005-0000-0000-00000D0B0000}"/>
    <cellStyle name="Currency 4 2 9 2" xfId="3910" xr:uid="{00000000-0005-0000-0000-00000E0B0000}"/>
    <cellStyle name="Currency 4 2 9 2 2" xfId="8376" xr:uid="{00000000-0005-0000-0000-00000F0B0000}"/>
    <cellStyle name="Currency 4 2 9 3" xfId="5122" xr:uid="{00000000-0005-0000-0000-0000100B0000}"/>
    <cellStyle name="Currency 4 3" xfId="95" xr:uid="{00000000-0005-0000-0000-0000110B0000}"/>
    <cellStyle name="Currency 4 3 2" xfId="96" xr:uid="{00000000-0005-0000-0000-0000120B0000}"/>
    <cellStyle name="Currency 4 3 2 2" xfId="97" xr:uid="{00000000-0005-0000-0000-0000130B0000}"/>
    <cellStyle name="Currency 4 3 2 2 2" xfId="897" xr:uid="{00000000-0005-0000-0000-0000140B0000}"/>
    <cellStyle name="Currency 4 3 2 2 2 2" xfId="898" xr:uid="{00000000-0005-0000-0000-0000150B0000}"/>
    <cellStyle name="Currency 4 3 2 2 2 2 2" xfId="2324" xr:uid="{00000000-0005-0000-0000-0000160B0000}"/>
    <cellStyle name="Currency 4 3 2 2 2 2 2 2" xfId="6813" xr:uid="{00000000-0005-0000-0000-0000170B0000}"/>
    <cellStyle name="Currency 4 3 2 2 2 2 3" xfId="4219" xr:uid="{00000000-0005-0000-0000-0000180B0000}"/>
    <cellStyle name="Currency 4 3 2 2 2 2 3 2" xfId="8685" xr:uid="{00000000-0005-0000-0000-0000190B0000}"/>
    <cellStyle name="Currency 4 3 2 2 2 2 4" xfId="5431" xr:uid="{00000000-0005-0000-0000-00001A0B0000}"/>
    <cellStyle name="Currency 4 3 2 2 2 3" xfId="2325" xr:uid="{00000000-0005-0000-0000-00001B0B0000}"/>
    <cellStyle name="Currency 4 3 2 2 2 3 2" xfId="6814" xr:uid="{00000000-0005-0000-0000-00001C0B0000}"/>
    <cellStyle name="Currency 4 3 2 2 2 4" xfId="3470" xr:uid="{00000000-0005-0000-0000-00001D0B0000}"/>
    <cellStyle name="Currency 4 3 2 2 2 4 2" xfId="7936" xr:uid="{00000000-0005-0000-0000-00001E0B0000}"/>
    <cellStyle name="Currency 4 3 2 2 2 5" xfId="4681" xr:uid="{00000000-0005-0000-0000-00001F0B0000}"/>
    <cellStyle name="Currency 4 3 2 2 3" xfId="899" xr:uid="{00000000-0005-0000-0000-0000200B0000}"/>
    <cellStyle name="Currency 4 3 2 2 3 2" xfId="900" xr:uid="{00000000-0005-0000-0000-0000210B0000}"/>
    <cellStyle name="Currency 4 3 2 2 3 2 2" xfId="2326" xr:uid="{00000000-0005-0000-0000-0000220B0000}"/>
    <cellStyle name="Currency 4 3 2 2 3 2 2 2" xfId="6815" xr:uid="{00000000-0005-0000-0000-0000230B0000}"/>
    <cellStyle name="Currency 4 3 2 2 3 2 3" xfId="6030" xr:uid="{00000000-0005-0000-0000-0000240B0000}"/>
    <cellStyle name="Currency 4 3 2 2 3 3" xfId="2327" xr:uid="{00000000-0005-0000-0000-0000250B0000}"/>
    <cellStyle name="Currency 4 3 2 2 3 3 2" xfId="6816" xr:uid="{00000000-0005-0000-0000-0000260B0000}"/>
    <cellStyle name="Currency 4 3 2 2 3 4" xfId="3922" xr:uid="{00000000-0005-0000-0000-0000270B0000}"/>
    <cellStyle name="Currency 4 3 2 2 3 4 2" xfId="8388" xr:uid="{00000000-0005-0000-0000-0000280B0000}"/>
    <cellStyle name="Currency 4 3 2 2 3 5" xfId="5134" xr:uid="{00000000-0005-0000-0000-0000290B0000}"/>
    <cellStyle name="Currency 4 3 2 2 4" xfId="901" xr:uid="{00000000-0005-0000-0000-00002A0B0000}"/>
    <cellStyle name="Currency 4 3 2 2 4 2" xfId="2328" xr:uid="{00000000-0005-0000-0000-00002B0B0000}"/>
    <cellStyle name="Currency 4 3 2 2 4 2 2" xfId="6817" xr:uid="{00000000-0005-0000-0000-00002C0B0000}"/>
    <cellStyle name="Currency 4 3 2 2 4 3" xfId="5747" xr:uid="{00000000-0005-0000-0000-00002D0B0000}"/>
    <cellStyle name="Currency 4 3 2 2 5" xfId="314" xr:uid="{00000000-0005-0000-0000-00002E0B0000}"/>
    <cellStyle name="Currency 4 3 2 2 5 2" xfId="6119" xr:uid="{00000000-0005-0000-0000-00002F0B0000}"/>
    <cellStyle name="Currency 4 3 2 2 6" xfId="3469" xr:uid="{00000000-0005-0000-0000-0000300B0000}"/>
    <cellStyle name="Currency 4 3 2 2 6 2" xfId="7935" xr:uid="{00000000-0005-0000-0000-0000310B0000}"/>
    <cellStyle name="Currency 4 3 2 2 7" xfId="4680" xr:uid="{00000000-0005-0000-0000-0000320B0000}"/>
    <cellStyle name="Currency 4 3 2 3" xfId="902" xr:uid="{00000000-0005-0000-0000-0000330B0000}"/>
    <cellStyle name="Currency 4 3 2 3 2" xfId="903" xr:uid="{00000000-0005-0000-0000-0000340B0000}"/>
    <cellStyle name="Currency 4 3 2 3 2 2" xfId="2329" xr:uid="{00000000-0005-0000-0000-0000350B0000}"/>
    <cellStyle name="Currency 4 3 2 3 2 2 2" xfId="6818" xr:uid="{00000000-0005-0000-0000-0000360B0000}"/>
    <cellStyle name="Currency 4 3 2 3 2 3" xfId="4220" xr:uid="{00000000-0005-0000-0000-0000370B0000}"/>
    <cellStyle name="Currency 4 3 2 3 2 3 2" xfId="8686" xr:uid="{00000000-0005-0000-0000-0000380B0000}"/>
    <cellStyle name="Currency 4 3 2 3 2 4" xfId="5432" xr:uid="{00000000-0005-0000-0000-0000390B0000}"/>
    <cellStyle name="Currency 4 3 2 3 3" xfId="2330" xr:uid="{00000000-0005-0000-0000-00003A0B0000}"/>
    <cellStyle name="Currency 4 3 2 3 3 2" xfId="6819" xr:uid="{00000000-0005-0000-0000-00003B0B0000}"/>
    <cellStyle name="Currency 4 3 2 3 4" xfId="3471" xr:uid="{00000000-0005-0000-0000-00003C0B0000}"/>
    <cellStyle name="Currency 4 3 2 3 4 2" xfId="7937" xr:uid="{00000000-0005-0000-0000-00003D0B0000}"/>
    <cellStyle name="Currency 4 3 2 3 5" xfId="4682" xr:uid="{00000000-0005-0000-0000-00003E0B0000}"/>
    <cellStyle name="Currency 4 3 2 4" xfId="904" xr:uid="{00000000-0005-0000-0000-00003F0B0000}"/>
    <cellStyle name="Currency 4 3 2 4 2" xfId="905" xr:uid="{00000000-0005-0000-0000-0000400B0000}"/>
    <cellStyle name="Currency 4 3 2 4 2 2" xfId="2331" xr:uid="{00000000-0005-0000-0000-0000410B0000}"/>
    <cellStyle name="Currency 4 3 2 4 2 2 2" xfId="6820" xr:uid="{00000000-0005-0000-0000-0000420B0000}"/>
    <cellStyle name="Currency 4 3 2 4 2 3" xfId="5746" xr:uid="{00000000-0005-0000-0000-0000430B0000}"/>
    <cellStyle name="Currency 4 3 2 4 3" xfId="2332" xr:uid="{00000000-0005-0000-0000-0000440B0000}"/>
    <cellStyle name="Currency 4 3 2 4 3 2" xfId="6821" xr:uid="{00000000-0005-0000-0000-0000450B0000}"/>
    <cellStyle name="Currency 4 3 2 4 4" xfId="3921" xr:uid="{00000000-0005-0000-0000-0000460B0000}"/>
    <cellStyle name="Currency 4 3 2 4 4 2" xfId="8387" xr:uid="{00000000-0005-0000-0000-0000470B0000}"/>
    <cellStyle name="Currency 4 3 2 4 5" xfId="5133" xr:uid="{00000000-0005-0000-0000-0000480B0000}"/>
    <cellStyle name="Currency 4 3 2 5" xfId="906" xr:uid="{00000000-0005-0000-0000-0000490B0000}"/>
    <cellStyle name="Currency 4 3 2 5 2" xfId="2333" xr:uid="{00000000-0005-0000-0000-00004A0B0000}"/>
    <cellStyle name="Currency 4 3 2 5 2 2" xfId="6822" xr:uid="{00000000-0005-0000-0000-00004B0B0000}"/>
    <cellStyle name="Currency 4 3 2 5 3" xfId="5745" xr:uid="{00000000-0005-0000-0000-00004C0B0000}"/>
    <cellStyle name="Currency 4 3 2 6" xfId="313" xr:uid="{00000000-0005-0000-0000-00004D0B0000}"/>
    <cellStyle name="Currency 4 3 2 6 2" xfId="5983" xr:uid="{00000000-0005-0000-0000-00004E0B0000}"/>
    <cellStyle name="Currency 4 3 2 7" xfId="3468" xr:uid="{00000000-0005-0000-0000-00004F0B0000}"/>
    <cellStyle name="Currency 4 3 2 7 2" xfId="7934" xr:uid="{00000000-0005-0000-0000-0000500B0000}"/>
    <cellStyle name="Currency 4 3 2 8" xfId="4679" xr:uid="{00000000-0005-0000-0000-0000510B0000}"/>
    <cellStyle name="Currency 4 3 3" xfId="98" xr:uid="{00000000-0005-0000-0000-0000520B0000}"/>
    <cellStyle name="Currency 4 3 3 2" xfId="907" xr:uid="{00000000-0005-0000-0000-0000530B0000}"/>
    <cellStyle name="Currency 4 3 3 2 2" xfId="908" xr:uid="{00000000-0005-0000-0000-0000540B0000}"/>
    <cellStyle name="Currency 4 3 3 2 2 2" xfId="2334" xr:uid="{00000000-0005-0000-0000-0000550B0000}"/>
    <cellStyle name="Currency 4 3 3 2 2 2 2" xfId="6823" xr:uid="{00000000-0005-0000-0000-0000560B0000}"/>
    <cellStyle name="Currency 4 3 3 2 2 3" xfId="4221" xr:uid="{00000000-0005-0000-0000-0000570B0000}"/>
    <cellStyle name="Currency 4 3 3 2 2 3 2" xfId="8687" xr:uid="{00000000-0005-0000-0000-0000580B0000}"/>
    <cellStyle name="Currency 4 3 3 2 2 4" xfId="5433" xr:uid="{00000000-0005-0000-0000-0000590B0000}"/>
    <cellStyle name="Currency 4 3 3 2 3" xfId="2335" xr:uid="{00000000-0005-0000-0000-00005A0B0000}"/>
    <cellStyle name="Currency 4 3 3 2 3 2" xfId="6824" xr:uid="{00000000-0005-0000-0000-00005B0B0000}"/>
    <cellStyle name="Currency 4 3 3 2 4" xfId="3473" xr:uid="{00000000-0005-0000-0000-00005C0B0000}"/>
    <cellStyle name="Currency 4 3 3 2 4 2" xfId="7939" xr:uid="{00000000-0005-0000-0000-00005D0B0000}"/>
    <cellStyle name="Currency 4 3 3 2 5" xfId="4684" xr:uid="{00000000-0005-0000-0000-00005E0B0000}"/>
    <cellStyle name="Currency 4 3 3 3" xfId="909" xr:uid="{00000000-0005-0000-0000-00005F0B0000}"/>
    <cellStyle name="Currency 4 3 3 3 2" xfId="910" xr:uid="{00000000-0005-0000-0000-0000600B0000}"/>
    <cellStyle name="Currency 4 3 3 3 2 2" xfId="2336" xr:uid="{00000000-0005-0000-0000-0000610B0000}"/>
    <cellStyle name="Currency 4 3 3 3 2 2 2" xfId="6825" xr:uid="{00000000-0005-0000-0000-0000620B0000}"/>
    <cellStyle name="Currency 4 3 3 3 2 3" xfId="5923" xr:uid="{00000000-0005-0000-0000-0000630B0000}"/>
    <cellStyle name="Currency 4 3 3 3 3" xfId="2337" xr:uid="{00000000-0005-0000-0000-0000640B0000}"/>
    <cellStyle name="Currency 4 3 3 3 3 2" xfId="6826" xr:uid="{00000000-0005-0000-0000-0000650B0000}"/>
    <cellStyle name="Currency 4 3 3 3 4" xfId="3923" xr:uid="{00000000-0005-0000-0000-0000660B0000}"/>
    <cellStyle name="Currency 4 3 3 3 4 2" xfId="8389" xr:uid="{00000000-0005-0000-0000-0000670B0000}"/>
    <cellStyle name="Currency 4 3 3 3 5" xfId="5135" xr:uid="{00000000-0005-0000-0000-0000680B0000}"/>
    <cellStyle name="Currency 4 3 3 4" xfId="911" xr:uid="{00000000-0005-0000-0000-0000690B0000}"/>
    <cellStyle name="Currency 4 3 3 4 2" xfId="2338" xr:uid="{00000000-0005-0000-0000-00006A0B0000}"/>
    <cellStyle name="Currency 4 3 3 4 2 2" xfId="6827" xr:uid="{00000000-0005-0000-0000-00006B0B0000}"/>
    <cellStyle name="Currency 4 3 3 4 3" xfId="6029" xr:uid="{00000000-0005-0000-0000-00006C0B0000}"/>
    <cellStyle name="Currency 4 3 3 5" xfId="315" xr:uid="{00000000-0005-0000-0000-00006D0B0000}"/>
    <cellStyle name="Currency 4 3 3 5 2" xfId="5870" xr:uid="{00000000-0005-0000-0000-00006E0B0000}"/>
    <cellStyle name="Currency 4 3 3 6" xfId="3472" xr:uid="{00000000-0005-0000-0000-00006F0B0000}"/>
    <cellStyle name="Currency 4 3 3 6 2" xfId="7938" xr:uid="{00000000-0005-0000-0000-0000700B0000}"/>
    <cellStyle name="Currency 4 3 3 7" xfId="4683" xr:uid="{00000000-0005-0000-0000-0000710B0000}"/>
    <cellStyle name="Currency 4 3 4" xfId="912" xr:uid="{00000000-0005-0000-0000-0000720B0000}"/>
    <cellStyle name="Currency 4 3 4 2" xfId="913" xr:uid="{00000000-0005-0000-0000-0000730B0000}"/>
    <cellStyle name="Currency 4 3 4 2 2" xfId="2339" xr:uid="{00000000-0005-0000-0000-0000740B0000}"/>
    <cellStyle name="Currency 4 3 4 2 2 2" xfId="6828" xr:uid="{00000000-0005-0000-0000-0000750B0000}"/>
    <cellStyle name="Currency 4 3 4 2 3" xfId="4223" xr:uid="{00000000-0005-0000-0000-0000760B0000}"/>
    <cellStyle name="Currency 4 3 4 2 3 2" xfId="8689" xr:uid="{00000000-0005-0000-0000-0000770B0000}"/>
    <cellStyle name="Currency 4 3 4 2 4" xfId="5435" xr:uid="{00000000-0005-0000-0000-0000780B0000}"/>
    <cellStyle name="Currency 4 3 4 3" xfId="2340" xr:uid="{00000000-0005-0000-0000-0000790B0000}"/>
    <cellStyle name="Currency 4 3 4 3 2" xfId="4222" xr:uid="{00000000-0005-0000-0000-00007A0B0000}"/>
    <cellStyle name="Currency 4 3 4 3 2 2" xfId="8688" xr:uid="{00000000-0005-0000-0000-00007B0B0000}"/>
    <cellStyle name="Currency 4 3 4 3 3" xfId="5434" xr:uid="{00000000-0005-0000-0000-00007C0B0000}"/>
    <cellStyle name="Currency 4 3 4 4" xfId="3474" xr:uid="{00000000-0005-0000-0000-00007D0B0000}"/>
    <cellStyle name="Currency 4 3 4 4 2" xfId="7940" xr:uid="{00000000-0005-0000-0000-00007E0B0000}"/>
    <cellStyle name="Currency 4 3 4 5" xfId="4685" xr:uid="{00000000-0005-0000-0000-00007F0B0000}"/>
    <cellStyle name="Currency 4 3 5" xfId="914" xr:uid="{00000000-0005-0000-0000-0000800B0000}"/>
    <cellStyle name="Currency 4 3 5 2" xfId="915" xr:uid="{00000000-0005-0000-0000-0000810B0000}"/>
    <cellStyle name="Currency 4 3 5 2 2" xfId="2341" xr:uid="{00000000-0005-0000-0000-0000820B0000}"/>
    <cellStyle name="Currency 4 3 5 2 2 2" xfId="6829" xr:uid="{00000000-0005-0000-0000-0000830B0000}"/>
    <cellStyle name="Currency 4 3 5 2 3" xfId="5920" xr:uid="{00000000-0005-0000-0000-0000840B0000}"/>
    <cellStyle name="Currency 4 3 5 3" xfId="2342" xr:uid="{00000000-0005-0000-0000-0000850B0000}"/>
    <cellStyle name="Currency 4 3 5 3 2" xfId="6830" xr:uid="{00000000-0005-0000-0000-0000860B0000}"/>
    <cellStyle name="Currency 4 3 5 4" xfId="4224" xr:uid="{00000000-0005-0000-0000-0000870B0000}"/>
    <cellStyle name="Currency 4 3 5 4 2" xfId="8690" xr:uid="{00000000-0005-0000-0000-0000880B0000}"/>
    <cellStyle name="Currency 4 3 5 5" xfId="5436" xr:uid="{00000000-0005-0000-0000-0000890B0000}"/>
    <cellStyle name="Currency 4 3 6" xfId="916" xr:uid="{00000000-0005-0000-0000-00008A0B0000}"/>
    <cellStyle name="Currency 4 3 6 2" xfId="2343" xr:uid="{00000000-0005-0000-0000-00008B0B0000}"/>
    <cellStyle name="Currency 4 3 6 2 2" xfId="6831" xr:uid="{00000000-0005-0000-0000-00008C0B0000}"/>
    <cellStyle name="Currency 4 3 6 3" xfId="4225" xr:uid="{00000000-0005-0000-0000-00008D0B0000}"/>
    <cellStyle name="Currency 4 3 6 3 2" xfId="8691" xr:uid="{00000000-0005-0000-0000-00008E0B0000}"/>
    <cellStyle name="Currency 4 3 6 4" xfId="5437" xr:uid="{00000000-0005-0000-0000-00008F0B0000}"/>
    <cellStyle name="Currency 4 3 7" xfId="312" xr:uid="{00000000-0005-0000-0000-0000900B0000}"/>
    <cellStyle name="Currency 4 3 7 2" xfId="3920" xr:uid="{00000000-0005-0000-0000-0000910B0000}"/>
    <cellStyle name="Currency 4 3 7 2 2" xfId="8386" xr:uid="{00000000-0005-0000-0000-0000920B0000}"/>
    <cellStyle name="Currency 4 3 7 3" xfId="5132" xr:uid="{00000000-0005-0000-0000-0000930B0000}"/>
    <cellStyle name="Currency 4 3 8" xfId="3467" xr:uid="{00000000-0005-0000-0000-0000940B0000}"/>
    <cellStyle name="Currency 4 3 8 2" xfId="7933" xr:uid="{00000000-0005-0000-0000-0000950B0000}"/>
    <cellStyle name="Currency 4 3 9" xfId="4678" xr:uid="{00000000-0005-0000-0000-0000960B0000}"/>
    <cellStyle name="Currency 4 4" xfId="99" xr:uid="{00000000-0005-0000-0000-0000970B0000}"/>
    <cellStyle name="Currency 4 4 2" xfId="100" xr:uid="{00000000-0005-0000-0000-0000980B0000}"/>
    <cellStyle name="Currency 4 4 2 2" xfId="917" xr:uid="{00000000-0005-0000-0000-0000990B0000}"/>
    <cellStyle name="Currency 4 4 2 2 2" xfId="918" xr:uid="{00000000-0005-0000-0000-00009A0B0000}"/>
    <cellStyle name="Currency 4 4 2 2 2 2" xfId="2344" xr:uid="{00000000-0005-0000-0000-00009B0B0000}"/>
    <cellStyle name="Currency 4 4 2 2 2 2 2" xfId="6832" xr:uid="{00000000-0005-0000-0000-00009C0B0000}"/>
    <cellStyle name="Currency 4 4 2 2 2 3" xfId="4226" xr:uid="{00000000-0005-0000-0000-00009D0B0000}"/>
    <cellStyle name="Currency 4 4 2 2 2 3 2" xfId="8692" xr:uid="{00000000-0005-0000-0000-00009E0B0000}"/>
    <cellStyle name="Currency 4 4 2 2 2 4" xfId="5438" xr:uid="{00000000-0005-0000-0000-00009F0B0000}"/>
    <cellStyle name="Currency 4 4 2 2 3" xfId="2345" xr:uid="{00000000-0005-0000-0000-0000A00B0000}"/>
    <cellStyle name="Currency 4 4 2 2 3 2" xfId="6833" xr:uid="{00000000-0005-0000-0000-0000A10B0000}"/>
    <cellStyle name="Currency 4 4 2 2 4" xfId="3477" xr:uid="{00000000-0005-0000-0000-0000A20B0000}"/>
    <cellStyle name="Currency 4 4 2 2 4 2" xfId="7943" xr:uid="{00000000-0005-0000-0000-0000A30B0000}"/>
    <cellStyle name="Currency 4 4 2 2 5" xfId="4688" xr:uid="{00000000-0005-0000-0000-0000A40B0000}"/>
    <cellStyle name="Currency 4 4 2 3" xfId="919" xr:uid="{00000000-0005-0000-0000-0000A50B0000}"/>
    <cellStyle name="Currency 4 4 2 3 2" xfId="920" xr:uid="{00000000-0005-0000-0000-0000A60B0000}"/>
    <cellStyle name="Currency 4 4 2 3 2 2" xfId="2346" xr:uid="{00000000-0005-0000-0000-0000A70B0000}"/>
    <cellStyle name="Currency 4 4 2 3 2 2 2" xfId="6834" xr:uid="{00000000-0005-0000-0000-0000A80B0000}"/>
    <cellStyle name="Currency 4 4 2 3 2 3" xfId="5744" xr:uid="{00000000-0005-0000-0000-0000A90B0000}"/>
    <cellStyle name="Currency 4 4 2 3 3" xfId="2347" xr:uid="{00000000-0005-0000-0000-0000AA0B0000}"/>
    <cellStyle name="Currency 4 4 2 3 3 2" xfId="6835" xr:uid="{00000000-0005-0000-0000-0000AB0B0000}"/>
    <cellStyle name="Currency 4 4 2 3 4" xfId="3925" xr:uid="{00000000-0005-0000-0000-0000AC0B0000}"/>
    <cellStyle name="Currency 4 4 2 3 4 2" xfId="8391" xr:uid="{00000000-0005-0000-0000-0000AD0B0000}"/>
    <cellStyle name="Currency 4 4 2 3 5" xfId="5137" xr:uid="{00000000-0005-0000-0000-0000AE0B0000}"/>
    <cellStyle name="Currency 4 4 2 4" xfId="921" xr:uid="{00000000-0005-0000-0000-0000AF0B0000}"/>
    <cellStyle name="Currency 4 4 2 4 2" xfId="2348" xr:uid="{00000000-0005-0000-0000-0000B00B0000}"/>
    <cellStyle name="Currency 4 4 2 4 2 2" xfId="6836" xr:uid="{00000000-0005-0000-0000-0000B10B0000}"/>
    <cellStyle name="Currency 4 4 2 4 3" xfId="5922" xr:uid="{00000000-0005-0000-0000-0000B20B0000}"/>
    <cellStyle name="Currency 4 4 2 5" xfId="317" xr:uid="{00000000-0005-0000-0000-0000B30B0000}"/>
    <cellStyle name="Currency 4 4 2 5 2" xfId="5868" xr:uid="{00000000-0005-0000-0000-0000B40B0000}"/>
    <cellStyle name="Currency 4 4 2 6" xfId="3476" xr:uid="{00000000-0005-0000-0000-0000B50B0000}"/>
    <cellStyle name="Currency 4 4 2 6 2" xfId="7942" xr:uid="{00000000-0005-0000-0000-0000B60B0000}"/>
    <cellStyle name="Currency 4 4 2 7" xfId="4687" xr:uid="{00000000-0005-0000-0000-0000B70B0000}"/>
    <cellStyle name="Currency 4 4 3" xfId="922" xr:uid="{00000000-0005-0000-0000-0000B80B0000}"/>
    <cellStyle name="Currency 4 4 3 2" xfId="923" xr:uid="{00000000-0005-0000-0000-0000B90B0000}"/>
    <cellStyle name="Currency 4 4 3 2 2" xfId="2349" xr:uid="{00000000-0005-0000-0000-0000BA0B0000}"/>
    <cellStyle name="Currency 4 4 3 2 2 2" xfId="6837" xr:uid="{00000000-0005-0000-0000-0000BB0B0000}"/>
    <cellStyle name="Currency 4 4 3 2 3" xfId="4227" xr:uid="{00000000-0005-0000-0000-0000BC0B0000}"/>
    <cellStyle name="Currency 4 4 3 2 3 2" xfId="8693" xr:uid="{00000000-0005-0000-0000-0000BD0B0000}"/>
    <cellStyle name="Currency 4 4 3 2 4" xfId="5439" xr:uid="{00000000-0005-0000-0000-0000BE0B0000}"/>
    <cellStyle name="Currency 4 4 3 3" xfId="2350" xr:uid="{00000000-0005-0000-0000-0000BF0B0000}"/>
    <cellStyle name="Currency 4 4 3 3 2" xfId="6838" xr:uid="{00000000-0005-0000-0000-0000C00B0000}"/>
    <cellStyle name="Currency 4 4 3 4" xfId="3478" xr:uid="{00000000-0005-0000-0000-0000C10B0000}"/>
    <cellStyle name="Currency 4 4 3 4 2" xfId="7944" xr:uid="{00000000-0005-0000-0000-0000C20B0000}"/>
    <cellStyle name="Currency 4 4 3 5" xfId="4689" xr:uid="{00000000-0005-0000-0000-0000C30B0000}"/>
    <cellStyle name="Currency 4 4 4" xfId="924" xr:uid="{00000000-0005-0000-0000-0000C40B0000}"/>
    <cellStyle name="Currency 4 4 4 2" xfId="925" xr:uid="{00000000-0005-0000-0000-0000C50B0000}"/>
    <cellStyle name="Currency 4 4 4 2 2" xfId="2351" xr:uid="{00000000-0005-0000-0000-0000C60B0000}"/>
    <cellStyle name="Currency 4 4 4 2 2 2" xfId="6839" xr:uid="{00000000-0005-0000-0000-0000C70B0000}"/>
    <cellStyle name="Currency 4 4 4 2 3" xfId="5921" xr:uid="{00000000-0005-0000-0000-0000C80B0000}"/>
    <cellStyle name="Currency 4 4 4 3" xfId="2352" xr:uid="{00000000-0005-0000-0000-0000C90B0000}"/>
    <cellStyle name="Currency 4 4 4 3 2" xfId="6840" xr:uid="{00000000-0005-0000-0000-0000CA0B0000}"/>
    <cellStyle name="Currency 4 4 4 4" xfId="3924" xr:uid="{00000000-0005-0000-0000-0000CB0B0000}"/>
    <cellStyle name="Currency 4 4 4 4 2" xfId="8390" xr:uid="{00000000-0005-0000-0000-0000CC0B0000}"/>
    <cellStyle name="Currency 4 4 4 5" xfId="5136" xr:uid="{00000000-0005-0000-0000-0000CD0B0000}"/>
    <cellStyle name="Currency 4 4 5" xfId="926" xr:uid="{00000000-0005-0000-0000-0000CE0B0000}"/>
    <cellStyle name="Currency 4 4 5 2" xfId="2353" xr:uid="{00000000-0005-0000-0000-0000CF0B0000}"/>
    <cellStyle name="Currency 4 4 5 2 2" xfId="6841" xr:uid="{00000000-0005-0000-0000-0000D00B0000}"/>
    <cellStyle name="Currency 4 4 5 3" xfId="6028" xr:uid="{00000000-0005-0000-0000-0000D10B0000}"/>
    <cellStyle name="Currency 4 4 6" xfId="316" xr:uid="{00000000-0005-0000-0000-0000D20B0000}"/>
    <cellStyle name="Currency 4 4 6 2" xfId="5869" xr:uid="{00000000-0005-0000-0000-0000D30B0000}"/>
    <cellStyle name="Currency 4 4 7" xfId="3475" xr:uid="{00000000-0005-0000-0000-0000D40B0000}"/>
    <cellStyle name="Currency 4 4 7 2" xfId="7941" xr:uid="{00000000-0005-0000-0000-0000D50B0000}"/>
    <cellStyle name="Currency 4 4 8" xfId="4686" xr:uid="{00000000-0005-0000-0000-0000D60B0000}"/>
    <cellStyle name="Currency 4 5" xfId="101" xr:uid="{00000000-0005-0000-0000-0000D70B0000}"/>
    <cellStyle name="Currency 4 5 2" xfId="927" xr:uid="{00000000-0005-0000-0000-0000D80B0000}"/>
    <cellStyle name="Currency 4 5 2 2" xfId="928" xr:uid="{00000000-0005-0000-0000-0000D90B0000}"/>
    <cellStyle name="Currency 4 5 2 2 2" xfId="929" xr:uid="{00000000-0005-0000-0000-0000DA0B0000}"/>
    <cellStyle name="Currency 4 5 2 2 2 2" xfId="2354" xr:uid="{00000000-0005-0000-0000-0000DB0B0000}"/>
    <cellStyle name="Currency 4 5 2 2 2 2 2" xfId="6842" xr:uid="{00000000-0005-0000-0000-0000DC0B0000}"/>
    <cellStyle name="Currency 4 5 2 2 2 3" xfId="4228" xr:uid="{00000000-0005-0000-0000-0000DD0B0000}"/>
    <cellStyle name="Currency 4 5 2 2 2 3 2" xfId="8694" xr:uid="{00000000-0005-0000-0000-0000DE0B0000}"/>
    <cellStyle name="Currency 4 5 2 2 2 4" xfId="5440" xr:uid="{00000000-0005-0000-0000-0000DF0B0000}"/>
    <cellStyle name="Currency 4 5 2 2 3" xfId="2355" xr:uid="{00000000-0005-0000-0000-0000E00B0000}"/>
    <cellStyle name="Currency 4 5 2 2 3 2" xfId="6843" xr:uid="{00000000-0005-0000-0000-0000E10B0000}"/>
    <cellStyle name="Currency 4 5 2 2 4" xfId="3481" xr:uid="{00000000-0005-0000-0000-0000E20B0000}"/>
    <cellStyle name="Currency 4 5 2 2 4 2" xfId="7947" xr:uid="{00000000-0005-0000-0000-0000E30B0000}"/>
    <cellStyle name="Currency 4 5 2 2 5" xfId="4692" xr:uid="{00000000-0005-0000-0000-0000E40B0000}"/>
    <cellStyle name="Currency 4 5 2 3" xfId="930" xr:uid="{00000000-0005-0000-0000-0000E50B0000}"/>
    <cellStyle name="Currency 4 5 2 3 2" xfId="931" xr:uid="{00000000-0005-0000-0000-0000E60B0000}"/>
    <cellStyle name="Currency 4 5 2 3 2 2" xfId="2356" xr:uid="{00000000-0005-0000-0000-0000E70B0000}"/>
    <cellStyle name="Currency 4 5 2 3 2 2 2" xfId="6844" xr:uid="{00000000-0005-0000-0000-0000E80B0000}"/>
    <cellStyle name="Currency 4 5 2 3 2 3" xfId="5743" xr:uid="{00000000-0005-0000-0000-0000E90B0000}"/>
    <cellStyle name="Currency 4 5 2 3 3" xfId="2357" xr:uid="{00000000-0005-0000-0000-0000EA0B0000}"/>
    <cellStyle name="Currency 4 5 2 3 3 2" xfId="6845" xr:uid="{00000000-0005-0000-0000-0000EB0B0000}"/>
    <cellStyle name="Currency 4 5 2 3 4" xfId="3927" xr:uid="{00000000-0005-0000-0000-0000EC0B0000}"/>
    <cellStyle name="Currency 4 5 2 3 4 2" xfId="8393" xr:uid="{00000000-0005-0000-0000-0000ED0B0000}"/>
    <cellStyle name="Currency 4 5 2 3 5" xfId="5139" xr:uid="{00000000-0005-0000-0000-0000EE0B0000}"/>
    <cellStyle name="Currency 4 5 2 4" xfId="932" xr:uid="{00000000-0005-0000-0000-0000EF0B0000}"/>
    <cellStyle name="Currency 4 5 2 4 2" xfId="2358" xr:uid="{00000000-0005-0000-0000-0000F00B0000}"/>
    <cellStyle name="Currency 4 5 2 4 2 2" xfId="6846" xr:uid="{00000000-0005-0000-0000-0000F10B0000}"/>
    <cellStyle name="Currency 4 5 2 4 3" xfId="5742" xr:uid="{00000000-0005-0000-0000-0000F20B0000}"/>
    <cellStyle name="Currency 4 5 2 5" xfId="2359" xr:uid="{00000000-0005-0000-0000-0000F30B0000}"/>
    <cellStyle name="Currency 4 5 2 5 2" xfId="6847" xr:uid="{00000000-0005-0000-0000-0000F40B0000}"/>
    <cellStyle name="Currency 4 5 2 6" xfId="3480" xr:uid="{00000000-0005-0000-0000-0000F50B0000}"/>
    <cellStyle name="Currency 4 5 2 6 2" xfId="7946" xr:uid="{00000000-0005-0000-0000-0000F60B0000}"/>
    <cellStyle name="Currency 4 5 2 7" xfId="4691" xr:uid="{00000000-0005-0000-0000-0000F70B0000}"/>
    <cellStyle name="Currency 4 5 3" xfId="933" xr:uid="{00000000-0005-0000-0000-0000F80B0000}"/>
    <cellStyle name="Currency 4 5 3 2" xfId="934" xr:uid="{00000000-0005-0000-0000-0000F90B0000}"/>
    <cellStyle name="Currency 4 5 3 2 2" xfId="2360" xr:uid="{00000000-0005-0000-0000-0000FA0B0000}"/>
    <cellStyle name="Currency 4 5 3 2 2 2" xfId="6848" xr:uid="{00000000-0005-0000-0000-0000FB0B0000}"/>
    <cellStyle name="Currency 4 5 3 2 3" xfId="4229" xr:uid="{00000000-0005-0000-0000-0000FC0B0000}"/>
    <cellStyle name="Currency 4 5 3 2 3 2" xfId="8695" xr:uid="{00000000-0005-0000-0000-0000FD0B0000}"/>
    <cellStyle name="Currency 4 5 3 2 4" xfId="5441" xr:uid="{00000000-0005-0000-0000-0000FE0B0000}"/>
    <cellStyle name="Currency 4 5 3 3" xfId="2361" xr:uid="{00000000-0005-0000-0000-0000FF0B0000}"/>
    <cellStyle name="Currency 4 5 3 3 2" xfId="6849" xr:uid="{00000000-0005-0000-0000-0000000C0000}"/>
    <cellStyle name="Currency 4 5 3 4" xfId="3482" xr:uid="{00000000-0005-0000-0000-0000010C0000}"/>
    <cellStyle name="Currency 4 5 3 4 2" xfId="7948" xr:uid="{00000000-0005-0000-0000-0000020C0000}"/>
    <cellStyle name="Currency 4 5 3 5" xfId="4693" xr:uid="{00000000-0005-0000-0000-0000030C0000}"/>
    <cellStyle name="Currency 4 5 4" xfId="935" xr:uid="{00000000-0005-0000-0000-0000040C0000}"/>
    <cellStyle name="Currency 4 5 4 2" xfId="936" xr:uid="{00000000-0005-0000-0000-0000050C0000}"/>
    <cellStyle name="Currency 4 5 4 2 2" xfId="2362" xr:uid="{00000000-0005-0000-0000-0000060C0000}"/>
    <cellStyle name="Currency 4 5 4 2 2 2" xfId="6850" xr:uid="{00000000-0005-0000-0000-0000070C0000}"/>
    <cellStyle name="Currency 4 5 4 2 3" xfId="6027" xr:uid="{00000000-0005-0000-0000-0000080C0000}"/>
    <cellStyle name="Currency 4 5 4 3" xfId="2363" xr:uid="{00000000-0005-0000-0000-0000090C0000}"/>
    <cellStyle name="Currency 4 5 4 3 2" xfId="6851" xr:uid="{00000000-0005-0000-0000-00000A0C0000}"/>
    <cellStyle name="Currency 4 5 4 4" xfId="3926" xr:uid="{00000000-0005-0000-0000-00000B0C0000}"/>
    <cellStyle name="Currency 4 5 4 4 2" xfId="8392" xr:uid="{00000000-0005-0000-0000-00000C0C0000}"/>
    <cellStyle name="Currency 4 5 4 5" xfId="5138" xr:uid="{00000000-0005-0000-0000-00000D0C0000}"/>
    <cellStyle name="Currency 4 5 5" xfId="937" xr:uid="{00000000-0005-0000-0000-00000E0C0000}"/>
    <cellStyle name="Currency 4 5 5 2" xfId="2364" xr:uid="{00000000-0005-0000-0000-00000F0C0000}"/>
    <cellStyle name="Currency 4 5 5 2 2" xfId="6852" xr:uid="{00000000-0005-0000-0000-0000100C0000}"/>
    <cellStyle name="Currency 4 5 5 3" xfId="6026" xr:uid="{00000000-0005-0000-0000-0000110C0000}"/>
    <cellStyle name="Currency 4 5 6" xfId="318" xr:uid="{00000000-0005-0000-0000-0000120C0000}"/>
    <cellStyle name="Currency 4 5 6 2" xfId="5980" xr:uid="{00000000-0005-0000-0000-0000130C0000}"/>
    <cellStyle name="Currency 4 5 7" xfId="3479" xr:uid="{00000000-0005-0000-0000-0000140C0000}"/>
    <cellStyle name="Currency 4 5 7 2" xfId="7945" xr:uid="{00000000-0005-0000-0000-0000150C0000}"/>
    <cellStyle name="Currency 4 5 8" xfId="4690" xr:uid="{00000000-0005-0000-0000-0000160C0000}"/>
    <cellStyle name="Currency 4 6" xfId="938" xr:uid="{00000000-0005-0000-0000-0000170C0000}"/>
    <cellStyle name="Currency 4 6 2" xfId="939" xr:uid="{00000000-0005-0000-0000-0000180C0000}"/>
    <cellStyle name="Currency 4 6 2 2" xfId="940" xr:uid="{00000000-0005-0000-0000-0000190C0000}"/>
    <cellStyle name="Currency 4 6 2 2 2" xfId="2365" xr:uid="{00000000-0005-0000-0000-00001A0C0000}"/>
    <cellStyle name="Currency 4 6 2 2 2 2" xfId="6853" xr:uid="{00000000-0005-0000-0000-00001B0C0000}"/>
    <cellStyle name="Currency 4 6 2 2 3" xfId="4230" xr:uid="{00000000-0005-0000-0000-00001C0C0000}"/>
    <cellStyle name="Currency 4 6 2 2 3 2" xfId="8696" xr:uid="{00000000-0005-0000-0000-00001D0C0000}"/>
    <cellStyle name="Currency 4 6 2 2 4" xfId="5442" xr:uid="{00000000-0005-0000-0000-00001E0C0000}"/>
    <cellStyle name="Currency 4 6 2 3" xfId="2366" xr:uid="{00000000-0005-0000-0000-00001F0C0000}"/>
    <cellStyle name="Currency 4 6 2 3 2" xfId="6854" xr:uid="{00000000-0005-0000-0000-0000200C0000}"/>
    <cellStyle name="Currency 4 6 2 4" xfId="3484" xr:uid="{00000000-0005-0000-0000-0000210C0000}"/>
    <cellStyle name="Currency 4 6 2 4 2" xfId="7950" xr:uid="{00000000-0005-0000-0000-0000220C0000}"/>
    <cellStyle name="Currency 4 6 2 5" xfId="4695" xr:uid="{00000000-0005-0000-0000-0000230C0000}"/>
    <cellStyle name="Currency 4 6 3" xfId="941" xr:uid="{00000000-0005-0000-0000-0000240C0000}"/>
    <cellStyle name="Currency 4 6 3 2" xfId="942" xr:uid="{00000000-0005-0000-0000-0000250C0000}"/>
    <cellStyle name="Currency 4 6 3 2 2" xfId="2367" xr:uid="{00000000-0005-0000-0000-0000260C0000}"/>
    <cellStyle name="Currency 4 6 3 2 2 2" xfId="6855" xr:uid="{00000000-0005-0000-0000-0000270C0000}"/>
    <cellStyle name="Currency 4 6 3 2 3" xfId="5741" xr:uid="{00000000-0005-0000-0000-0000280C0000}"/>
    <cellStyle name="Currency 4 6 3 3" xfId="2368" xr:uid="{00000000-0005-0000-0000-0000290C0000}"/>
    <cellStyle name="Currency 4 6 3 3 2" xfId="6856" xr:uid="{00000000-0005-0000-0000-00002A0C0000}"/>
    <cellStyle name="Currency 4 6 3 4" xfId="3928" xr:uid="{00000000-0005-0000-0000-00002B0C0000}"/>
    <cellStyle name="Currency 4 6 3 4 2" xfId="8394" xr:uid="{00000000-0005-0000-0000-00002C0C0000}"/>
    <cellStyle name="Currency 4 6 3 5" xfId="5140" xr:uid="{00000000-0005-0000-0000-00002D0C0000}"/>
    <cellStyle name="Currency 4 6 4" xfId="943" xr:uid="{00000000-0005-0000-0000-00002E0C0000}"/>
    <cellStyle name="Currency 4 6 4 2" xfId="2369" xr:uid="{00000000-0005-0000-0000-00002F0C0000}"/>
    <cellStyle name="Currency 4 6 4 2 2" xfId="6857" xr:uid="{00000000-0005-0000-0000-0000300C0000}"/>
    <cellStyle name="Currency 4 6 4 3" xfId="5740" xr:uid="{00000000-0005-0000-0000-0000310C0000}"/>
    <cellStyle name="Currency 4 6 5" xfId="2370" xr:uid="{00000000-0005-0000-0000-0000320C0000}"/>
    <cellStyle name="Currency 4 6 5 2" xfId="6858" xr:uid="{00000000-0005-0000-0000-0000330C0000}"/>
    <cellStyle name="Currency 4 6 6" xfId="3483" xr:uid="{00000000-0005-0000-0000-0000340C0000}"/>
    <cellStyle name="Currency 4 6 6 2" xfId="7949" xr:uid="{00000000-0005-0000-0000-0000350C0000}"/>
    <cellStyle name="Currency 4 6 7" xfId="4694" xr:uid="{00000000-0005-0000-0000-0000360C0000}"/>
    <cellStyle name="Currency 4 7" xfId="944" xr:uid="{00000000-0005-0000-0000-0000370C0000}"/>
    <cellStyle name="Currency 4 7 2" xfId="945" xr:uid="{00000000-0005-0000-0000-0000380C0000}"/>
    <cellStyle name="Currency 4 7 2 2" xfId="2371" xr:uid="{00000000-0005-0000-0000-0000390C0000}"/>
    <cellStyle name="Currency 4 7 2 2 2" xfId="6859" xr:uid="{00000000-0005-0000-0000-00003A0C0000}"/>
    <cellStyle name="Currency 4 7 2 3" xfId="4232" xr:uid="{00000000-0005-0000-0000-00003B0C0000}"/>
    <cellStyle name="Currency 4 7 2 3 2" xfId="8698" xr:uid="{00000000-0005-0000-0000-00003C0C0000}"/>
    <cellStyle name="Currency 4 7 2 4" xfId="5444" xr:uid="{00000000-0005-0000-0000-00003D0C0000}"/>
    <cellStyle name="Currency 4 7 3" xfId="2372" xr:uid="{00000000-0005-0000-0000-00003E0C0000}"/>
    <cellStyle name="Currency 4 7 3 2" xfId="4231" xr:uid="{00000000-0005-0000-0000-00003F0C0000}"/>
    <cellStyle name="Currency 4 7 3 2 2" xfId="8697" xr:uid="{00000000-0005-0000-0000-0000400C0000}"/>
    <cellStyle name="Currency 4 7 3 3" xfId="5443" xr:uid="{00000000-0005-0000-0000-0000410C0000}"/>
    <cellStyle name="Currency 4 7 4" xfId="3485" xr:uid="{00000000-0005-0000-0000-0000420C0000}"/>
    <cellStyle name="Currency 4 7 4 2" xfId="7951" xr:uid="{00000000-0005-0000-0000-0000430C0000}"/>
    <cellStyle name="Currency 4 7 5" xfId="4696" xr:uid="{00000000-0005-0000-0000-0000440C0000}"/>
    <cellStyle name="Currency 4 8" xfId="946" xr:uid="{00000000-0005-0000-0000-0000450C0000}"/>
    <cellStyle name="Currency 4 8 2" xfId="947" xr:uid="{00000000-0005-0000-0000-0000460C0000}"/>
    <cellStyle name="Currency 4 8 2 2" xfId="2373" xr:uid="{00000000-0005-0000-0000-0000470C0000}"/>
    <cellStyle name="Currency 4 8 2 2 2" xfId="6860" xr:uid="{00000000-0005-0000-0000-0000480C0000}"/>
    <cellStyle name="Currency 4 8 2 3" xfId="5919" xr:uid="{00000000-0005-0000-0000-0000490C0000}"/>
    <cellStyle name="Currency 4 8 3" xfId="2374" xr:uid="{00000000-0005-0000-0000-00004A0C0000}"/>
    <cellStyle name="Currency 4 8 3 2" xfId="6861" xr:uid="{00000000-0005-0000-0000-00004B0C0000}"/>
    <cellStyle name="Currency 4 8 4" xfId="4233" xr:uid="{00000000-0005-0000-0000-00004C0C0000}"/>
    <cellStyle name="Currency 4 8 4 2" xfId="8699" xr:uid="{00000000-0005-0000-0000-00004D0C0000}"/>
    <cellStyle name="Currency 4 8 5" xfId="5445" xr:uid="{00000000-0005-0000-0000-00004E0C0000}"/>
    <cellStyle name="Currency 4 9" xfId="948" xr:uid="{00000000-0005-0000-0000-00004F0C0000}"/>
    <cellStyle name="Currency 4 9 2" xfId="2375" xr:uid="{00000000-0005-0000-0000-0000500C0000}"/>
    <cellStyle name="Currency 4 9 2 2" xfId="6862" xr:uid="{00000000-0005-0000-0000-0000510C0000}"/>
    <cellStyle name="Currency 4 9 3" xfId="4234" xr:uid="{00000000-0005-0000-0000-0000520C0000}"/>
    <cellStyle name="Currency 4 9 3 2" xfId="8700" xr:uid="{00000000-0005-0000-0000-0000530C0000}"/>
    <cellStyle name="Currency 4 9 4" xfId="5446" xr:uid="{00000000-0005-0000-0000-0000540C0000}"/>
    <cellStyle name="Currency 5" xfId="102" xr:uid="{00000000-0005-0000-0000-0000550C0000}"/>
    <cellStyle name="Currency 5 10" xfId="4697" xr:uid="{00000000-0005-0000-0000-0000560C0000}"/>
    <cellStyle name="Currency 5 2" xfId="949" xr:uid="{00000000-0005-0000-0000-0000570C0000}"/>
    <cellStyle name="Currency 5 2 2" xfId="950" xr:uid="{00000000-0005-0000-0000-0000580C0000}"/>
    <cellStyle name="Currency 5 2 2 2" xfId="951" xr:uid="{00000000-0005-0000-0000-0000590C0000}"/>
    <cellStyle name="Currency 5 2 2 2 2" xfId="952" xr:uid="{00000000-0005-0000-0000-00005A0C0000}"/>
    <cellStyle name="Currency 5 2 2 2 2 2" xfId="2376" xr:uid="{00000000-0005-0000-0000-00005B0C0000}"/>
    <cellStyle name="Currency 5 2 2 2 2 2 2" xfId="6863" xr:uid="{00000000-0005-0000-0000-00005C0C0000}"/>
    <cellStyle name="Currency 5 2 2 2 2 3" xfId="4235" xr:uid="{00000000-0005-0000-0000-00005D0C0000}"/>
    <cellStyle name="Currency 5 2 2 2 2 3 2" xfId="8701" xr:uid="{00000000-0005-0000-0000-00005E0C0000}"/>
    <cellStyle name="Currency 5 2 2 2 2 4" xfId="5447" xr:uid="{00000000-0005-0000-0000-00005F0C0000}"/>
    <cellStyle name="Currency 5 2 2 2 3" xfId="2377" xr:uid="{00000000-0005-0000-0000-0000600C0000}"/>
    <cellStyle name="Currency 5 2 2 2 3 2" xfId="6864" xr:uid="{00000000-0005-0000-0000-0000610C0000}"/>
    <cellStyle name="Currency 5 2 2 2 4" xfId="3489" xr:uid="{00000000-0005-0000-0000-0000620C0000}"/>
    <cellStyle name="Currency 5 2 2 2 4 2" xfId="7955" xr:uid="{00000000-0005-0000-0000-0000630C0000}"/>
    <cellStyle name="Currency 5 2 2 2 5" xfId="4700" xr:uid="{00000000-0005-0000-0000-0000640C0000}"/>
    <cellStyle name="Currency 5 2 2 3" xfId="953" xr:uid="{00000000-0005-0000-0000-0000650C0000}"/>
    <cellStyle name="Currency 5 2 2 3 2" xfId="954" xr:uid="{00000000-0005-0000-0000-0000660C0000}"/>
    <cellStyle name="Currency 5 2 2 3 2 2" xfId="2378" xr:uid="{00000000-0005-0000-0000-0000670C0000}"/>
    <cellStyle name="Currency 5 2 2 3 2 2 2" xfId="6865" xr:uid="{00000000-0005-0000-0000-0000680C0000}"/>
    <cellStyle name="Currency 5 2 2 3 2 3" xfId="5739" xr:uid="{00000000-0005-0000-0000-0000690C0000}"/>
    <cellStyle name="Currency 5 2 2 3 3" xfId="2379" xr:uid="{00000000-0005-0000-0000-00006A0C0000}"/>
    <cellStyle name="Currency 5 2 2 3 3 2" xfId="6866" xr:uid="{00000000-0005-0000-0000-00006B0C0000}"/>
    <cellStyle name="Currency 5 2 2 3 4" xfId="3931" xr:uid="{00000000-0005-0000-0000-00006C0C0000}"/>
    <cellStyle name="Currency 5 2 2 3 4 2" xfId="8397" xr:uid="{00000000-0005-0000-0000-00006D0C0000}"/>
    <cellStyle name="Currency 5 2 2 3 5" xfId="5143" xr:uid="{00000000-0005-0000-0000-00006E0C0000}"/>
    <cellStyle name="Currency 5 2 2 4" xfId="955" xr:uid="{00000000-0005-0000-0000-00006F0C0000}"/>
    <cellStyle name="Currency 5 2 2 4 2" xfId="2380" xr:uid="{00000000-0005-0000-0000-0000700C0000}"/>
    <cellStyle name="Currency 5 2 2 4 2 2" xfId="6867" xr:uid="{00000000-0005-0000-0000-0000710C0000}"/>
    <cellStyle name="Currency 5 2 2 4 3" xfId="5918" xr:uid="{00000000-0005-0000-0000-0000720C0000}"/>
    <cellStyle name="Currency 5 2 2 5" xfId="2381" xr:uid="{00000000-0005-0000-0000-0000730C0000}"/>
    <cellStyle name="Currency 5 2 2 5 2" xfId="6868" xr:uid="{00000000-0005-0000-0000-0000740C0000}"/>
    <cellStyle name="Currency 5 2 2 6" xfId="3488" xr:uid="{00000000-0005-0000-0000-0000750C0000}"/>
    <cellStyle name="Currency 5 2 2 6 2" xfId="7954" xr:uid="{00000000-0005-0000-0000-0000760C0000}"/>
    <cellStyle name="Currency 5 2 2 7" xfId="4699" xr:uid="{00000000-0005-0000-0000-0000770C0000}"/>
    <cellStyle name="Currency 5 2 3" xfId="956" xr:uid="{00000000-0005-0000-0000-0000780C0000}"/>
    <cellStyle name="Currency 5 2 3 2" xfId="957" xr:uid="{00000000-0005-0000-0000-0000790C0000}"/>
    <cellStyle name="Currency 5 2 3 2 2" xfId="2382" xr:uid="{00000000-0005-0000-0000-00007A0C0000}"/>
    <cellStyle name="Currency 5 2 3 2 2 2" xfId="6869" xr:uid="{00000000-0005-0000-0000-00007B0C0000}"/>
    <cellStyle name="Currency 5 2 3 2 3" xfId="4236" xr:uid="{00000000-0005-0000-0000-00007C0C0000}"/>
    <cellStyle name="Currency 5 2 3 2 3 2" xfId="8702" xr:uid="{00000000-0005-0000-0000-00007D0C0000}"/>
    <cellStyle name="Currency 5 2 3 2 4" xfId="5448" xr:uid="{00000000-0005-0000-0000-00007E0C0000}"/>
    <cellStyle name="Currency 5 2 3 3" xfId="2383" xr:uid="{00000000-0005-0000-0000-00007F0C0000}"/>
    <cellStyle name="Currency 5 2 3 3 2" xfId="6870" xr:uid="{00000000-0005-0000-0000-0000800C0000}"/>
    <cellStyle name="Currency 5 2 3 4" xfId="3490" xr:uid="{00000000-0005-0000-0000-0000810C0000}"/>
    <cellStyle name="Currency 5 2 3 4 2" xfId="7956" xr:uid="{00000000-0005-0000-0000-0000820C0000}"/>
    <cellStyle name="Currency 5 2 3 5" xfId="4701" xr:uid="{00000000-0005-0000-0000-0000830C0000}"/>
    <cellStyle name="Currency 5 2 4" xfId="958" xr:uid="{00000000-0005-0000-0000-0000840C0000}"/>
    <cellStyle name="Currency 5 2 4 2" xfId="959" xr:uid="{00000000-0005-0000-0000-0000850C0000}"/>
    <cellStyle name="Currency 5 2 4 2 2" xfId="2384" xr:uid="{00000000-0005-0000-0000-0000860C0000}"/>
    <cellStyle name="Currency 5 2 4 2 2 2" xfId="6871" xr:uid="{00000000-0005-0000-0000-0000870C0000}"/>
    <cellStyle name="Currency 5 2 4 2 3" xfId="5738" xr:uid="{00000000-0005-0000-0000-0000880C0000}"/>
    <cellStyle name="Currency 5 2 4 3" xfId="2385" xr:uid="{00000000-0005-0000-0000-0000890C0000}"/>
    <cellStyle name="Currency 5 2 4 3 2" xfId="6872" xr:uid="{00000000-0005-0000-0000-00008A0C0000}"/>
    <cellStyle name="Currency 5 2 4 4" xfId="4237" xr:uid="{00000000-0005-0000-0000-00008B0C0000}"/>
    <cellStyle name="Currency 5 2 4 4 2" xfId="8703" xr:uid="{00000000-0005-0000-0000-00008C0C0000}"/>
    <cellStyle name="Currency 5 2 4 5" xfId="5449" xr:uid="{00000000-0005-0000-0000-00008D0C0000}"/>
    <cellStyle name="Currency 5 2 5" xfId="960" xr:uid="{00000000-0005-0000-0000-00008E0C0000}"/>
    <cellStyle name="Currency 5 2 5 2" xfId="2386" xr:uid="{00000000-0005-0000-0000-00008F0C0000}"/>
    <cellStyle name="Currency 5 2 5 2 2" xfId="6873" xr:uid="{00000000-0005-0000-0000-0000900C0000}"/>
    <cellStyle name="Currency 5 2 5 3" xfId="3930" xr:uid="{00000000-0005-0000-0000-0000910C0000}"/>
    <cellStyle name="Currency 5 2 5 3 2" xfId="8396" xr:uid="{00000000-0005-0000-0000-0000920C0000}"/>
    <cellStyle name="Currency 5 2 5 4" xfId="5142" xr:uid="{00000000-0005-0000-0000-0000930C0000}"/>
    <cellStyle name="Currency 5 2 6" xfId="2387" xr:uid="{00000000-0005-0000-0000-0000940C0000}"/>
    <cellStyle name="Currency 5 2 6 2" xfId="6874" xr:uid="{00000000-0005-0000-0000-0000950C0000}"/>
    <cellStyle name="Currency 5 2 7" xfId="3487" xr:uid="{00000000-0005-0000-0000-0000960C0000}"/>
    <cellStyle name="Currency 5 2 7 2" xfId="7953" xr:uid="{00000000-0005-0000-0000-0000970C0000}"/>
    <cellStyle name="Currency 5 2 8" xfId="4698" xr:uid="{00000000-0005-0000-0000-0000980C0000}"/>
    <cellStyle name="Currency 5 3" xfId="961" xr:uid="{00000000-0005-0000-0000-0000990C0000}"/>
    <cellStyle name="Currency 5 3 2" xfId="4239" xr:uid="{00000000-0005-0000-0000-00009A0C0000}"/>
    <cellStyle name="Currency 5 3 3" xfId="4240" xr:uid="{00000000-0005-0000-0000-00009B0C0000}"/>
    <cellStyle name="Currency 5 3 3 2" xfId="5452" xr:uid="{00000000-0005-0000-0000-00009C0C0000}"/>
    <cellStyle name="Currency 5 3 4" xfId="4238" xr:uid="{00000000-0005-0000-0000-00009D0C0000}"/>
    <cellStyle name="Currency 5 3 4 2" xfId="5450" xr:uid="{00000000-0005-0000-0000-00009E0C0000}"/>
    <cellStyle name="Currency 5 4" xfId="962" xr:uid="{00000000-0005-0000-0000-00009F0C0000}"/>
    <cellStyle name="Currency 5 4 2" xfId="963" xr:uid="{00000000-0005-0000-0000-0000A00C0000}"/>
    <cellStyle name="Currency 5 4 2 2" xfId="964" xr:uid="{00000000-0005-0000-0000-0000A10C0000}"/>
    <cellStyle name="Currency 5 4 2 2 2" xfId="2388" xr:uid="{00000000-0005-0000-0000-0000A20C0000}"/>
    <cellStyle name="Currency 5 4 2 2 2 2" xfId="6875" xr:uid="{00000000-0005-0000-0000-0000A30C0000}"/>
    <cellStyle name="Currency 5 4 2 2 3" xfId="4241" xr:uid="{00000000-0005-0000-0000-0000A40C0000}"/>
    <cellStyle name="Currency 5 4 2 2 3 2" xfId="8704" xr:uid="{00000000-0005-0000-0000-0000A50C0000}"/>
    <cellStyle name="Currency 5 4 2 2 4" xfId="5453" xr:uid="{00000000-0005-0000-0000-0000A60C0000}"/>
    <cellStyle name="Currency 5 4 2 3" xfId="2389" xr:uid="{00000000-0005-0000-0000-0000A70C0000}"/>
    <cellStyle name="Currency 5 4 2 3 2" xfId="6876" xr:uid="{00000000-0005-0000-0000-0000A80C0000}"/>
    <cellStyle name="Currency 5 4 2 4" xfId="3492" xr:uid="{00000000-0005-0000-0000-0000A90C0000}"/>
    <cellStyle name="Currency 5 4 2 4 2" xfId="7958" xr:uid="{00000000-0005-0000-0000-0000AA0C0000}"/>
    <cellStyle name="Currency 5 4 2 5" xfId="4703" xr:uid="{00000000-0005-0000-0000-0000AB0C0000}"/>
    <cellStyle name="Currency 5 4 3" xfId="965" xr:uid="{00000000-0005-0000-0000-0000AC0C0000}"/>
    <cellStyle name="Currency 5 4 3 2" xfId="966" xr:uid="{00000000-0005-0000-0000-0000AD0C0000}"/>
    <cellStyle name="Currency 5 4 3 2 2" xfId="2390" xr:uid="{00000000-0005-0000-0000-0000AE0C0000}"/>
    <cellStyle name="Currency 5 4 3 2 2 2" xfId="6877" xr:uid="{00000000-0005-0000-0000-0000AF0C0000}"/>
    <cellStyle name="Currency 5 4 3 2 3" xfId="5737" xr:uid="{00000000-0005-0000-0000-0000B00C0000}"/>
    <cellStyle name="Currency 5 4 3 3" xfId="2391" xr:uid="{00000000-0005-0000-0000-0000B10C0000}"/>
    <cellStyle name="Currency 5 4 3 3 2" xfId="6878" xr:uid="{00000000-0005-0000-0000-0000B20C0000}"/>
    <cellStyle name="Currency 5 4 3 4" xfId="3932" xr:uid="{00000000-0005-0000-0000-0000B30C0000}"/>
    <cellStyle name="Currency 5 4 3 4 2" xfId="8398" xr:uid="{00000000-0005-0000-0000-0000B40C0000}"/>
    <cellStyle name="Currency 5 4 3 5" xfId="5144" xr:uid="{00000000-0005-0000-0000-0000B50C0000}"/>
    <cellStyle name="Currency 5 4 4" xfId="967" xr:uid="{00000000-0005-0000-0000-0000B60C0000}"/>
    <cellStyle name="Currency 5 4 4 2" xfId="2392" xr:uid="{00000000-0005-0000-0000-0000B70C0000}"/>
    <cellStyle name="Currency 5 4 4 2 2" xfId="6879" xr:uid="{00000000-0005-0000-0000-0000B80C0000}"/>
    <cellStyle name="Currency 5 4 4 3" xfId="5917" xr:uid="{00000000-0005-0000-0000-0000B90C0000}"/>
    <cellStyle name="Currency 5 4 5" xfId="2393" xr:uid="{00000000-0005-0000-0000-0000BA0C0000}"/>
    <cellStyle name="Currency 5 4 5 2" xfId="6880" xr:uid="{00000000-0005-0000-0000-0000BB0C0000}"/>
    <cellStyle name="Currency 5 4 6" xfId="3491" xr:uid="{00000000-0005-0000-0000-0000BC0C0000}"/>
    <cellStyle name="Currency 5 4 6 2" xfId="7957" xr:uid="{00000000-0005-0000-0000-0000BD0C0000}"/>
    <cellStyle name="Currency 5 4 7" xfId="4702" xr:uid="{00000000-0005-0000-0000-0000BE0C0000}"/>
    <cellStyle name="Currency 5 5" xfId="968" xr:uid="{00000000-0005-0000-0000-0000BF0C0000}"/>
    <cellStyle name="Currency 5 5 2" xfId="969" xr:uid="{00000000-0005-0000-0000-0000C00C0000}"/>
    <cellStyle name="Currency 5 5 2 2" xfId="2394" xr:uid="{00000000-0005-0000-0000-0000C10C0000}"/>
    <cellStyle name="Currency 5 5 2 2 2" xfId="6881" xr:uid="{00000000-0005-0000-0000-0000C20C0000}"/>
    <cellStyle name="Currency 5 5 2 3" xfId="4243" xr:uid="{00000000-0005-0000-0000-0000C30C0000}"/>
    <cellStyle name="Currency 5 5 2 3 2" xfId="8706" xr:uid="{00000000-0005-0000-0000-0000C40C0000}"/>
    <cellStyle name="Currency 5 5 2 4" xfId="5455" xr:uid="{00000000-0005-0000-0000-0000C50C0000}"/>
    <cellStyle name="Currency 5 5 3" xfId="2395" xr:uid="{00000000-0005-0000-0000-0000C60C0000}"/>
    <cellStyle name="Currency 5 5 3 2" xfId="4242" xr:uid="{00000000-0005-0000-0000-0000C70C0000}"/>
    <cellStyle name="Currency 5 5 3 2 2" xfId="8705" xr:uid="{00000000-0005-0000-0000-0000C80C0000}"/>
    <cellStyle name="Currency 5 5 3 3" xfId="5454" xr:uid="{00000000-0005-0000-0000-0000C90C0000}"/>
    <cellStyle name="Currency 5 5 4" xfId="3493" xr:uid="{00000000-0005-0000-0000-0000CA0C0000}"/>
    <cellStyle name="Currency 5 5 4 2" xfId="7959" xr:uid="{00000000-0005-0000-0000-0000CB0C0000}"/>
    <cellStyle name="Currency 5 5 5" xfId="4704" xr:uid="{00000000-0005-0000-0000-0000CC0C0000}"/>
    <cellStyle name="Currency 5 6" xfId="970" xr:uid="{00000000-0005-0000-0000-0000CD0C0000}"/>
    <cellStyle name="Currency 5 6 2" xfId="971" xr:uid="{00000000-0005-0000-0000-0000CE0C0000}"/>
    <cellStyle name="Currency 5 6 2 2" xfId="2396" xr:uid="{00000000-0005-0000-0000-0000CF0C0000}"/>
    <cellStyle name="Currency 5 6 2 2 2" xfId="6882" xr:uid="{00000000-0005-0000-0000-0000D00C0000}"/>
    <cellStyle name="Currency 5 6 2 3" xfId="6025" xr:uid="{00000000-0005-0000-0000-0000D10C0000}"/>
    <cellStyle name="Currency 5 6 3" xfId="2397" xr:uid="{00000000-0005-0000-0000-0000D20C0000}"/>
    <cellStyle name="Currency 5 6 3 2" xfId="6883" xr:uid="{00000000-0005-0000-0000-0000D30C0000}"/>
    <cellStyle name="Currency 5 6 4" xfId="3929" xr:uid="{00000000-0005-0000-0000-0000D40C0000}"/>
    <cellStyle name="Currency 5 6 4 2" xfId="8395" xr:uid="{00000000-0005-0000-0000-0000D50C0000}"/>
    <cellStyle name="Currency 5 6 5" xfId="5141" xr:uid="{00000000-0005-0000-0000-0000D60C0000}"/>
    <cellStyle name="Currency 5 7" xfId="972" xr:uid="{00000000-0005-0000-0000-0000D70C0000}"/>
    <cellStyle name="Currency 5 7 2" xfId="2398" xr:uid="{00000000-0005-0000-0000-0000D80C0000}"/>
    <cellStyle name="Currency 5 7 2 2" xfId="6884" xr:uid="{00000000-0005-0000-0000-0000D90C0000}"/>
    <cellStyle name="Currency 5 7 3" xfId="5736" xr:uid="{00000000-0005-0000-0000-0000DA0C0000}"/>
    <cellStyle name="Currency 5 8" xfId="2399" xr:uid="{00000000-0005-0000-0000-0000DB0C0000}"/>
    <cellStyle name="Currency 5 8 2" xfId="6885" xr:uid="{00000000-0005-0000-0000-0000DC0C0000}"/>
    <cellStyle name="Currency 5 9" xfId="3486" xr:uid="{00000000-0005-0000-0000-0000DD0C0000}"/>
    <cellStyle name="Currency 5 9 2" xfId="7952" xr:uid="{00000000-0005-0000-0000-0000DE0C0000}"/>
    <cellStyle name="Currency 6" xfId="973" xr:uid="{00000000-0005-0000-0000-0000DF0C0000}"/>
    <cellStyle name="Currency 6 2" xfId="974" xr:uid="{00000000-0005-0000-0000-0000E00C0000}"/>
    <cellStyle name="Currency 6 2 2" xfId="975" xr:uid="{00000000-0005-0000-0000-0000E10C0000}"/>
    <cellStyle name="Currency 6 2 2 2" xfId="976" xr:uid="{00000000-0005-0000-0000-0000E20C0000}"/>
    <cellStyle name="Currency 6 2 2 2 2" xfId="977" xr:uid="{00000000-0005-0000-0000-0000E30C0000}"/>
    <cellStyle name="Currency 6 2 2 2 2 2" xfId="2400" xr:uid="{00000000-0005-0000-0000-0000E40C0000}"/>
    <cellStyle name="Currency 6 2 2 2 2 2 2" xfId="6886" xr:uid="{00000000-0005-0000-0000-0000E50C0000}"/>
    <cellStyle name="Currency 6 2 2 2 2 3" xfId="4244" xr:uid="{00000000-0005-0000-0000-0000E60C0000}"/>
    <cellStyle name="Currency 6 2 2 2 2 3 2" xfId="8707" xr:uid="{00000000-0005-0000-0000-0000E70C0000}"/>
    <cellStyle name="Currency 6 2 2 2 2 4" xfId="5456" xr:uid="{00000000-0005-0000-0000-0000E80C0000}"/>
    <cellStyle name="Currency 6 2 2 2 3" xfId="2401" xr:uid="{00000000-0005-0000-0000-0000E90C0000}"/>
    <cellStyle name="Currency 6 2 2 2 3 2" xfId="6887" xr:uid="{00000000-0005-0000-0000-0000EA0C0000}"/>
    <cellStyle name="Currency 6 2 2 2 4" xfId="3497" xr:uid="{00000000-0005-0000-0000-0000EB0C0000}"/>
    <cellStyle name="Currency 6 2 2 2 4 2" xfId="7963" xr:uid="{00000000-0005-0000-0000-0000EC0C0000}"/>
    <cellStyle name="Currency 6 2 2 2 5" xfId="4708" xr:uid="{00000000-0005-0000-0000-0000ED0C0000}"/>
    <cellStyle name="Currency 6 2 2 3" xfId="978" xr:uid="{00000000-0005-0000-0000-0000EE0C0000}"/>
    <cellStyle name="Currency 6 2 2 3 2" xfId="979" xr:uid="{00000000-0005-0000-0000-0000EF0C0000}"/>
    <cellStyle name="Currency 6 2 2 3 2 2" xfId="2402" xr:uid="{00000000-0005-0000-0000-0000F00C0000}"/>
    <cellStyle name="Currency 6 2 2 3 2 2 2" xfId="6888" xr:uid="{00000000-0005-0000-0000-0000F10C0000}"/>
    <cellStyle name="Currency 6 2 2 3 2 3" xfId="6023" xr:uid="{00000000-0005-0000-0000-0000F20C0000}"/>
    <cellStyle name="Currency 6 2 2 3 3" xfId="2403" xr:uid="{00000000-0005-0000-0000-0000F30C0000}"/>
    <cellStyle name="Currency 6 2 2 3 3 2" xfId="6889" xr:uid="{00000000-0005-0000-0000-0000F40C0000}"/>
    <cellStyle name="Currency 6 2 2 3 4" xfId="3935" xr:uid="{00000000-0005-0000-0000-0000F50C0000}"/>
    <cellStyle name="Currency 6 2 2 3 4 2" xfId="8401" xr:uid="{00000000-0005-0000-0000-0000F60C0000}"/>
    <cellStyle name="Currency 6 2 2 3 5" xfId="5147" xr:uid="{00000000-0005-0000-0000-0000F70C0000}"/>
    <cellStyle name="Currency 6 2 2 4" xfId="980" xr:uid="{00000000-0005-0000-0000-0000F80C0000}"/>
    <cellStyle name="Currency 6 2 2 4 2" xfId="2404" xr:uid="{00000000-0005-0000-0000-0000F90C0000}"/>
    <cellStyle name="Currency 6 2 2 4 2 2" xfId="6890" xr:uid="{00000000-0005-0000-0000-0000FA0C0000}"/>
    <cellStyle name="Currency 6 2 2 4 3" xfId="6024" xr:uid="{00000000-0005-0000-0000-0000FB0C0000}"/>
    <cellStyle name="Currency 6 2 2 5" xfId="2405" xr:uid="{00000000-0005-0000-0000-0000FC0C0000}"/>
    <cellStyle name="Currency 6 2 2 5 2" xfId="6891" xr:uid="{00000000-0005-0000-0000-0000FD0C0000}"/>
    <cellStyle name="Currency 6 2 2 6" xfId="3496" xr:uid="{00000000-0005-0000-0000-0000FE0C0000}"/>
    <cellStyle name="Currency 6 2 2 6 2" xfId="7962" xr:uid="{00000000-0005-0000-0000-0000FF0C0000}"/>
    <cellStyle name="Currency 6 2 2 7" xfId="4707" xr:uid="{00000000-0005-0000-0000-0000000D0000}"/>
    <cellStyle name="Currency 6 2 3" xfId="981" xr:uid="{00000000-0005-0000-0000-0000010D0000}"/>
    <cellStyle name="Currency 6 2 3 2" xfId="982" xr:uid="{00000000-0005-0000-0000-0000020D0000}"/>
    <cellStyle name="Currency 6 2 3 2 2" xfId="2406" xr:uid="{00000000-0005-0000-0000-0000030D0000}"/>
    <cellStyle name="Currency 6 2 3 2 2 2" xfId="6892" xr:uid="{00000000-0005-0000-0000-0000040D0000}"/>
    <cellStyle name="Currency 6 2 3 2 3" xfId="4245" xr:uid="{00000000-0005-0000-0000-0000050D0000}"/>
    <cellStyle name="Currency 6 2 3 2 3 2" xfId="8708" xr:uid="{00000000-0005-0000-0000-0000060D0000}"/>
    <cellStyle name="Currency 6 2 3 2 4" xfId="5457" xr:uid="{00000000-0005-0000-0000-0000070D0000}"/>
    <cellStyle name="Currency 6 2 3 3" xfId="2407" xr:uid="{00000000-0005-0000-0000-0000080D0000}"/>
    <cellStyle name="Currency 6 2 3 3 2" xfId="6893" xr:uid="{00000000-0005-0000-0000-0000090D0000}"/>
    <cellStyle name="Currency 6 2 3 4" xfId="3498" xr:uid="{00000000-0005-0000-0000-00000A0D0000}"/>
    <cellStyle name="Currency 6 2 3 4 2" xfId="7964" xr:uid="{00000000-0005-0000-0000-00000B0D0000}"/>
    <cellStyle name="Currency 6 2 3 5" xfId="4709" xr:uid="{00000000-0005-0000-0000-00000C0D0000}"/>
    <cellStyle name="Currency 6 2 4" xfId="983" xr:uid="{00000000-0005-0000-0000-00000D0D0000}"/>
    <cellStyle name="Currency 6 2 4 2" xfId="984" xr:uid="{00000000-0005-0000-0000-00000E0D0000}"/>
    <cellStyle name="Currency 6 2 4 2 2" xfId="2408" xr:uid="{00000000-0005-0000-0000-00000F0D0000}"/>
    <cellStyle name="Currency 6 2 4 2 2 2" xfId="6894" xr:uid="{00000000-0005-0000-0000-0000100D0000}"/>
    <cellStyle name="Currency 6 2 4 2 3" xfId="5735" xr:uid="{00000000-0005-0000-0000-0000110D0000}"/>
    <cellStyle name="Currency 6 2 4 3" xfId="2409" xr:uid="{00000000-0005-0000-0000-0000120D0000}"/>
    <cellStyle name="Currency 6 2 4 3 2" xfId="6895" xr:uid="{00000000-0005-0000-0000-0000130D0000}"/>
    <cellStyle name="Currency 6 2 4 4" xfId="4246" xr:uid="{00000000-0005-0000-0000-0000140D0000}"/>
    <cellStyle name="Currency 6 2 4 4 2" xfId="8709" xr:uid="{00000000-0005-0000-0000-0000150D0000}"/>
    <cellStyle name="Currency 6 2 4 5" xfId="5458" xr:uid="{00000000-0005-0000-0000-0000160D0000}"/>
    <cellStyle name="Currency 6 2 5" xfId="985" xr:uid="{00000000-0005-0000-0000-0000170D0000}"/>
    <cellStyle name="Currency 6 2 5 2" xfId="2410" xr:uid="{00000000-0005-0000-0000-0000180D0000}"/>
    <cellStyle name="Currency 6 2 5 2 2" xfId="6896" xr:uid="{00000000-0005-0000-0000-0000190D0000}"/>
    <cellStyle name="Currency 6 2 5 3" xfId="3934" xr:uid="{00000000-0005-0000-0000-00001A0D0000}"/>
    <cellStyle name="Currency 6 2 5 3 2" xfId="8400" xr:uid="{00000000-0005-0000-0000-00001B0D0000}"/>
    <cellStyle name="Currency 6 2 5 4" xfId="5146" xr:uid="{00000000-0005-0000-0000-00001C0D0000}"/>
    <cellStyle name="Currency 6 2 6" xfId="2411" xr:uid="{00000000-0005-0000-0000-00001D0D0000}"/>
    <cellStyle name="Currency 6 2 6 2" xfId="6897" xr:uid="{00000000-0005-0000-0000-00001E0D0000}"/>
    <cellStyle name="Currency 6 2 7" xfId="3495" xr:uid="{00000000-0005-0000-0000-00001F0D0000}"/>
    <cellStyle name="Currency 6 2 7 2" xfId="7961" xr:uid="{00000000-0005-0000-0000-0000200D0000}"/>
    <cellStyle name="Currency 6 2 8" xfId="4706" xr:uid="{00000000-0005-0000-0000-0000210D0000}"/>
    <cellStyle name="Currency 6 3" xfId="986" xr:uid="{00000000-0005-0000-0000-0000220D0000}"/>
    <cellStyle name="Currency 6 3 2" xfId="987" xr:uid="{00000000-0005-0000-0000-0000230D0000}"/>
    <cellStyle name="Currency 6 3 2 2" xfId="988" xr:uid="{00000000-0005-0000-0000-0000240D0000}"/>
    <cellStyle name="Currency 6 3 2 2 2" xfId="2412" xr:uid="{00000000-0005-0000-0000-0000250D0000}"/>
    <cellStyle name="Currency 6 3 2 2 2 2" xfId="6898" xr:uid="{00000000-0005-0000-0000-0000260D0000}"/>
    <cellStyle name="Currency 6 3 2 2 3" xfId="4247" xr:uid="{00000000-0005-0000-0000-0000270D0000}"/>
    <cellStyle name="Currency 6 3 2 2 3 2" xfId="8710" xr:uid="{00000000-0005-0000-0000-0000280D0000}"/>
    <cellStyle name="Currency 6 3 2 2 4" xfId="5459" xr:uid="{00000000-0005-0000-0000-0000290D0000}"/>
    <cellStyle name="Currency 6 3 2 3" xfId="2413" xr:uid="{00000000-0005-0000-0000-00002A0D0000}"/>
    <cellStyle name="Currency 6 3 2 3 2" xfId="6899" xr:uid="{00000000-0005-0000-0000-00002B0D0000}"/>
    <cellStyle name="Currency 6 3 2 4" xfId="3500" xr:uid="{00000000-0005-0000-0000-00002C0D0000}"/>
    <cellStyle name="Currency 6 3 2 4 2" xfId="7966" xr:uid="{00000000-0005-0000-0000-00002D0D0000}"/>
    <cellStyle name="Currency 6 3 2 5" xfId="4711" xr:uid="{00000000-0005-0000-0000-00002E0D0000}"/>
    <cellStyle name="Currency 6 3 3" xfId="989" xr:uid="{00000000-0005-0000-0000-00002F0D0000}"/>
    <cellStyle name="Currency 6 3 3 2" xfId="990" xr:uid="{00000000-0005-0000-0000-0000300D0000}"/>
    <cellStyle name="Currency 6 3 3 2 2" xfId="2414" xr:uid="{00000000-0005-0000-0000-0000310D0000}"/>
    <cellStyle name="Currency 6 3 3 2 2 2" xfId="6900" xr:uid="{00000000-0005-0000-0000-0000320D0000}"/>
    <cellStyle name="Currency 6 3 3 2 3" xfId="6022" xr:uid="{00000000-0005-0000-0000-0000330D0000}"/>
    <cellStyle name="Currency 6 3 3 3" xfId="2415" xr:uid="{00000000-0005-0000-0000-0000340D0000}"/>
    <cellStyle name="Currency 6 3 3 3 2" xfId="6901" xr:uid="{00000000-0005-0000-0000-0000350D0000}"/>
    <cellStyle name="Currency 6 3 3 4" xfId="3936" xr:uid="{00000000-0005-0000-0000-0000360D0000}"/>
    <cellStyle name="Currency 6 3 3 4 2" xfId="8402" xr:uid="{00000000-0005-0000-0000-0000370D0000}"/>
    <cellStyle name="Currency 6 3 3 5" xfId="5148" xr:uid="{00000000-0005-0000-0000-0000380D0000}"/>
    <cellStyle name="Currency 6 3 4" xfId="991" xr:uid="{00000000-0005-0000-0000-0000390D0000}"/>
    <cellStyle name="Currency 6 3 4 2" xfId="2416" xr:uid="{00000000-0005-0000-0000-00003A0D0000}"/>
    <cellStyle name="Currency 6 3 4 2 2" xfId="6902" xr:uid="{00000000-0005-0000-0000-00003B0D0000}"/>
    <cellStyle name="Currency 6 3 4 3" xfId="5734" xr:uid="{00000000-0005-0000-0000-00003C0D0000}"/>
    <cellStyle name="Currency 6 3 5" xfId="2417" xr:uid="{00000000-0005-0000-0000-00003D0D0000}"/>
    <cellStyle name="Currency 6 3 5 2" xfId="6903" xr:uid="{00000000-0005-0000-0000-00003E0D0000}"/>
    <cellStyle name="Currency 6 3 6" xfId="3499" xr:uid="{00000000-0005-0000-0000-00003F0D0000}"/>
    <cellStyle name="Currency 6 3 6 2" xfId="7965" xr:uid="{00000000-0005-0000-0000-0000400D0000}"/>
    <cellStyle name="Currency 6 3 7" xfId="4710" xr:uid="{00000000-0005-0000-0000-0000410D0000}"/>
    <cellStyle name="Currency 6 4" xfId="992" xr:uid="{00000000-0005-0000-0000-0000420D0000}"/>
    <cellStyle name="Currency 6 4 2" xfId="993" xr:uid="{00000000-0005-0000-0000-0000430D0000}"/>
    <cellStyle name="Currency 6 4 2 2" xfId="2418" xr:uid="{00000000-0005-0000-0000-0000440D0000}"/>
    <cellStyle name="Currency 6 4 2 2 2" xfId="6904" xr:uid="{00000000-0005-0000-0000-0000450D0000}"/>
    <cellStyle name="Currency 6 4 2 3" xfId="4248" xr:uid="{00000000-0005-0000-0000-0000460D0000}"/>
    <cellStyle name="Currency 6 4 2 3 2" xfId="8711" xr:uid="{00000000-0005-0000-0000-0000470D0000}"/>
    <cellStyle name="Currency 6 4 2 4" xfId="5460" xr:uid="{00000000-0005-0000-0000-0000480D0000}"/>
    <cellStyle name="Currency 6 4 3" xfId="2419" xr:uid="{00000000-0005-0000-0000-0000490D0000}"/>
    <cellStyle name="Currency 6 4 3 2" xfId="6905" xr:uid="{00000000-0005-0000-0000-00004A0D0000}"/>
    <cellStyle name="Currency 6 4 4" xfId="3501" xr:uid="{00000000-0005-0000-0000-00004B0D0000}"/>
    <cellStyle name="Currency 6 4 4 2" xfId="7967" xr:uid="{00000000-0005-0000-0000-00004C0D0000}"/>
    <cellStyle name="Currency 6 4 5" xfId="4712" xr:uid="{00000000-0005-0000-0000-00004D0D0000}"/>
    <cellStyle name="Currency 6 5" xfId="994" xr:uid="{00000000-0005-0000-0000-00004E0D0000}"/>
    <cellStyle name="Currency 6 5 2" xfId="995" xr:uid="{00000000-0005-0000-0000-00004F0D0000}"/>
    <cellStyle name="Currency 6 5 2 2" xfId="2420" xr:uid="{00000000-0005-0000-0000-0000500D0000}"/>
    <cellStyle name="Currency 6 5 2 2 2" xfId="6906" xr:uid="{00000000-0005-0000-0000-0000510D0000}"/>
    <cellStyle name="Currency 6 5 2 3" xfId="6021" xr:uid="{00000000-0005-0000-0000-0000520D0000}"/>
    <cellStyle name="Currency 6 5 3" xfId="2421" xr:uid="{00000000-0005-0000-0000-0000530D0000}"/>
    <cellStyle name="Currency 6 5 3 2" xfId="6907" xr:uid="{00000000-0005-0000-0000-0000540D0000}"/>
    <cellStyle name="Currency 6 5 4" xfId="4249" xr:uid="{00000000-0005-0000-0000-0000550D0000}"/>
    <cellStyle name="Currency 6 5 4 2" xfId="8712" xr:uid="{00000000-0005-0000-0000-0000560D0000}"/>
    <cellStyle name="Currency 6 5 5" xfId="5461" xr:uid="{00000000-0005-0000-0000-0000570D0000}"/>
    <cellStyle name="Currency 6 6" xfId="996" xr:uid="{00000000-0005-0000-0000-0000580D0000}"/>
    <cellStyle name="Currency 6 6 2" xfId="2422" xr:uid="{00000000-0005-0000-0000-0000590D0000}"/>
    <cellStyle name="Currency 6 6 2 2" xfId="6908" xr:uid="{00000000-0005-0000-0000-00005A0D0000}"/>
    <cellStyle name="Currency 6 6 3" xfId="3933" xr:uid="{00000000-0005-0000-0000-00005B0D0000}"/>
    <cellStyle name="Currency 6 6 3 2" xfId="8399" xr:uid="{00000000-0005-0000-0000-00005C0D0000}"/>
    <cellStyle name="Currency 6 6 4" xfId="5145" xr:uid="{00000000-0005-0000-0000-00005D0D0000}"/>
    <cellStyle name="Currency 6 7" xfId="2423" xr:uid="{00000000-0005-0000-0000-00005E0D0000}"/>
    <cellStyle name="Currency 6 7 2" xfId="6909" xr:uid="{00000000-0005-0000-0000-00005F0D0000}"/>
    <cellStyle name="Currency 6 8" xfId="3494" xr:uid="{00000000-0005-0000-0000-0000600D0000}"/>
    <cellStyle name="Currency 6 8 2" xfId="7960" xr:uid="{00000000-0005-0000-0000-0000610D0000}"/>
    <cellStyle name="Currency 6 9" xfId="4705" xr:uid="{00000000-0005-0000-0000-0000620D0000}"/>
    <cellStyle name="Currency 7" xfId="997" xr:uid="{00000000-0005-0000-0000-0000630D0000}"/>
    <cellStyle name="Currency 8" xfId="998" xr:uid="{00000000-0005-0000-0000-0000640D0000}"/>
    <cellStyle name="Currency 9" xfId="452" xr:uid="{00000000-0005-0000-0000-0000650D0000}"/>
    <cellStyle name="Hyperlink" xfId="2" builtinId="8"/>
    <cellStyle name="Hyperlink 2" xfId="15" xr:uid="{00000000-0005-0000-0000-0000670D0000}"/>
    <cellStyle name="Hyperlink 3" xfId="4489" xr:uid="{00000000-0005-0000-0000-0000680D0000}"/>
    <cellStyle name="Normal" xfId="0" builtinId="0"/>
    <cellStyle name="Normal 10" xfId="20" xr:uid="{00000000-0005-0000-0000-00006A0D0000}"/>
    <cellStyle name="Normal 10 2" xfId="231" xr:uid="{00000000-0005-0000-0000-00006B0D0000}"/>
    <cellStyle name="Normal 10 2 2" xfId="447" xr:uid="{00000000-0005-0000-0000-00006C0D0000}"/>
    <cellStyle name="Normal 10 2 2 2" xfId="6077" xr:uid="{00000000-0005-0000-0000-00006D0D0000}"/>
    <cellStyle name="Normal 10 2 3" xfId="5897" xr:uid="{00000000-0005-0000-0000-00006E0D0000}"/>
    <cellStyle name="Normal 10 3" xfId="449" xr:uid="{00000000-0005-0000-0000-00006F0D0000}"/>
    <cellStyle name="Normal 10 4" xfId="238" xr:uid="{00000000-0005-0000-0000-0000700D0000}"/>
    <cellStyle name="Normal 10 4 2" xfId="6138" xr:uid="{00000000-0005-0000-0000-0000710D0000}"/>
    <cellStyle name="Normal 10 5" xfId="6141" xr:uid="{00000000-0005-0000-0000-0000720D0000}"/>
    <cellStyle name="Normal 11" xfId="451" xr:uid="{00000000-0005-0000-0000-0000730D0000}"/>
    <cellStyle name="Normal 11 2" xfId="999" xr:uid="{00000000-0005-0000-0000-0000740D0000}"/>
    <cellStyle name="Normal 12" xfId="450" xr:uid="{00000000-0005-0000-0000-0000750D0000}"/>
    <cellStyle name="Normal 12 2" xfId="1000" xr:uid="{00000000-0005-0000-0000-0000760D0000}"/>
    <cellStyle name="Normal 2" xfId="3" xr:uid="{00000000-0005-0000-0000-0000770D0000}"/>
    <cellStyle name="Normal 2 2" xfId="3288" xr:uid="{00000000-0005-0000-0000-0000780D0000}"/>
    <cellStyle name="Normal 3" xfId="4" xr:uid="{00000000-0005-0000-0000-0000790D0000}"/>
    <cellStyle name="Normal 3 10" xfId="1001" xr:uid="{00000000-0005-0000-0000-00007A0D0000}"/>
    <cellStyle name="Normal 3 10 2" xfId="2424" xr:uid="{00000000-0005-0000-0000-00007B0D0000}"/>
    <cellStyle name="Normal 3 10 2 2" xfId="6910" xr:uid="{00000000-0005-0000-0000-00007C0D0000}"/>
    <cellStyle name="Normal 3 10 3" xfId="4250" xr:uid="{00000000-0005-0000-0000-00007D0D0000}"/>
    <cellStyle name="Normal 3 10 3 2" xfId="8713" xr:uid="{00000000-0005-0000-0000-00007E0D0000}"/>
    <cellStyle name="Normal 3 10 4" xfId="5462" xr:uid="{00000000-0005-0000-0000-00007F0D0000}"/>
    <cellStyle name="Normal 3 11" xfId="1002" xr:uid="{00000000-0005-0000-0000-0000800D0000}"/>
    <cellStyle name="Normal 3 11 2" xfId="3828" xr:uid="{00000000-0005-0000-0000-0000810D0000}"/>
    <cellStyle name="Normal 3 11 2 2" xfId="8294" xr:uid="{00000000-0005-0000-0000-0000820D0000}"/>
    <cellStyle name="Normal 3 11 3" xfId="5040" xr:uid="{00000000-0005-0000-0000-0000830D0000}"/>
    <cellStyle name="Normal 3 12" xfId="1866" xr:uid="{00000000-0005-0000-0000-0000840D0000}"/>
    <cellStyle name="Normal 3 12 2" xfId="4478" xr:uid="{00000000-0005-0000-0000-0000850D0000}"/>
    <cellStyle name="Normal 3 12 2 2" xfId="8940" xr:uid="{00000000-0005-0000-0000-0000860D0000}"/>
    <cellStyle name="Normal 3 12 3" xfId="5689" xr:uid="{00000000-0005-0000-0000-0000870D0000}"/>
    <cellStyle name="Normal 3 13" xfId="232" xr:uid="{00000000-0005-0000-0000-0000880D0000}"/>
    <cellStyle name="Normal 3 13 2" xfId="5896" xr:uid="{00000000-0005-0000-0000-0000890D0000}"/>
    <cellStyle name="Normal 3 14" xfId="3289" xr:uid="{00000000-0005-0000-0000-00008A0D0000}"/>
    <cellStyle name="Normal 3 14 2" xfId="7755" xr:uid="{00000000-0005-0000-0000-00008B0D0000}"/>
    <cellStyle name="Normal 3 15" xfId="4495" xr:uid="{00000000-0005-0000-0000-00008C0D0000}"/>
    <cellStyle name="Normal 3 2" xfId="14" xr:uid="{00000000-0005-0000-0000-00008D0D0000}"/>
    <cellStyle name="Normal 3 2 10" xfId="1867" xr:uid="{00000000-0005-0000-0000-00008E0D0000}"/>
    <cellStyle name="Normal 3 2 10 2" xfId="3829" xr:uid="{00000000-0005-0000-0000-00008F0D0000}"/>
    <cellStyle name="Normal 3 2 10 2 2" xfId="8295" xr:uid="{00000000-0005-0000-0000-0000900D0000}"/>
    <cellStyle name="Normal 3 2 10 3" xfId="5041" xr:uid="{00000000-0005-0000-0000-0000910D0000}"/>
    <cellStyle name="Normal 3 2 11" xfId="233" xr:uid="{00000000-0005-0000-0000-0000920D0000}"/>
    <cellStyle name="Normal 3 2 11 2" xfId="4479" xr:uid="{00000000-0005-0000-0000-0000930D0000}"/>
    <cellStyle name="Normal 3 2 11 2 2" xfId="8941" xr:uid="{00000000-0005-0000-0000-0000940D0000}"/>
    <cellStyle name="Normal 3 2 11 3" xfId="5690" xr:uid="{00000000-0005-0000-0000-0000950D0000}"/>
    <cellStyle name="Normal 3 2 12" xfId="3290" xr:uid="{00000000-0005-0000-0000-0000960D0000}"/>
    <cellStyle name="Normal 3 2 12 2" xfId="7756" xr:uid="{00000000-0005-0000-0000-0000970D0000}"/>
    <cellStyle name="Normal 3 2 13" xfId="4498" xr:uid="{00000000-0005-0000-0000-0000980D0000}"/>
    <cellStyle name="Normal 3 2 2" xfId="18" xr:uid="{00000000-0005-0000-0000-0000990D0000}"/>
    <cellStyle name="Normal 3 2 2 10" xfId="3293" xr:uid="{00000000-0005-0000-0000-00009A0D0000}"/>
    <cellStyle name="Normal 3 2 2 10 2" xfId="7759" xr:uid="{00000000-0005-0000-0000-00009B0D0000}"/>
    <cellStyle name="Normal 3 2 2 11" xfId="4502" xr:uid="{00000000-0005-0000-0000-00009C0D0000}"/>
    <cellStyle name="Normal 3 2 2 2" xfId="103" xr:uid="{00000000-0005-0000-0000-00009D0D0000}"/>
    <cellStyle name="Normal 3 2 2 2 2" xfId="104" xr:uid="{00000000-0005-0000-0000-00009E0D0000}"/>
    <cellStyle name="Normal 3 2 2 2 2 2" xfId="105" xr:uid="{00000000-0005-0000-0000-00009F0D0000}"/>
    <cellStyle name="Normal 3 2 2 2 2 2 2" xfId="1003" xr:uid="{00000000-0005-0000-0000-0000A00D0000}"/>
    <cellStyle name="Normal 3 2 2 2 2 2 2 2" xfId="1004" xr:uid="{00000000-0005-0000-0000-0000A10D0000}"/>
    <cellStyle name="Normal 3 2 2 2 2 2 2 2 2" xfId="2425" xr:uid="{00000000-0005-0000-0000-0000A20D0000}"/>
    <cellStyle name="Normal 3 2 2 2 2 2 2 2 2 2" xfId="6911" xr:uid="{00000000-0005-0000-0000-0000A30D0000}"/>
    <cellStyle name="Normal 3 2 2 2 2 2 2 2 3" xfId="4251" xr:uid="{00000000-0005-0000-0000-0000A40D0000}"/>
    <cellStyle name="Normal 3 2 2 2 2 2 2 2 3 2" xfId="8714" xr:uid="{00000000-0005-0000-0000-0000A50D0000}"/>
    <cellStyle name="Normal 3 2 2 2 2 2 2 2 4" xfId="5463" xr:uid="{00000000-0005-0000-0000-0000A60D0000}"/>
    <cellStyle name="Normal 3 2 2 2 2 2 2 3" xfId="2426" xr:uid="{00000000-0005-0000-0000-0000A70D0000}"/>
    <cellStyle name="Normal 3 2 2 2 2 2 2 3 2" xfId="6912" xr:uid="{00000000-0005-0000-0000-0000A80D0000}"/>
    <cellStyle name="Normal 3 2 2 2 2 2 2 4" xfId="3505" xr:uid="{00000000-0005-0000-0000-0000A90D0000}"/>
    <cellStyle name="Normal 3 2 2 2 2 2 2 4 2" xfId="7971" xr:uid="{00000000-0005-0000-0000-0000AA0D0000}"/>
    <cellStyle name="Normal 3 2 2 2 2 2 2 5" xfId="4717" xr:uid="{00000000-0005-0000-0000-0000AB0D0000}"/>
    <cellStyle name="Normal 3 2 2 2 2 2 3" xfId="1005" xr:uid="{00000000-0005-0000-0000-0000AC0D0000}"/>
    <cellStyle name="Normal 3 2 2 2 2 2 3 2" xfId="1006" xr:uid="{00000000-0005-0000-0000-0000AD0D0000}"/>
    <cellStyle name="Normal 3 2 2 2 2 2 3 2 2" xfId="2427" xr:uid="{00000000-0005-0000-0000-0000AE0D0000}"/>
    <cellStyle name="Normal 3 2 2 2 2 2 3 2 2 2" xfId="6913" xr:uid="{00000000-0005-0000-0000-0000AF0D0000}"/>
    <cellStyle name="Normal 3 2 2 2 2 2 3 2 3" xfId="6020" xr:uid="{00000000-0005-0000-0000-0000B00D0000}"/>
    <cellStyle name="Normal 3 2 2 2 2 2 3 3" xfId="2428" xr:uid="{00000000-0005-0000-0000-0000B10D0000}"/>
    <cellStyle name="Normal 3 2 2 2 2 2 3 3 2" xfId="6914" xr:uid="{00000000-0005-0000-0000-0000B20D0000}"/>
    <cellStyle name="Normal 3 2 2 2 2 2 3 4" xfId="3939" xr:uid="{00000000-0005-0000-0000-0000B30D0000}"/>
    <cellStyle name="Normal 3 2 2 2 2 2 3 4 2" xfId="8405" xr:uid="{00000000-0005-0000-0000-0000B40D0000}"/>
    <cellStyle name="Normal 3 2 2 2 2 2 3 5" xfId="5151" xr:uid="{00000000-0005-0000-0000-0000B50D0000}"/>
    <cellStyle name="Normal 3 2 2 2 2 2 4" xfId="1007" xr:uid="{00000000-0005-0000-0000-0000B60D0000}"/>
    <cellStyle name="Normal 3 2 2 2 2 2 4 2" xfId="2429" xr:uid="{00000000-0005-0000-0000-0000B70D0000}"/>
    <cellStyle name="Normal 3 2 2 2 2 2 4 2 2" xfId="6915" xr:uid="{00000000-0005-0000-0000-0000B80D0000}"/>
    <cellStyle name="Normal 3 2 2 2 2 2 4 3" xfId="5733" xr:uid="{00000000-0005-0000-0000-0000B90D0000}"/>
    <cellStyle name="Normal 3 2 2 2 2 2 5" xfId="321" xr:uid="{00000000-0005-0000-0000-0000BA0D0000}"/>
    <cellStyle name="Normal 3 2 2 2 2 2 5 2" xfId="5981" xr:uid="{00000000-0005-0000-0000-0000BB0D0000}"/>
    <cellStyle name="Normal 3 2 2 2 2 2 6" xfId="3504" xr:uid="{00000000-0005-0000-0000-0000BC0D0000}"/>
    <cellStyle name="Normal 3 2 2 2 2 2 6 2" xfId="7970" xr:uid="{00000000-0005-0000-0000-0000BD0D0000}"/>
    <cellStyle name="Normal 3 2 2 2 2 2 7" xfId="4716" xr:uid="{00000000-0005-0000-0000-0000BE0D0000}"/>
    <cellStyle name="Normal 3 2 2 2 2 3" xfId="1008" xr:uid="{00000000-0005-0000-0000-0000BF0D0000}"/>
    <cellStyle name="Normal 3 2 2 2 2 3 2" xfId="1009" xr:uid="{00000000-0005-0000-0000-0000C00D0000}"/>
    <cellStyle name="Normal 3 2 2 2 2 3 2 2" xfId="2430" xr:uid="{00000000-0005-0000-0000-0000C10D0000}"/>
    <cellStyle name="Normal 3 2 2 2 2 3 2 2 2" xfId="6916" xr:uid="{00000000-0005-0000-0000-0000C20D0000}"/>
    <cellStyle name="Normal 3 2 2 2 2 3 2 3" xfId="4252" xr:uid="{00000000-0005-0000-0000-0000C30D0000}"/>
    <cellStyle name="Normal 3 2 2 2 2 3 2 3 2" xfId="8715" xr:uid="{00000000-0005-0000-0000-0000C40D0000}"/>
    <cellStyle name="Normal 3 2 2 2 2 3 2 4" xfId="5464" xr:uid="{00000000-0005-0000-0000-0000C50D0000}"/>
    <cellStyle name="Normal 3 2 2 2 2 3 3" xfId="2431" xr:uid="{00000000-0005-0000-0000-0000C60D0000}"/>
    <cellStyle name="Normal 3 2 2 2 2 3 3 2" xfId="6917" xr:uid="{00000000-0005-0000-0000-0000C70D0000}"/>
    <cellStyle name="Normal 3 2 2 2 2 3 4" xfId="3506" xr:uid="{00000000-0005-0000-0000-0000C80D0000}"/>
    <cellStyle name="Normal 3 2 2 2 2 3 4 2" xfId="7972" xr:uid="{00000000-0005-0000-0000-0000C90D0000}"/>
    <cellStyle name="Normal 3 2 2 2 2 3 5" xfId="4718" xr:uid="{00000000-0005-0000-0000-0000CA0D0000}"/>
    <cellStyle name="Normal 3 2 2 2 2 4" xfId="1010" xr:uid="{00000000-0005-0000-0000-0000CB0D0000}"/>
    <cellStyle name="Normal 3 2 2 2 2 4 2" xfId="1011" xr:uid="{00000000-0005-0000-0000-0000CC0D0000}"/>
    <cellStyle name="Normal 3 2 2 2 2 4 2 2" xfId="2432" xr:uid="{00000000-0005-0000-0000-0000CD0D0000}"/>
    <cellStyle name="Normal 3 2 2 2 2 4 2 2 2" xfId="6918" xr:uid="{00000000-0005-0000-0000-0000CE0D0000}"/>
    <cellStyle name="Normal 3 2 2 2 2 4 2 3" xfId="5732" xr:uid="{00000000-0005-0000-0000-0000CF0D0000}"/>
    <cellStyle name="Normal 3 2 2 2 2 4 3" xfId="2433" xr:uid="{00000000-0005-0000-0000-0000D00D0000}"/>
    <cellStyle name="Normal 3 2 2 2 2 4 3 2" xfId="6919" xr:uid="{00000000-0005-0000-0000-0000D10D0000}"/>
    <cellStyle name="Normal 3 2 2 2 2 4 4" xfId="3938" xr:uid="{00000000-0005-0000-0000-0000D20D0000}"/>
    <cellStyle name="Normal 3 2 2 2 2 4 4 2" xfId="8404" xr:uid="{00000000-0005-0000-0000-0000D30D0000}"/>
    <cellStyle name="Normal 3 2 2 2 2 4 5" xfId="5150" xr:uid="{00000000-0005-0000-0000-0000D40D0000}"/>
    <cellStyle name="Normal 3 2 2 2 2 5" xfId="1012" xr:uid="{00000000-0005-0000-0000-0000D50D0000}"/>
    <cellStyle name="Normal 3 2 2 2 2 5 2" xfId="2434" xr:uid="{00000000-0005-0000-0000-0000D60D0000}"/>
    <cellStyle name="Normal 3 2 2 2 2 5 2 2" xfId="6920" xr:uid="{00000000-0005-0000-0000-0000D70D0000}"/>
    <cellStyle name="Normal 3 2 2 2 2 5 3" xfId="5916" xr:uid="{00000000-0005-0000-0000-0000D80D0000}"/>
    <cellStyle name="Normal 3 2 2 2 2 6" xfId="320" xr:uid="{00000000-0005-0000-0000-0000D90D0000}"/>
    <cellStyle name="Normal 3 2 2 2 2 6 2" xfId="5867" xr:uid="{00000000-0005-0000-0000-0000DA0D0000}"/>
    <cellStyle name="Normal 3 2 2 2 2 7" xfId="3503" xr:uid="{00000000-0005-0000-0000-0000DB0D0000}"/>
    <cellStyle name="Normal 3 2 2 2 2 7 2" xfId="7969" xr:uid="{00000000-0005-0000-0000-0000DC0D0000}"/>
    <cellStyle name="Normal 3 2 2 2 2 8" xfId="4715" xr:uid="{00000000-0005-0000-0000-0000DD0D0000}"/>
    <cellStyle name="Normal 3 2 2 2 3" xfId="106" xr:uid="{00000000-0005-0000-0000-0000DE0D0000}"/>
    <cellStyle name="Normal 3 2 2 2 3 2" xfId="1013" xr:uid="{00000000-0005-0000-0000-0000DF0D0000}"/>
    <cellStyle name="Normal 3 2 2 2 3 2 2" xfId="1014" xr:uid="{00000000-0005-0000-0000-0000E00D0000}"/>
    <cellStyle name="Normal 3 2 2 2 3 2 2 2" xfId="2435" xr:uid="{00000000-0005-0000-0000-0000E10D0000}"/>
    <cellStyle name="Normal 3 2 2 2 3 2 2 2 2" xfId="6921" xr:uid="{00000000-0005-0000-0000-0000E20D0000}"/>
    <cellStyle name="Normal 3 2 2 2 3 2 2 3" xfId="4253" xr:uid="{00000000-0005-0000-0000-0000E30D0000}"/>
    <cellStyle name="Normal 3 2 2 2 3 2 2 3 2" xfId="8716" xr:uid="{00000000-0005-0000-0000-0000E40D0000}"/>
    <cellStyle name="Normal 3 2 2 2 3 2 2 4" xfId="5465" xr:uid="{00000000-0005-0000-0000-0000E50D0000}"/>
    <cellStyle name="Normal 3 2 2 2 3 2 3" xfId="2436" xr:uid="{00000000-0005-0000-0000-0000E60D0000}"/>
    <cellStyle name="Normal 3 2 2 2 3 2 3 2" xfId="6922" xr:uid="{00000000-0005-0000-0000-0000E70D0000}"/>
    <cellStyle name="Normal 3 2 2 2 3 2 4" xfId="3508" xr:uid="{00000000-0005-0000-0000-0000E80D0000}"/>
    <cellStyle name="Normal 3 2 2 2 3 2 4 2" xfId="7974" xr:uid="{00000000-0005-0000-0000-0000E90D0000}"/>
    <cellStyle name="Normal 3 2 2 2 3 2 5" xfId="4720" xr:uid="{00000000-0005-0000-0000-0000EA0D0000}"/>
    <cellStyle name="Normal 3 2 2 2 3 3" xfId="1015" xr:uid="{00000000-0005-0000-0000-0000EB0D0000}"/>
    <cellStyle name="Normal 3 2 2 2 3 3 2" xfId="1016" xr:uid="{00000000-0005-0000-0000-0000EC0D0000}"/>
    <cellStyle name="Normal 3 2 2 2 3 3 2 2" xfId="2437" xr:uid="{00000000-0005-0000-0000-0000ED0D0000}"/>
    <cellStyle name="Normal 3 2 2 2 3 3 2 2 2" xfId="6923" xr:uid="{00000000-0005-0000-0000-0000EE0D0000}"/>
    <cellStyle name="Normal 3 2 2 2 3 3 2 3" xfId="5731" xr:uid="{00000000-0005-0000-0000-0000EF0D0000}"/>
    <cellStyle name="Normal 3 2 2 2 3 3 3" xfId="2438" xr:uid="{00000000-0005-0000-0000-0000F00D0000}"/>
    <cellStyle name="Normal 3 2 2 2 3 3 3 2" xfId="6924" xr:uid="{00000000-0005-0000-0000-0000F10D0000}"/>
    <cellStyle name="Normal 3 2 2 2 3 3 4" xfId="3940" xr:uid="{00000000-0005-0000-0000-0000F20D0000}"/>
    <cellStyle name="Normal 3 2 2 2 3 3 4 2" xfId="8406" xr:uid="{00000000-0005-0000-0000-0000F30D0000}"/>
    <cellStyle name="Normal 3 2 2 2 3 3 5" xfId="5152" xr:uid="{00000000-0005-0000-0000-0000F40D0000}"/>
    <cellStyle name="Normal 3 2 2 2 3 4" xfId="1017" xr:uid="{00000000-0005-0000-0000-0000F50D0000}"/>
    <cellStyle name="Normal 3 2 2 2 3 4 2" xfId="2439" xr:uid="{00000000-0005-0000-0000-0000F60D0000}"/>
    <cellStyle name="Normal 3 2 2 2 3 4 2 2" xfId="6925" xr:uid="{00000000-0005-0000-0000-0000F70D0000}"/>
    <cellStyle name="Normal 3 2 2 2 3 4 3" xfId="5730" xr:uid="{00000000-0005-0000-0000-0000F80D0000}"/>
    <cellStyle name="Normal 3 2 2 2 3 5" xfId="322" xr:uid="{00000000-0005-0000-0000-0000F90D0000}"/>
    <cellStyle name="Normal 3 2 2 2 3 5 2" xfId="6117" xr:uid="{00000000-0005-0000-0000-0000FA0D0000}"/>
    <cellStyle name="Normal 3 2 2 2 3 6" xfId="3507" xr:uid="{00000000-0005-0000-0000-0000FB0D0000}"/>
    <cellStyle name="Normal 3 2 2 2 3 6 2" xfId="7973" xr:uid="{00000000-0005-0000-0000-0000FC0D0000}"/>
    <cellStyle name="Normal 3 2 2 2 3 7" xfId="4719" xr:uid="{00000000-0005-0000-0000-0000FD0D0000}"/>
    <cellStyle name="Normal 3 2 2 2 4" xfId="1018" xr:uid="{00000000-0005-0000-0000-0000FE0D0000}"/>
    <cellStyle name="Normal 3 2 2 2 4 2" xfId="1019" xr:uid="{00000000-0005-0000-0000-0000FF0D0000}"/>
    <cellStyle name="Normal 3 2 2 2 4 2 2" xfId="2440" xr:uid="{00000000-0005-0000-0000-0000000E0000}"/>
    <cellStyle name="Normal 3 2 2 2 4 2 2 2" xfId="6926" xr:uid="{00000000-0005-0000-0000-0000010E0000}"/>
    <cellStyle name="Normal 3 2 2 2 4 2 3" xfId="4254" xr:uid="{00000000-0005-0000-0000-0000020E0000}"/>
    <cellStyle name="Normal 3 2 2 2 4 2 3 2" xfId="8717" xr:uid="{00000000-0005-0000-0000-0000030E0000}"/>
    <cellStyle name="Normal 3 2 2 2 4 2 4" xfId="5466" xr:uid="{00000000-0005-0000-0000-0000040E0000}"/>
    <cellStyle name="Normal 3 2 2 2 4 3" xfId="2441" xr:uid="{00000000-0005-0000-0000-0000050E0000}"/>
    <cellStyle name="Normal 3 2 2 2 4 3 2" xfId="6927" xr:uid="{00000000-0005-0000-0000-0000060E0000}"/>
    <cellStyle name="Normal 3 2 2 2 4 4" xfId="3509" xr:uid="{00000000-0005-0000-0000-0000070E0000}"/>
    <cellStyle name="Normal 3 2 2 2 4 4 2" xfId="7975" xr:uid="{00000000-0005-0000-0000-0000080E0000}"/>
    <cellStyle name="Normal 3 2 2 2 4 5" xfId="4721" xr:uid="{00000000-0005-0000-0000-0000090E0000}"/>
    <cellStyle name="Normal 3 2 2 2 5" xfId="1020" xr:uid="{00000000-0005-0000-0000-00000A0E0000}"/>
    <cellStyle name="Normal 3 2 2 2 5 2" xfId="1021" xr:uid="{00000000-0005-0000-0000-00000B0E0000}"/>
    <cellStyle name="Normal 3 2 2 2 5 2 2" xfId="2442" xr:uid="{00000000-0005-0000-0000-00000C0E0000}"/>
    <cellStyle name="Normal 3 2 2 2 5 2 2 2" xfId="6928" xr:uid="{00000000-0005-0000-0000-00000D0E0000}"/>
    <cellStyle name="Normal 3 2 2 2 5 2 3" xfId="6018" xr:uid="{00000000-0005-0000-0000-00000E0E0000}"/>
    <cellStyle name="Normal 3 2 2 2 5 3" xfId="2443" xr:uid="{00000000-0005-0000-0000-00000F0E0000}"/>
    <cellStyle name="Normal 3 2 2 2 5 3 2" xfId="6929" xr:uid="{00000000-0005-0000-0000-0000100E0000}"/>
    <cellStyle name="Normal 3 2 2 2 5 4" xfId="3937" xr:uid="{00000000-0005-0000-0000-0000110E0000}"/>
    <cellStyle name="Normal 3 2 2 2 5 4 2" xfId="8403" xr:uid="{00000000-0005-0000-0000-0000120E0000}"/>
    <cellStyle name="Normal 3 2 2 2 5 5" xfId="5149" xr:uid="{00000000-0005-0000-0000-0000130E0000}"/>
    <cellStyle name="Normal 3 2 2 2 6" xfId="1022" xr:uid="{00000000-0005-0000-0000-0000140E0000}"/>
    <cellStyle name="Normal 3 2 2 2 6 2" xfId="2444" xr:uid="{00000000-0005-0000-0000-0000150E0000}"/>
    <cellStyle name="Normal 3 2 2 2 6 2 2" xfId="6930" xr:uid="{00000000-0005-0000-0000-0000160E0000}"/>
    <cellStyle name="Normal 3 2 2 2 6 3" xfId="6019" xr:uid="{00000000-0005-0000-0000-0000170E0000}"/>
    <cellStyle name="Normal 3 2 2 2 7" xfId="319" xr:uid="{00000000-0005-0000-0000-0000180E0000}"/>
    <cellStyle name="Normal 3 2 2 2 7 2" xfId="6118" xr:uid="{00000000-0005-0000-0000-0000190E0000}"/>
    <cellStyle name="Normal 3 2 2 2 8" xfId="3502" xr:uid="{00000000-0005-0000-0000-00001A0E0000}"/>
    <cellStyle name="Normal 3 2 2 2 8 2" xfId="7968" xr:uid="{00000000-0005-0000-0000-00001B0E0000}"/>
    <cellStyle name="Normal 3 2 2 2 9" xfId="4714" xr:uid="{00000000-0005-0000-0000-00001C0E0000}"/>
    <cellStyle name="Normal 3 2 2 3" xfId="107" xr:uid="{00000000-0005-0000-0000-00001D0E0000}"/>
    <cellStyle name="Normal 3 2 2 3 2" xfId="108" xr:uid="{00000000-0005-0000-0000-00001E0E0000}"/>
    <cellStyle name="Normal 3 2 2 3 2 2" xfId="1023" xr:uid="{00000000-0005-0000-0000-00001F0E0000}"/>
    <cellStyle name="Normal 3 2 2 3 2 2 2" xfId="1024" xr:uid="{00000000-0005-0000-0000-0000200E0000}"/>
    <cellStyle name="Normal 3 2 2 3 2 2 2 2" xfId="2445" xr:uid="{00000000-0005-0000-0000-0000210E0000}"/>
    <cellStyle name="Normal 3 2 2 3 2 2 2 2 2" xfId="6931" xr:uid="{00000000-0005-0000-0000-0000220E0000}"/>
    <cellStyle name="Normal 3 2 2 3 2 2 2 3" xfId="4255" xr:uid="{00000000-0005-0000-0000-0000230E0000}"/>
    <cellStyle name="Normal 3 2 2 3 2 2 2 3 2" xfId="8718" xr:uid="{00000000-0005-0000-0000-0000240E0000}"/>
    <cellStyle name="Normal 3 2 2 3 2 2 2 4" xfId="5467" xr:uid="{00000000-0005-0000-0000-0000250E0000}"/>
    <cellStyle name="Normal 3 2 2 3 2 2 3" xfId="2446" xr:uid="{00000000-0005-0000-0000-0000260E0000}"/>
    <cellStyle name="Normal 3 2 2 3 2 2 3 2" xfId="6932" xr:uid="{00000000-0005-0000-0000-0000270E0000}"/>
    <cellStyle name="Normal 3 2 2 3 2 2 4" xfId="3512" xr:uid="{00000000-0005-0000-0000-0000280E0000}"/>
    <cellStyle name="Normal 3 2 2 3 2 2 4 2" xfId="7978" xr:uid="{00000000-0005-0000-0000-0000290E0000}"/>
    <cellStyle name="Normal 3 2 2 3 2 2 5" xfId="4724" xr:uid="{00000000-0005-0000-0000-00002A0E0000}"/>
    <cellStyle name="Normal 3 2 2 3 2 3" xfId="1025" xr:uid="{00000000-0005-0000-0000-00002B0E0000}"/>
    <cellStyle name="Normal 3 2 2 3 2 3 2" xfId="1026" xr:uid="{00000000-0005-0000-0000-00002C0E0000}"/>
    <cellStyle name="Normal 3 2 2 3 2 3 2 2" xfId="2447" xr:uid="{00000000-0005-0000-0000-00002D0E0000}"/>
    <cellStyle name="Normal 3 2 2 3 2 3 2 2 2" xfId="6933" xr:uid="{00000000-0005-0000-0000-00002E0E0000}"/>
    <cellStyle name="Normal 3 2 2 3 2 3 2 3" xfId="5729" xr:uid="{00000000-0005-0000-0000-00002F0E0000}"/>
    <cellStyle name="Normal 3 2 2 3 2 3 3" xfId="2448" xr:uid="{00000000-0005-0000-0000-0000300E0000}"/>
    <cellStyle name="Normal 3 2 2 3 2 3 3 2" xfId="6934" xr:uid="{00000000-0005-0000-0000-0000310E0000}"/>
    <cellStyle name="Normal 3 2 2 3 2 3 4" xfId="3942" xr:uid="{00000000-0005-0000-0000-0000320E0000}"/>
    <cellStyle name="Normal 3 2 2 3 2 3 4 2" xfId="8408" xr:uid="{00000000-0005-0000-0000-0000330E0000}"/>
    <cellStyle name="Normal 3 2 2 3 2 3 5" xfId="5154" xr:uid="{00000000-0005-0000-0000-0000340E0000}"/>
    <cellStyle name="Normal 3 2 2 3 2 4" xfId="1027" xr:uid="{00000000-0005-0000-0000-0000350E0000}"/>
    <cellStyle name="Normal 3 2 2 3 2 4 2" xfId="2449" xr:uid="{00000000-0005-0000-0000-0000360E0000}"/>
    <cellStyle name="Normal 3 2 2 3 2 4 2 2" xfId="6935" xr:uid="{00000000-0005-0000-0000-0000370E0000}"/>
    <cellStyle name="Normal 3 2 2 3 2 4 3" xfId="5728" xr:uid="{00000000-0005-0000-0000-0000380E0000}"/>
    <cellStyle name="Normal 3 2 2 3 2 5" xfId="324" xr:uid="{00000000-0005-0000-0000-0000390E0000}"/>
    <cellStyle name="Normal 3 2 2 3 2 5 2" xfId="5865" xr:uid="{00000000-0005-0000-0000-00003A0E0000}"/>
    <cellStyle name="Normal 3 2 2 3 2 6" xfId="3511" xr:uid="{00000000-0005-0000-0000-00003B0E0000}"/>
    <cellStyle name="Normal 3 2 2 3 2 6 2" xfId="7977" xr:uid="{00000000-0005-0000-0000-00003C0E0000}"/>
    <cellStyle name="Normal 3 2 2 3 2 7" xfId="4723" xr:uid="{00000000-0005-0000-0000-00003D0E0000}"/>
    <cellStyle name="Normal 3 2 2 3 3" xfId="1028" xr:uid="{00000000-0005-0000-0000-00003E0E0000}"/>
    <cellStyle name="Normal 3 2 2 3 3 2" xfId="1029" xr:uid="{00000000-0005-0000-0000-00003F0E0000}"/>
    <cellStyle name="Normal 3 2 2 3 3 2 2" xfId="2450" xr:uid="{00000000-0005-0000-0000-0000400E0000}"/>
    <cellStyle name="Normal 3 2 2 3 3 2 2 2" xfId="6936" xr:uid="{00000000-0005-0000-0000-0000410E0000}"/>
    <cellStyle name="Normal 3 2 2 3 3 2 3" xfId="4256" xr:uid="{00000000-0005-0000-0000-0000420E0000}"/>
    <cellStyle name="Normal 3 2 2 3 3 2 3 2" xfId="8719" xr:uid="{00000000-0005-0000-0000-0000430E0000}"/>
    <cellStyle name="Normal 3 2 2 3 3 2 4" xfId="5468" xr:uid="{00000000-0005-0000-0000-0000440E0000}"/>
    <cellStyle name="Normal 3 2 2 3 3 3" xfId="2451" xr:uid="{00000000-0005-0000-0000-0000450E0000}"/>
    <cellStyle name="Normal 3 2 2 3 3 3 2" xfId="6937" xr:uid="{00000000-0005-0000-0000-0000460E0000}"/>
    <cellStyle name="Normal 3 2 2 3 3 4" xfId="3513" xr:uid="{00000000-0005-0000-0000-0000470E0000}"/>
    <cellStyle name="Normal 3 2 2 3 3 4 2" xfId="7979" xr:uid="{00000000-0005-0000-0000-0000480E0000}"/>
    <cellStyle name="Normal 3 2 2 3 3 5" xfId="4725" xr:uid="{00000000-0005-0000-0000-0000490E0000}"/>
    <cellStyle name="Normal 3 2 2 3 4" xfId="1030" xr:uid="{00000000-0005-0000-0000-00004A0E0000}"/>
    <cellStyle name="Normal 3 2 2 3 4 2" xfId="1031" xr:uid="{00000000-0005-0000-0000-00004B0E0000}"/>
    <cellStyle name="Normal 3 2 2 3 4 2 2" xfId="2452" xr:uid="{00000000-0005-0000-0000-00004C0E0000}"/>
    <cellStyle name="Normal 3 2 2 3 4 2 2 2" xfId="6938" xr:uid="{00000000-0005-0000-0000-00004D0E0000}"/>
    <cellStyle name="Normal 3 2 2 3 4 2 3" xfId="5915" xr:uid="{00000000-0005-0000-0000-00004E0E0000}"/>
    <cellStyle name="Normal 3 2 2 3 4 3" xfId="2453" xr:uid="{00000000-0005-0000-0000-00004F0E0000}"/>
    <cellStyle name="Normal 3 2 2 3 4 3 2" xfId="6939" xr:uid="{00000000-0005-0000-0000-0000500E0000}"/>
    <cellStyle name="Normal 3 2 2 3 4 4" xfId="3941" xr:uid="{00000000-0005-0000-0000-0000510E0000}"/>
    <cellStyle name="Normal 3 2 2 3 4 4 2" xfId="8407" xr:uid="{00000000-0005-0000-0000-0000520E0000}"/>
    <cellStyle name="Normal 3 2 2 3 4 5" xfId="5153" xr:uid="{00000000-0005-0000-0000-0000530E0000}"/>
    <cellStyle name="Normal 3 2 2 3 5" xfId="1032" xr:uid="{00000000-0005-0000-0000-0000540E0000}"/>
    <cellStyle name="Normal 3 2 2 3 5 2" xfId="2454" xr:uid="{00000000-0005-0000-0000-0000550E0000}"/>
    <cellStyle name="Normal 3 2 2 3 5 2 2" xfId="6940" xr:uid="{00000000-0005-0000-0000-0000560E0000}"/>
    <cellStyle name="Normal 3 2 2 3 5 3" xfId="6017" xr:uid="{00000000-0005-0000-0000-0000570E0000}"/>
    <cellStyle name="Normal 3 2 2 3 6" xfId="323" xr:uid="{00000000-0005-0000-0000-0000580E0000}"/>
    <cellStyle name="Normal 3 2 2 3 6 2" xfId="5866" xr:uid="{00000000-0005-0000-0000-0000590E0000}"/>
    <cellStyle name="Normal 3 2 2 3 7" xfId="3510" xr:uid="{00000000-0005-0000-0000-00005A0E0000}"/>
    <cellStyle name="Normal 3 2 2 3 7 2" xfId="7976" xr:uid="{00000000-0005-0000-0000-00005B0E0000}"/>
    <cellStyle name="Normal 3 2 2 3 8" xfId="4722" xr:uid="{00000000-0005-0000-0000-00005C0E0000}"/>
    <cellStyle name="Normal 3 2 2 4" xfId="109" xr:uid="{00000000-0005-0000-0000-00005D0E0000}"/>
    <cellStyle name="Normal 3 2 2 4 2" xfId="1033" xr:uid="{00000000-0005-0000-0000-00005E0E0000}"/>
    <cellStyle name="Normal 3 2 2 4 2 2" xfId="1034" xr:uid="{00000000-0005-0000-0000-00005F0E0000}"/>
    <cellStyle name="Normal 3 2 2 4 2 2 2" xfId="2455" xr:uid="{00000000-0005-0000-0000-0000600E0000}"/>
    <cellStyle name="Normal 3 2 2 4 2 2 2 2" xfId="6941" xr:uid="{00000000-0005-0000-0000-0000610E0000}"/>
    <cellStyle name="Normal 3 2 2 4 2 2 3" xfId="4257" xr:uid="{00000000-0005-0000-0000-0000620E0000}"/>
    <cellStyle name="Normal 3 2 2 4 2 2 3 2" xfId="8720" xr:uid="{00000000-0005-0000-0000-0000630E0000}"/>
    <cellStyle name="Normal 3 2 2 4 2 2 4" xfId="5469" xr:uid="{00000000-0005-0000-0000-0000640E0000}"/>
    <cellStyle name="Normal 3 2 2 4 2 3" xfId="2456" xr:uid="{00000000-0005-0000-0000-0000650E0000}"/>
    <cellStyle name="Normal 3 2 2 4 2 3 2" xfId="6942" xr:uid="{00000000-0005-0000-0000-0000660E0000}"/>
    <cellStyle name="Normal 3 2 2 4 2 4" xfId="3515" xr:uid="{00000000-0005-0000-0000-0000670E0000}"/>
    <cellStyle name="Normal 3 2 2 4 2 4 2" xfId="7981" xr:uid="{00000000-0005-0000-0000-0000680E0000}"/>
    <cellStyle name="Normal 3 2 2 4 2 5" xfId="4727" xr:uid="{00000000-0005-0000-0000-0000690E0000}"/>
    <cellStyle name="Normal 3 2 2 4 3" xfId="1035" xr:uid="{00000000-0005-0000-0000-00006A0E0000}"/>
    <cellStyle name="Normal 3 2 2 4 3 2" xfId="1036" xr:uid="{00000000-0005-0000-0000-00006B0E0000}"/>
    <cellStyle name="Normal 3 2 2 4 3 2 2" xfId="2457" xr:uid="{00000000-0005-0000-0000-00006C0E0000}"/>
    <cellStyle name="Normal 3 2 2 4 3 2 2 2" xfId="6943" xr:uid="{00000000-0005-0000-0000-00006D0E0000}"/>
    <cellStyle name="Normal 3 2 2 4 3 2 3" xfId="5913" xr:uid="{00000000-0005-0000-0000-00006E0E0000}"/>
    <cellStyle name="Normal 3 2 2 4 3 3" xfId="2458" xr:uid="{00000000-0005-0000-0000-00006F0E0000}"/>
    <cellStyle name="Normal 3 2 2 4 3 3 2" xfId="6944" xr:uid="{00000000-0005-0000-0000-0000700E0000}"/>
    <cellStyle name="Normal 3 2 2 4 3 4" xfId="3943" xr:uid="{00000000-0005-0000-0000-0000710E0000}"/>
    <cellStyle name="Normal 3 2 2 4 3 4 2" xfId="8409" xr:uid="{00000000-0005-0000-0000-0000720E0000}"/>
    <cellStyle name="Normal 3 2 2 4 3 5" xfId="5155" xr:uid="{00000000-0005-0000-0000-0000730E0000}"/>
    <cellStyle name="Normal 3 2 2 4 4" xfId="1037" xr:uid="{00000000-0005-0000-0000-0000740E0000}"/>
    <cellStyle name="Normal 3 2 2 4 4 2" xfId="2459" xr:uid="{00000000-0005-0000-0000-0000750E0000}"/>
    <cellStyle name="Normal 3 2 2 4 4 2 2" xfId="6945" xr:uid="{00000000-0005-0000-0000-0000760E0000}"/>
    <cellStyle name="Normal 3 2 2 4 4 3" xfId="6016" xr:uid="{00000000-0005-0000-0000-0000770E0000}"/>
    <cellStyle name="Normal 3 2 2 4 5" xfId="325" xr:uid="{00000000-0005-0000-0000-0000780E0000}"/>
    <cellStyle name="Normal 3 2 2 4 5 2" xfId="5864" xr:uid="{00000000-0005-0000-0000-0000790E0000}"/>
    <cellStyle name="Normal 3 2 2 4 6" xfId="3514" xr:uid="{00000000-0005-0000-0000-00007A0E0000}"/>
    <cellStyle name="Normal 3 2 2 4 6 2" xfId="7980" xr:uid="{00000000-0005-0000-0000-00007B0E0000}"/>
    <cellStyle name="Normal 3 2 2 4 7" xfId="4726" xr:uid="{00000000-0005-0000-0000-00007C0E0000}"/>
    <cellStyle name="Normal 3 2 2 5" xfId="1038" xr:uid="{00000000-0005-0000-0000-00007D0E0000}"/>
    <cellStyle name="Normal 3 2 2 5 2" xfId="1039" xr:uid="{00000000-0005-0000-0000-00007E0E0000}"/>
    <cellStyle name="Normal 3 2 2 5 2 2" xfId="2460" xr:uid="{00000000-0005-0000-0000-00007F0E0000}"/>
    <cellStyle name="Normal 3 2 2 5 2 2 2" xfId="6946" xr:uid="{00000000-0005-0000-0000-0000800E0000}"/>
    <cellStyle name="Normal 3 2 2 5 2 3" xfId="4259" xr:uid="{00000000-0005-0000-0000-0000810E0000}"/>
    <cellStyle name="Normal 3 2 2 5 2 3 2" xfId="8722" xr:uid="{00000000-0005-0000-0000-0000820E0000}"/>
    <cellStyle name="Normal 3 2 2 5 2 4" xfId="5471" xr:uid="{00000000-0005-0000-0000-0000830E0000}"/>
    <cellStyle name="Normal 3 2 2 5 3" xfId="2461" xr:uid="{00000000-0005-0000-0000-0000840E0000}"/>
    <cellStyle name="Normal 3 2 2 5 3 2" xfId="4258" xr:uid="{00000000-0005-0000-0000-0000850E0000}"/>
    <cellStyle name="Normal 3 2 2 5 3 2 2" xfId="8721" xr:uid="{00000000-0005-0000-0000-0000860E0000}"/>
    <cellStyle name="Normal 3 2 2 5 3 3" xfId="5470" xr:uid="{00000000-0005-0000-0000-0000870E0000}"/>
    <cellStyle name="Normal 3 2 2 5 4" xfId="3516" xr:uid="{00000000-0005-0000-0000-0000880E0000}"/>
    <cellStyle name="Normal 3 2 2 5 4 2" xfId="7982" xr:uid="{00000000-0005-0000-0000-0000890E0000}"/>
    <cellStyle name="Normal 3 2 2 5 5" xfId="4728" xr:uid="{00000000-0005-0000-0000-00008A0E0000}"/>
    <cellStyle name="Normal 3 2 2 6" xfId="1040" xr:uid="{00000000-0005-0000-0000-00008B0E0000}"/>
    <cellStyle name="Normal 3 2 2 6 2" xfId="1041" xr:uid="{00000000-0005-0000-0000-00008C0E0000}"/>
    <cellStyle name="Normal 3 2 2 6 2 2" xfId="2462" xr:uid="{00000000-0005-0000-0000-00008D0E0000}"/>
    <cellStyle name="Normal 3 2 2 6 2 2 2" xfId="6947" xr:uid="{00000000-0005-0000-0000-00008E0E0000}"/>
    <cellStyle name="Normal 3 2 2 6 2 3" xfId="5727" xr:uid="{00000000-0005-0000-0000-00008F0E0000}"/>
    <cellStyle name="Normal 3 2 2 6 3" xfId="2463" xr:uid="{00000000-0005-0000-0000-0000900E0000}"/>
    <cellStyle name="Normal 3 2 2 6 3 2" xfId="6948" xr:uid="{00000000-0005-0000-0000-0000910E0000}"/>
    <cellStyle name="Normal 3 2 2 6 4" xfId="4260" xr:uid="{00000000-0005-0000-0000-0000920E0000}"/>
    <cellStyle name="Normal 3 2 2 6 4 2" xfId="8723" xr:uid="{00000000-0005-0000-0000-0000930E0000}"/>
    <cellStyle name="Normal 3 2 2 6 5" xfId="5472" xr:uid="{00000000-0005-0000-0000-0000940E0000}"/>
    <cellStyle name="Normal 3 2 2 7" xfId="1042" xr:uid="{00000000-0005-0000-0000-0000950E0000}"/>
    <cellStyle name="Normal 3 2 2 7 2" xfId="2464" xr:uid="{00000000-0005-0000-0000-0000960E0000}"/>
    <cellStyle name="Normal 3 2 2 7 2 2" xfId="6949" xr:uid="{00000000-0005-0000-0000-0000970E0000}"/>
    <cellStyle name="Normal 3 2 2 7 3" xfId="4261" xr:uid="{00000000-0005-0000-0000-0000980E0000}"/>
    <cellStyle name="Normal 3 2 2 7 3 2" xfId="8724" xr:uid="{00000000-0005-0000-0000-0000990E0000}"/>
    <cellStyle name="Normal 3 2 2 7 4" xfId="5473" xr:uid="{00000000-0005-0000-0000-00009A0E0000}"/>
    <cellStyle name="Normal 3 2 2 8" xfId="1870" xr:uid="{00000000-0005-0000-0000-00009B0E0000}"/>
    <cellStyle name="Normal 3 2 2 8 2" xfId="3832" xr:uid="{00000000-0005-0000-0000-00009C0E0000}"/>
    <cellStyle name="Normal 3 2 2 8 2 2" xfId="8298" xr:uid="{00000000-0005-0000-0000-00009D0E0000}"/>
    <cellStyle name="Normal 3 2 2 8 3" xfId="5044" xr:uid="{00000000-0005-0000-0000-00009E0E0000}"/>
    <cellStyle name="Normal 3 2 2 9" xfId="236" xr:uid="{00000000-0005-0000-0000-00009F0E0000}"/>
    <cellStyle name="Normal 3 2 2 9 2" xfId="4482" xr:uid="{00000000-0005-0000-0000-0000A00E0000}"/>
    <cellStyle name="Normal 3 2 2 9 2 2" xfId="8944" xr:uid="{00000000-0005-0000-0000-0000A10E0000}"/>
    <cellStyle name="Normal 3 2 2 9 3" xfId="5693" xr:uid="{00000000-0005-0000-0000-0000A20E0000}"/>
    <cellStyle name="Normal 3 2 3" xfId="110" xr:uid="{00000000-0005-0000-0000-0000A30E0000}"/>
    <cellStyle name="Normal 3 2 3 10" xfId="4729" xr:uid="{00000000-0005-0000-0000-0000A40E0000}"/>
    <cellStyle name="Normal 3 2 3 2" xfId="111" xr:uid="{00000000-0005-0000-0000-0000A50E0000}"/>
    <cellStyle name="Normal 3 2 3 2 2" xfId="112" xr:uid="{00000000-0005-0000-0000-0000A60E0000}"/>
    <cellStyle name="Normal 3 2 3 2 2 2" xfId="1043" xr:uid="{00000000-0005-0000-0000-0000A70E0000}"/>
    <cellStyle name="Normal 3 2 3 2 2 2 2" xfId="1044" xr:uid="{00000000-0005-0000-0000-0000A80E0000}"/>
    <cellStyle name="Normal 3 2 3 2 2 2 2 2" xfId="2465" xr:uid="{00000000-0005-0000-0000-0000A90E0000}"/>
    <cellStyle name="Normal 3 2 3 2 2 2 2 2 2" xfId="6950" xr:uid="{00000000-0005-0000-0000-0000AA0E0000}"/>
    <cellStyle name="Normal 3 2 3 2 2 2 2 3" xfId="4262" xr:uid="{00000000-0005-0000-0000-0000AB0E0000}"/>
    <cellStyle name="Normal 3 2 3 2 2 2 2 3 2" xfId="8725" xr:uid="{00000000-0005-0000-0000-0000AC0E0000}"/>
    <cellStyle name="Normal 3 2 3 2 2 2 2 4" xfId="5474" xr:uid="{00000000-0005-0000-0000-0000AD0E0000}"/>
    <cellStyle name="Normal 3 2 3 2 2 2 3" xfId="2466" xr:uid="{00000000-0005-0000-0000-0000AE0E0000}"/>
    <cellStyle name="Normal 3 2 3 2 2 2 3 2" xfId="6951" xr:uid="{00000000-0005-0000-0000-0000AF0E0000}"/>
    <cellStyle name="Normal 3 2 3 2 2 2 4" xfId="3520" xr:uid="{00000000-0005-0000-0000-0000B00E0000}"/>
    <cellStyle name="Normal 3 2 3 2 2 2 4 2" xfId="7986" xr:uid="{00000000-0005-0000-0000-0000B10E0000}"/>
    <cellStyle name="Normal 3 2 3 2 2 2 5" xfId="4732" xr:uid="{00000000-0005-0000-0000-0000B20E0000}"/>
    <cellStyle name="Normal 3 2 3 2 2 3" xfId="1045" xr:uid="{00000000-0005-0000-0000-0000B30E0000}"/>
    <cellStyle name="Normal 3 2 3 2 2 3 2" xfId="1046" xr:uid="{00000000-0005-0000-0000-0000B40E0000}"/>
    <cellStyle name="Normal 3 2 3 2 2 3 2 2" xfId="2467" xr:uid="{00000000-0005-0000-0000-0000B50E0000}"/>
    <cellStyle name="Normal 3 2 3 2 2 3 2 2 2" xfId="6952" xr:uid="{00000000-0005-0000-0000-0000B60E0000}"/>
    <cellStyle name="Normal 3 2 3 2 2 3 2 3" xfId="5914" xr:uid="{00000000-0005-0000-0000-0000B70E0000}"/>
    <cellStyle name="Normal 3 2 3 2 2 3 3" xfId="2468" xr:uid="{00000000-0005-0000-0000-0000B80E0000}"/>
    <cellStyle name="Normal 3 2 3 2 2 3 3 2" xfId="6953" xr:uid="{00000000-0005-0000-0000-0000B90E0000}"/>
    <cellStyle name="Normal 3 2 3 2 2 3 4" xfId="3946" xr:uid="{00000000-0005-0000-0000-0000BA0E0000}"/>
    <cellStyle name="Normal 3 2 3 2 2 3 4 2" xfId="8412" xr:uid="{00000000-0005-0000-0000-0000BB0E0000}"/>
    <cellStyle name="Normal 3 2 3 2 2 3 5" xfId="5158" xr:uid="{00000000-0005-0000-0000-0000BC0E0000}"/>
    <cellStyle name="Normal 3 2 3 2 2 4" xfId="1047" xr:uid="{00000000-0005-0000-0000-0000BD0E0000}"/>
    <cellStyle name="Normal 3 2 3 2 2 4 2" xfId="2469" xr:uid="{00000000-0005-0000-0000-0000BE0E0000}"/>
    <cellStyle name="Normal 3 2 3 2 2 4 2 2" xfId="6954" xr:uid="{00000000-0005-0000-0000-0000BF0E0000}"/>
    <cellStyle name="Normal 3 2 3 2 2 4 3" xfId="6015" xr:uid="{00000000-0005-0000-0000-0000C00E0000}"/>
    <cellStyle name="Normal 3 2 3 2 2 5" xfId="328" xr:uid="{00000000-0005-0000-0000-0000C10E0000}"/>
    <cellStyle name="Normal 3 2 3 2 2 5 2" xfId="6115" xr:uid="{00000000-0005-0000-0000-0000C20E0000}"/>
    <cellStyle name="Normal 3 2 3 2 2 6" xfId="3519" xr:uid="{00000000-0005-0000-0000-0000C30E0000}"/>
    <cellStyle name="Normal 3 2 3 2 2 6 2" xfId="7985" xr:uid="{00000000-0005-0000-0000-0000C40E0000}"/>
    <cellStyle name="Normal 3 2 3 2 2 7" xfId="4731" xr:uid="{00000000-0005-0000-0000-0000C50E0000}"/>
    <cellStyle name="Normal 3 2 3 2 3" xfId="1048" xr:uid="{00000000-0005-0000-0000-0000C60E0000}"/>
    <cellStyle name="Normal 3 2 3 2 3 2" xfId="1049" xr:uid="{00000000-0005-0000-0000-0000C70E0000}"/>
    <cellStyle name="Normal 3 2 3 2 3 2 2" xfId="2470" xr:uid="{00000000-0005-0000-0000-0000C80E0000}"/>
    <cellStyle name="Normal 3 2 3 2 3 2 2 2" xfId="6955" xr:uid="{00000000-0005-0000-0000-0000C90E0000}"/>
    <cellStyle name="Normal 3 2 3 2 3 2 3" xfId="4263" xr:uid="{00000000-0005-0000-0000-0000CA0E0000}"/>
    <cellStyle name="Normal 3 2 3 2 3 2 3 2" xfId="8726" xr:uid="{00000000-0005-0000-0000-0000CB0E0000}"/>
    <cellStyle name="Normal 3 2 3 2 3 2 4" xfId="5475" xr:uid="{00000000-0005-0000-0000-0000CC0E0000}"/>
    <cellStyle name="Normal 3 2 3 2 3 3" xfId="2471" xr:uid="{00000000-0005-0000-0000-0000CD0E0000}"/>
    <cellStyle name="Normal 3 2 3 2 3 3 2" xfId="6956" xr:uid="{00000000-0005-0000-0000-0000CE0E0000}"/>
    <cellStyle name="Normal 3 2 3 2 3 4" xfId="3521" xr:uid="{00000000-0005-0000-0000-0000CF0E0000}"/>
    <cellStyle name="Normal 3 2 3 2 3 4 2" xfId="7987" xr:uid="{00000000-0005-0000-0000-0000D00E0000}"/>
    <cellStyle name="Normal 3 2 3 2 3 5" xfId="4733" xr:uid="{00000000-0005-0000-0000-0000D10E0000}"/>
    <cellStyle name="Normal 3 2 3 2 4" xfId="1050" xr:uid="{00000000-0005-0000-0000-0000D20E0000}"/>
    <cellStyle name="Normal 3 2 3 2 4 2" xfId="1051" xr:uid="{00000000-0005-0000-0000-0000D30E0000}"/>
    <cellStyle name="Normal 3 2 3 2 4 2 2" xfId="2472" xr:uid="{00000000-0005-0000-0000-0000D40E0000}"/>
    <cellStyle name="Normal 3 2 3 2 4 2 2 2" xfId="6957" xr:uid="{00000000-0005-0000-0000-0000D50E0000}"/>
    <cellStyle name="Normal 3 2 3 2 4 2 3" xfId="5726" xr:uid="{00000000-0005-0000-0000-0000D60E0000}"/>
    <cellStyle name="Normal 3 2 3 2 4 3" xfId="2473" xr:uid="{00000000-0005-0000-0000-0000D70E0000}"/>
    <cellStyle name="Normal 3 2 3 2 4 3 2" xfId="6958" xr:uid="{00000000-0005-0000-0000-0000D80E0000}"/>
    <cellStyle name="Normal 3 2 3 2 4 4" xfId="3945" xr:uid="{00000000-0005-0000-0000-0000D90E0000}"/>
    <cellStyle name="Normal 3 2 3 2 4 4 2" xfId="8411" xr:uid="{00000000-0005-0000-0000-0000DA0E0000}"/>
    <cellStyle name="Normal 3 2 3 2 4 5" xfId="5157" xr:uid="{00000000-0005-0000-0000-0000DB0E0000}"/>
    <cellStyle name="Normal 3 2 3 2 5" xfId="1052" xr:uid="{00000000-0005-0000-0000-0000DC0E0000}"/>
    <cellStyle name="Normal 3 2 3 2 5 2" xfId="2474" xr:uid="{00000000-0005-0000-0000-0000DD0E0000}"/>
    <cellStyle name="Normal 3 2 3 2 5 2 2" xfId="6959" xr:uid="{00000000-0005-0000-0000-0000DE0E0000}"/>
    <cellStyle name="Normal 3 2 3 2 5 3" xfId="5725" xr:uid="{00000000-0005-0000-0000-0000DF0E0000}"/>
    <cellStyle name="Normal 3 2 3 2 6" xfId="327" xr:uid="{00000000-0005-0000-0000-0000E00E0000}"/>
    <cellStyle name="Normal 3 2 3 2 6 2" xfId="6116" xr:uid="{00000000-0005-0000-0000-0000E10E0000}"/>
    <cellStyle name="Normal 3 2 3 2 7" xfId="3518" xr:uid="{00000000-0005-0000-0000-0000E20E0000}"/>
    <cellStyle name="Normal 3 2 3 2 7 2" xfId="7984" xr:uid="{00000000-0005-0000-0000-0000E30E0000}"/>
    <cellStyle name="Normal 3 2 3 2 8" xfId="4730" xr:uid="{00000000-0005-0000-0000-0000E40E0000}"/>
    <cellStyle name="Normal 3 2 3 3" xfId="113" xr:uid="{00000000-0005-0000-0000-0000E50E0000}"/>
    <cellStyle name="Normal 3 2 3 3 2" xfId="1053" xr:uid="{00000000-0005-0000-0000-0000E60E0000}"/>
    <cellStyle name="Normal 3 2 3 3 2 2" xfId="1054" xr:uid="{00000000-0005-0000-0000-0000E70E0000}"/>
    <cellStyle name="Normal 3 2 3 3 2 2 2" xfId="2475" xr:uid="{00000000-0005-0000-0000-0000E80E0000}"/>
    <cellStyle name="Normal 3 2 3 3 2 2 2 2" xfId="6960" xr:uid="{00000000-0005-0000-0000-0000E90E0000}"/>
    <cellStyle name="Normal 3 2 3 3 2 2 3" xfId="4264" xr:uid="{00000000-0005-0000-0000-0000EA0E0000}"/>
    <cellStyle name="Normal 3 2 3 3 2 2 3 2" xfId="8727" xr:uid="{00000000-0005-0000-0000-0000EB0E0000}"/>
    <cellStyle name="Normal 3 2 3 3 2 2 4" xfId="5476" xr:uid="{00000000-0005-0000-0000-0000EC0E0000}"/>
    <cellStyle name="Normal 3 2 3 3 2 3" xfId="2476" xr:uid="{00000000-0005-0000-0000-0000ED0E0000}"/>
    <cellStyle name="Normal 3 2 3 3 2 3 2" xfId="6961" xr:uid="{00000000-0005-0000-0000-0000EE0E0000}"/>
    <cellStyle name="Normal 3 2 3 3 2 4" xfId="3523" xr:uid="{00000000-0005-0000-0000-0000EF0E0000}"/>
    <cellStyle name="Normal 3 2 3 3 2 4 2" xfId="7989" xr:uid="{00000000-0005-0000-0000-0000F00E0000}"/>
    <cellStyle name="Normal 3 2 3 3 2 5" xfId="4735" xr:uid="{00000000-0005-0000-0000-0000F10E0000}"/>
    <cellStyle name="Normal 3 2 3 3 3" xfId="1055" xr:uid="{00000000-0005-0000-0000-0000F20E0000}"/>
    <cellStyle name="Normal 3 2 3 3 3 2" xfId="1056" xr:uid="{00000000-0005-0000-0000-0000F30E0000}"/>
    <cellStyle name="Normal 3 2 3 3 3 2 2" xfId="2477" xr:uid="{00000000-0005-0000-0000-0000F40E0000}"/>
    <cellStyle name="Normal 3 2 3 3 3 2 2 2" xfId="6962" xr:uid="{00000000-0005-0000-0000-0000F50E0000}"/>
    <cellStyle name="Normal 3 2 3 3 3 2 3" xfId="6014" xr:uid="{00000000-0005-0000-0000-0000F60E0000}"/>
    <cellStyle name="Normal 3 2 3 3 3 3" xfId="2478" xr:uid="{00000000-0005-0000-0000-0000F70E0000}"/>
    <cellStyle name="Normal 3 2 3 3 3 3 2" xfId="6963" xr:uid="{00000000-0005-0000-0000-0000F80E0000}"/>
    <cellStyle name="Normal 3 2 3 3 3 4" xfId="3947" xr:uid="{00000000-0005-0000-0000-0000F90E0000}"/>
    <cellStyle name="Normal 3 2 3 3 3 4 2" xfId="8413" xr:uid="{00000000-0005-0000-0000-0000FA0E0000}"/>
    <cellStyle name="Normal 3 2 3 3 3 5" xfId="5159" xr:uid="{00000000-0005-0000-0000-0000FB0E0000}"/>
    <cellStyle name="Normal 3 2 3 3 4" xfId="1057" xr:uid="{00000000-0005-0000-0000-0000FC0E0000}"/>
    <cellStyle name="Normal 3 2 3 3 4 2" xfId="2479" xr:uid="{00000000-0005-0000-0000-0000FD0E0000}"/>
    <cellStyle name="Normal 3 2 3 3 4 2 2" xfId="6964" xr:uid="{00000000-0005-0000-0000-0000FE0E0000}"/>
    <cellStyle name="Normal 3 2 3 3 4 3" xfId="5724" xr:uid="{00000000-0005-0000-0000-0000FF0E0000}"/>
    <cellStyle name="Normal 3 2 3 3 5" xfId="329" xr:uid="{00000000-0005-0000-0000-0000000F0000}"/>
    <cellStyle name="Normal 3 2 3 3 5 2" xfId="6113" xr:uid="{00000000-0005-0000-0000-0000010F0000}"/>
    <cellStyle name="Normal 3 2 3 3 6" xfId="3522" xr:uid="{00000000-0005-0000-0000-0000020F0000}"/>
    <cellStyle name="Normal 3 2 3 3 6 2" xfId="7988" xr:uid="{00000000-0005-0000-0000-0000030F0000}"/>
    <cellStyle name="Normal 3 2 3 3 7" xfId="4734" xr:uid="{00000000-0005-0000-0000-0000040F0000}"/>
    <cellStyle name="Normal 3 2 3 4" xfId="1058" xr:uid="{00000000-0005-0000-0000-0000050F0000}"/>
    <cellStyle name="Normal 3 2 3 4 2" xfId="1059" xr:uid="{00000000-0005-0000-0000-0000060F0000}"/>
    <cellStyle name="Normal 3 2 3 4 2 2" xfId="2480" xr:uid="{00000000-0005-0000-0000-0000070F0000}"/>
    <cellStyle name="Normal 3 2 3 4 2 2 2" xfId="6965" xr:uid="{00000000-0005-0000-0000-0000080F0000}"/>
    <cellStyle name="Normal 3 2 3 4 2 3" xfId="4265" xr:uid="{00000000-0005-0000-0000-0000090F0000}"/>
    <cellStyle name="Normal 3 2 3 4 2 3 2" xfId="8728" xr:uid="{00000000-0005-0000-0000-00000A0F0000}"/>
    <cellStyle name="Normal 3 2 3 4 2 4" xfId="5477" xr:uid="{00000000-0005-0000-0000-00000B0F0000}"/>
    <cellStyle name="Normal 3 2 3 4 3" xfId="2481" xr:uid="{00000000-0005-0000-0000-00000C0F0000}"/>
    <cellStyle name="Normal 3 2 3 4 3 2" xfId="6966" xr:uid="{00000000-0005-0000-0000-00000D0F0000}"/>
    <cellStyle name="Normal 3 2 3 4 4" xfId="3524" xr:uid="{00000000-0005-0000-0000-00000E0F0000}"/>
    <cellStyle name="Normal 3 2 3 4 4 2" xfId="7990" xr:uid="{00000000-0005-0000-0000-00000F0F0000}"/>
    <cellStyle name="Normal 3 2 3 4 5" xfId="4736" xr:uid="{00000000-0005-0000-0000-0000100F0000}"/>
    <cellStyle name="Normal 3 2 3 5" xfId="1060" xr:uid="{00000000-0005-0000-0000-0000110F0000}"/>
    <cellStyle name="Normal 3 2 3 5 2" xfId="1061" xr:uid="{00000000-0005-0000-0000-0000120F0000}"/>
    <cellStyle name="Normal 3 2 3 5 2 2" xfId="2482" xr:uid="{00000000-0005-0000-0000-0000130F0000}"/>
    <cellStyle name="Normal 3 2 3 5 2 2 2" xfId="6967" xr:uid="{00000000-0005-0000-0000-0000140F0000}"/>
    <cellStyle name="Normal 3 2 3 5 2 3" xfId="5723" xr:uid="{00000000-0005-0000-0000-0000150F0000}"/>
    <cellStyle name="Normal 3 2 3 5 3" xfId="2483" xr:uid="{00000000-0005-0000-0000-0000160F0000}"/>
    <cellStyle name="Normal 3 2 3 5 3 2" xfId="6968" xr:uid="{00000000-0005-0000-0000-0000170F0000}"/>
    <cellStyle name="Normal 3 2 3 5 4" xfId="3944" xr:uid="{00000000-0005-0000-0000-0000180F0000}"/>
    <cellStyle name="Normal 3 2 3 5 4 2" xfId="8410" xr:uid="{00000000-0005-0000-0000-0000190F0000}"/>
    <cellStyle name="Normal 3 2 3 5 5" xfId="5156" xr:uid="{00000000-0005-0000-0000-00001A0F0000}"/>
    <cellStyle name="Normal 3 2 3 6" xfId="1062" xr:uid="{00000000-0005-0000-0000-00001B0F0000}"/>
    <cellStyle name="Normal 3 2 3 6 2" xfId="2484" xr:uid="{00000000-0005-0000-0000-00001C0F0000}"/>
    <cellStyle name="Normal 3 2 3 6 2 2" xfId="6969" xr:uid="{00000000-0005-0000-0000-00001D0F0000}"/>
    <cellStyle name="Normal 3 2 3 6 3" xfId="4484" xr:uid="{00000000-0005-0000-0000-00001E0F0000}"/>
    <cellStyle name="Normal 3 2 3 6 3 2" xfId="8946" xr:uid="{00000000-0005-0000-0000-00001F0F0000}"/>
    <cellStyle name="Normal 3 2 3 6 4" xfId="5695" xr:uid="{00000000-0005-0000-0000-0000200F0000}"/>
    <cellStyle name="Normal 3 2 3 7" xfId="1872" xr:uid="{00000000-0005-0000-0000-0000210F0000}"/>
    <cellStyle name="Normal 3 2 3 7 2" xfId="6377" xr:uid="{00000000-0005-0000-0000-0000220F0000}"/>
    <cellStyle name="Normal 3 2 3 8" xfId="326" xr:uid="{00000000-0005-0000-0000-0000230F0000}"/>
    <cellStyle name="Normal 3 2 3 8 2" xfId="5976" xr:uid="{00000000-0005-0000-0000-0000240F0000}"/>
    <cellStyle name="Normal 3 2 3 9" xfId="3517" xr:uid="{00000000-0005-0000-0000-0000250F0000}"/>
    <cellStyle name="Normal 3 2 3 9 2" xfId="7983" xr:uid="{00000000-0005-0000-0000-0000260F0000}"/>
    <cellStyle name="Normal 3 2 4" xfId="114" xr:uid="{00000000-0005-0000-0000-0000270F0000}"/>
    <cellStyle name="Normal 3 2 4 2" xfId="115" xr:uid="{00000000-0005-0000-0000-0000280F0000}"/>
    <cellStyle name="Normal 3 2 4 2 2" xfId="1063" xr:uid="{00000000-0005-0000-0000-0000290F0000}"/>
    <cellStyle name="Normal 3 2 4 2 2 2" xfId="1064" xr:uid="{00000000-0005-0000-0000-00002A0F0000}"/>
    <cellStyle name="Normal 3 2 4 2 2 2 2" xfId="2485" xr:uid="{00000000-0005-0000-0000-00002B0F0000}"/>
    <cellStyle name="Normal 3 2 4 2 2 2 2 2" xfId="6970" xr:uid="{00000000-0005-0000-0000-00002C0F0000}"/>
    <cellStyle name="Normal 3 2 4 2 2 2 3" xfId="4266" xr:uid="{00000000-0005-0000-0000-00002D0F0000}"/>
    <cellStyle name="Normal 3 2 4 2 2 2 3 2" xfId="8729" xr:uid="{00000000-0005-0000-0000-00002E0F0000}"/>
    <cellStyle name="Normal 3 2 4 2 2 2 4" xfId="5478" xr:uid="{00000000-0005-0000-0000-00002F0F0000}"/>
    <cellStyle name="Normal 3 2 4 2 2 3" xfId="2486" xr:uid="{00000000-0005-0000-0000-0000300F0000}"/>
    <cellStyle name="Normal 3 2 4 2 2 3 2" xfId="6971" xr:uid="{00000000-0005-0000-0000-0000310F0000}"/>
    <cellStyle name="Normal 3 2 4 2 2 4" xfId="3527" xr:uid="{00000000-0005-0000-0000-0000320F0000}"/>
    <cellStyle name="Normal 3 2 4 2 2 4 2" xfId="7993" xr:uid="{00000000-0005-0000-0000-0000330F0000}"/>
    <cellStyle name="Normal 3 2 4 2 2 5" xfId="4739" xr:uid="{00000000-0005-0000-0000-0000340F0000}"/>
    <cellStyle name="Normal 3 2 4 2 3" xfId="1065" xr:uid="{00000000-0005-0000-0000-0000350F0000}"/>
    <cellStyle name="Normal 3 2 4 2 3 2" xfId="1066" xr:uid="{00000000-0005-0000-0000-0000360F0000}"/>
    <cellStyle name="Normal 3 2 4 2 3 2 2" xfId="2487" xr:uid="{00000000-0005-0000-0000-0000370F0000}"/>
    <cellStyle name="Normal 3 2 4 2 3 2 2 2" xfId="6972" xr:uid="{00000000-0005-0000-0000-0000380F0000}"/>
    <cellStyle name="Normal 3 2 4 2 3 2 3" xfId="5912" xr:uid="{00000000-0005-0000-0000-0000390F0000}"/>
    <cellStyle name="Normal 3 2 4 2 3 3" xfId="2488" xr:uid="{00000000-0005-0000-0000-00003A0F0000}"/>
    <cellStyle name="Normal 3 2 4 2 3 3 2" xfId="6973" xr:uid="{00000000-0005-0000-0000-00003B0F0000}"/>
    <cellStyle name="Normal 3 2 4 2 3 4" xfId="3949" xr:uid="{00000000-0005-0000-0000-00003C0F0000}"/>
    <cellStyle name="Normal 3 2 4 2 3 4 2" xfId="8415" xr:uid="{00000000-0005-0000-0000-00003D0F0000}"/>
    <cellStyle name="Normal 3 2 4 2 3 5" xfId="5161" xr:uid="{00000000-0005-0000-0000-00003E0F0000}"/>
    <cellStyle name="Normal 3 2 4 2 4" xfId="1067" xr:uid="{00000000-0005-0000-0000-00003F0F0000}"/>
    <cellStyle name="Normal 3 2 4 2 4 2" xfId="2489" xr:uid="{00000000-0005-0000-0000-0000400F0000}"/>
    <cellStyle name="Normal 3 2 4 2 4 2 2" xfId="6974" xr:uid="{00000000-0005-0000-0000-0000410F0000}"/>
    <cellStyle name="Normal 3 2 4 2 4 3" xfId="6013" xr:uid="{00000000-0005-0000-0000-0000420F0000}"/>
    <cellStyle name="Normal 3 2 4 2 5" xfId="331" xr:uid="{00000000-0005-0000-0000-0000430F0000}"/>
    <cellStyle name="Normal 3 2 4 2 5 2" xfId="5863" xr:uid="{00000000-0005-0000-0000-0000440F0000}"/>
    <cellStyle name="Normal 3 2 4 2 6" xfId="3526" xr:uid="{00000000-0005-0000-0000-0000450F0000}"/>
    <cellStyle name="Normal 3 2 4 2 6 2" xfId="7992" xr:uid="{00000000-0005-0000-0000-0000460F0000}"/>
    <cellStyle name="Normal 3 2 4 2 7" xfId="4738" xr:uid="{00000000-0005-0000-0000-0000470F0000}"/>
    <cellStyle name="Normal 3 2 4 3" xfId="1068" xr:uid="{00000000-0005-0000-0000-0000480F0000}"/>
    <cellStyle name="Normal 3 2 4 3 2" xfId="1069" xr:uid="{00000000-0005-0000-0000-0000490F0000}"/>
    <cellStyle name="Normal 3 2 4 3 2 2" xfId="2490" xr:uid="{00000000-0005-0000-0000-00004A0F0000}"/>
    <cellStyle name="Normal 3 2 4 3 2 2 2" xfId="6975" xr:uid="{00000000-0005-0000-0000-00004B0F0000}"/>
    <cellStyle name="Normal 3 2 4 3 2 3" xfId="4267" xr:uid="{00000000-0005-0000-0000-00004C0F0000}"/>
    <cellStyle name="Normal 3 2 4 3 2 3 2" xfId="8730" xr:uid="{00000000-0005-0000-0000-00004D0F0000}"/>
    <cellStyle name="Normal 3 2 4 3 2 4" xfId="5479" xr:uid="{00000000-0005-0000-0000-00004E0F0000}"/>
    <cellStyle name="Normal 3 2 4 3 3" xfId="2491" xr:uid="{00000000-0005-0000-0000-00004F0F0000}"/>
    <cellStyle name="Normal 3 2 4 3 3 2" xfId="6976" xr:uid="{00000000-0005-0000-0000-0000500F0000}"/>
    <cellStyle name="Normal 3 2 4 3 4" xfId="3528" xr:uid="{00000000-0005-0000-0000-0000510F0000}"/>
    <cellStyle name="Normal 3 2 4 3 4 2" xfId="7994" xr:uid="{00000000-0005-0000-0000-0000520F0000}"/>
    <cellStyle name="Normal 3 2 4 3 5" xfId="4740" xr:uid="{00000000-0005-0000-0000-0000530F0000}"/>
    <cellStyle name="Normal 3 2 4 4" xfId="1070" xr:uid="{00000000-0005-0000-0000-0000540F0000}"/>
    <cellStyle name="Normal 3 2 4 4 2" xfId="1071" xr:uid="{00000000-0005-0000-0000-0000550F0000}"/>
    <cellStyle name="Normal 3 2 4 4 2 2" xfId="2492" xr:uid="{00000000-0005-0000-0000-0000560F0000}"/>
    <cellStyle name="Normal 3 2 4 4 2 2 2" xfId="6977" xr:uid="{00000000-0005-0000-0000-0000570F0000}"/>
    <cellStyle name="Normal 3 2 4 4 2 3" xfId="5722" xr:uid="{00000000-0005-0000-0000-0000580F0000}"/>
    <cellStyle name="Normal 3 2 4 4 3" xfId="2493" xr:uid="{00000000-0005-0000-0000-0000590F0000}"/>
    <cellStyle name="Normal 3 2 4 4 3 2" xfId="6978" xr:uid="{00000000-0005-0000-0000-00005A0F0000}"/>
    <cellStyle name="Normal 3 2 4 4 4" xfId="3948" xr:uid="{00000000-0005-0000-0000-00005B0F0000}"/>
    <cellStyle name="Normal 3 2 4 4 4 2" xfId="8414" xr:uid="{00000000-0005-0000-0000-00005C0F0000}"/>
    <cellStyle name="Normal 3 2 4 4 5" xfId="5160" xr:uid="{00000000-0005-0000-0000-00005D0F0000}"/>
    <cellStyle name="Normal 3 2 4 5" xfId="1072" xr:uid="{00000000-0005-0000-0000-00005E0F0000}"/>
    <cellStyle name="Normal 3 2 4 5 2" xfId="2494" xr:uid="{00000000-0005-0000-0000-00005F0F0000}"/>
    <cellStyle name="Normal 3 2 4 5 2 2" xfId="6979" xr:uid="{00000000-0005-0000-0000-0000600F0000}"/>
    <cellStyle name="Normal 3 2 4 5 3" xfId="4486" xr:uid="{00000000-0005-0000-0000-0000610F0000}"/>
    <cellStyle name="Normal 3 2 4 5 3 2" xfId="8948" xr:uid="{00000000-0005-0000-0000-0000620F0000}"/>
    <cellStyle name="Normal 3 2 4 5 4" xfId="5697" xr:uid="{00000000-0005-0000-0000-0000630F0000}"/>
    <cellStyle name="Normal 3 2 4 6" xfId="1875" xr:uid="{00000000-0005-0000-0000-0000640F0000}"/>
    <cellStyle name="Normal 3 2 4 6 2" xfId="6378" xr:uid="{00000000-0005-0000-0000-0000650F0000}"/>
    <cellStyle name="Normal 3 2 4 7" xfId="330" xr:uid="{00000000-0005-0000-0000-0000660F0000}"/>
    <cellStyle name="Normal 3 2 4 7 2" xfId="6114" xr:uid="{00000000-0005-0000-0000-0000670F0000}"/>
    <cellStyle name="Normal 3 2 4 8" xfId="3525" xr:uid="{00000000-0005-0000-0000-0000680F0000}"/>
    <cellStyle name="Normal 3 2 4 8 2" xfId="7991" xr:uid="{00000000-0005-0000-0000-0000690F0000}"/>
    <cellStyle name="Normal 3 2 4 9" xfId="4737" xr:uid="{00000000-0005-0000-0000-00006A0F0000}"/>
    <cellStyle name="Normal 3 2 5" xfId="116" xr:uid="{00000000-0005-0000-0000-00006B0F0000}"/>
    <cellStyle name="Normal 3 2 5 2" xfId="1073" xr:uid="{00000000-0005-0000-0000-00006C0F0000}"/>
    <cellStyle name="Normal 3 2 5 2 2" xfId="1074" xr:uid="{00000000-0005-0000-0000-00006D0F0000}"/>
    <cellStyle name="Normal 3 2 5 2 2 2" xfId="1075" xr:uid="{00000000-0005-0000-0000-00006E0F0000}"/>
    <cellStyle name="Normal 3 2 5 2 2 2 2" xfId="2495" xr:uid="{00000000-0005-0000-0000-00006F0F0000}"/>
    <cellStyle name="Normal 3 2 5 2 2 2 2 2" xfId="6980" xr:uid="{00000000-0005-0000-0000-0000700F0000}"/>
    <cellStyle name="Normal 3 2 5 2 2 2 3" xfId="4268" xr:uid="{00000000-0005-0000-0000-0000710F0000}"/>
    <cellStyle name="Normal 3 2 5 2 2 2 3 2" xfId="8731" xr:uid="{00000000-0005-0000-0000-0000720F0000}"/>
    <cellStyle name="Normal 3 2 5 2 2 2 4" xfId="5480" xr:uid="{00000000-0005-0000-0000-0000730F0000}"/>
    <cellStyle name="Normal 3 2 5 2 2 3" xfId="2496" xr:uid="{00000000-0005-0000-0000-0000740F0000}"/>
    <cellStyle name="Normal 3 2 5 2 2 3 2" xfId="6981" xr:uid="{00000000-0005-0000-0000-0000750F0000}"/>
    <cellStyle name="Normal 3 2 5 2 2 4" xfId="3531" xr:uid="{00000000-0005-0000-0000-0000760F0000}"/>
    <cellStyle name="Normal 3 2 5 2 2 4 2" xfId="7997" xr:uid="{00000000-0005-0000-0000-0000770F0000}"/>
    <cellStyle name="Normal 3 2 5 2 2 5" xfId="4743" xr:uid="{00000000-0005-0000-0000-0000780F0000}"/>
    <cellStyle name="Normal 3 2 5 2 3" xfId="1076" xr:uid="{00000000-0005-0000-0000-0000790F0000}"/>
    <cellStyle name="Normal 3 2 5 2 3 2" xfId="1077" xr:uid="{00000000-0005-0000-0000-00007A0F0000}"/>
    <cellStyle name="Normal 3 2 5 2 3 2 2" xfId="2497" xr:uid="{00000000-0005-0000-0000-00007B0F0000}"/>
    <cellStyle name="Normal 3 2 5 2 3 2 2 2" xfId="6982" xr:uid="{00000000-0005-0000-0000-00007C0F0000}"/>
    <cellStyle name="Normal 3 2 5 2 3 2 3" xfId="5911" xr:uid="{00000000-0005-0000-0000-00007D0F0000}"/>
    <cellStyle name="Normal 3 2 5 2 3 3" xfId="2498" xr:uid="{00000000-0005-0000-0000-00007E0F0000}"/>
    <cellStyle name="Normal 3 2 5 2 3 3 2" xfId="6983" xr:uid="{00000000-0005-0000-0000-00007F0F0000}"/>
    <cellStyle name="Normal 3 2 5 2 3 4" xfId="3951" xr:uid="{00000000-0005-0000-0000-0000800F0000}"/>
    <cellStyle name="Normal 3 2 5 2 3 4 2" xfId="8417" xr:uid="{00000000-0005-0000-0000-0000810F0000}"/>
    <cellStyle name="Normal 3 2 5 2 3 5" xfId="5163" xr:uid="{00000000-0005-0000-0000-0000820F0000}"/>
    <cellStyle name="Normal 3 2 5 2 4" xfId="1078" xr:uid="{00000000-0005-0000-0000-0000830F0000}"/>
    <cellStyle name="Normal 3 2 5 2 4 2" xfId="2499" xr:uid="{00000000-0005-0000-0000-0000840F0000}"/>
    <cellStyle name="Normal 3 2 5 2 4 2 2" xfId="6984" xr:uid="{00000000-0005-0000-0000-0000850F0000}"/>
    <cellStyle name="Normal 3 2 5 2 4 3" xfId="6012" xr:uid="{00000000-0005-0000-0000-0000860F0000}"/>
    <cellStyle name="Normal 3 2 5 2 5" xfId="2500" xr:uid="{00000000-0005-0000-0000-0000870F0000}"/>
    <cellStyle name="Normal 3 2 5 2 5 2" xfId="6985" xr:uid="{00000000-0005-0000-0000-0000880F0000}"/>
    <cellStyle name="Normal 3 2 5 2 6" xfId="3530" xr:uid="{00000000-0005-0000-0000-0000890F0000}"/>
    <cellStyle name="Normal 3 2 5 2 6 2" xfId="7996" xr:uid="{00000000-0005-0000-0000-00008A0F0000}"/>
    <cellStyle name="Normal 3 2 5 2 7" xfId="4742" xr:uid="{00000000-0005-0000-0000-00008B0F0000}"/>
    <cellStyle name="Normal 3 2 5 3" xfId="1079" xr:uid="{00000000-0005-0000-0000-00008C0F0000}"/>
    <cellStyle name="Normal 3 2 5 3 2" xfId="1080" xr:uid="{00000000-0005-0000-0000-00008D0F0000}"/>
    <cellStyle name="Normal 3 2 5 3 2 2" xfId="2501" xr:uid="{00000000-0005-0000-0000-00008E0F0000}"/>
    <cellStyle name="Normal 3 2 5 3 2 2 2" xfId="6986" xr:uid="{00000000-0005-0000-0000-00008F0F0000}"/>
    <cellStyle name="Normal 3 2 5 3 2 3" xfId="4269" xr:uid="{00000000-0005-0000-0000-0000900F0000}"/>
    <cellStyle name="Normal 3 2 5 3 2 3 2" xfId="8732" xr:uid="{00000000-0005-0000-0000-0000910F0000}"/>
    <cellStyle name="Normal 3 2 5 3 2 4" xfId="5481" xr:uid="{00000000-0005-0000-0000-0000920F0000}"/>
    <cellStyle name="Normal 3 2 5 3 3" xfId="2502" xr:uid="{00000000-0005-0000-0000-0000930F0000}"/>
    <cellStyle name="Normal 3 2 5 3 3 2" xfId="6987" xr:uid="{00000000-0005-0000-0000-0000940F0000}"/>
    <cellStyle name="Normal 3 2 5 3 4" xfId="3532" xr:uid="{00000000-0005-0000-0000-0000950F0000}"/>
    <cellStyle name="Normal 3 2 5 3 4 2" xfId="7998" xr:uid="{00000000-0005-0000-0000-0000960F0000}"/>
    <cellStyle name="Normal 3 2 5 3 5" xfId="4744" xr:uid="{00000000-0005-0000-0000-0000970F0000}"/>
    <cellStyle name="Normal 3 2 5 4" xfId="1081" xr:uid="{00000000-0005-0000-0000-0000980F0000}"/>
    <cellStyle name="Normal 3 2 5 4 2" xfId="1082" xr:uid="{00000000-0005-0000-0000-0000990F0000}"/>
    <cellStyle name="Normal 3 2 5 4 2 2" xfId="2503" xr:uid="{00000000-0005-0000-0000-00009A0F0000}"/>
    <cellStyle name="Normal 3 2 5 4 2 2 2" xfId="6988" xr:uid="{00000000-0005-0000-0000-00009B0F0000}"/>
    <cellStyle name="Normal 3 2 5 4 2 3" xfId="5909" xr:uid="{00000000-0005-0000-0000-00009C0F0000}"/>
    <cellStyle name="Normal 3 2 5 4 3" xfId="2504" xr:uid="{00000000-0005-0000-0000-00009D0F0000}"/>
    <cellStyle name="Normal 3 2 5 4 3 2" xfId="6989" xr:uid="{00000000-0005-0000-0000-00009E0F0000}"/>
    <cellStyle name="Normal 3 2 5 4 4" xfId="3950" xr:uid="{00000000-0005-0000-0000-00009F0F0000}"/>
    <cellStyle name="Normal 3 2 5 4 4 2" xfId="8416" xr:uid="{00000000-0005-0000-0000-0000A00F0000}"/>
    <cellStyle name="Normal 3 2 5 4 5" xfId="5162" xr:uid="{00000000-0005-0000-0000-0000A10F0000}"/>
    <cellStyle name="Normal 3 2 5 5" xfId="1083" xr:uid="{00000000-0005-0000-0000-0000A20F0000}"/>
    <cellStyle name="Normal 3 2 5 5 2" xfId="2505" xr:uid="{00000000-0005-0000-0000-0000A30F0000}"/>
    <cellStyle name="Normal 3 2 5 5 2 2" xfId="6990" xr:uid="{00000000-0005-0000-0000-0000A40F0000}"/>
    <cellStyle name="Normal 3 2 5 5 3" xfId="4488" xr:uid="{00000000-0005-0000-0000-0000A50F0000}"/>
    <cellStyle name="Normal 3 2 5 5 3 2" xfId="8950" xr:uid="{00000000-0005-0000-0000-0000A60F0000}"/>
    <cellStyle name="Normal 3 2 5 5 4" xfId="5699" xr:uid="{00000000-0005-0000-0000-0000A70F0000}"/>
    <cellStyle name="Normal 3 2 5 6" xfId="1878" xr:uid="{00000000-0005-0000-0000-0000A80F0000}"/>
    <cellStyle name="Normal 3 2 5 6 2" xfId="6380" xr:uid="{00000000-0005-0000-0000-0000A90F0000}"/>
    <cellStyle name="Normal 3 2 5 7" xfId="332" xr:uid="{00000000-0005-0000-0000-0000AA0F0000}"/>
    <cellStyle name="Normal 3 2 5 7 2" xfId="5979" xr:uid="{00000000-0005-0000-0000-0000AB0F0000}"/>
    <cellStyle name="Normal 3 2 5 8" xfId="3529" xr:uid="{00000000-0005-0000-0000-0000AC0F0000}"/>
    <cellStyle name="Normal 3 2 5 8 2" xfId="7995" xr:uid="{00000000-0005-0000-0000-0000AD0F0000}"/>
    <cellStyle name="Normal 3 2 5 9" xfId="4741" xr:uid="{00000000-0005-0000-0000-0000AE0F0000}"/>
    <cellStyle name="Normal 3 2 6" xfId="1084" xr:uid="{00000000-0005-0000-0000-0000AF0F0000}"/>
    <cellStyle name="Normal 3 2 6 2" xfId="1085" xr:uid="{00000000-0005-0000-0000-0000B00F0000}"/>
    <cellStyle name="Normal 3 2 6 2 2" xfId="1086" xr:uid="{00000000-0005-0000-0000-0000B10F0000}"/>
    <cellStyle name="Normal 3 2 6 2 2 2" xfId="2506" xr:uid="{00000000-0005-0000-0000-0000B20F0000}"/>
    <cellStyle name="Normal 3 2 6 2 2 2 2" xfId="6991" xr:uid="{00000000-0005-0000-0000-0000B30F0000}"/>
    <cellStyle name="Normal 3 2 6 2 2 3" xfId="4270" xr:uid="{00000000-0005-0000-0000-0000B40F0000}"/>
    <cellStyle name="Normal 3 2 6 2 2 3 2" xfId="8733" xr:uid="{00000000-0005-0000-0000-0000B50F0000}"/>
    <cellStyle name="Normal 3 2 6 2 2 4" xfId="5482" xr:uid="{00000000-0005-0000-0000-0000B60F0000}"/>
    <cellStyle name="Normal 3 2 6 2 3" xfId="2507" xr:uid="{00000000-0005-0000-0000-0000B70F0000}"/>
    <cellStyle name="Normal 3 2 6 2 3 2" xfId="6992" xr:uid="{00000000-0005-0000-0000-0000B80F0000}"/>
    <cellStyle name="Normal 3 2 6 2 4" xfId="3534" xr:uid="{00000000-0005-0000-0000-0000B90F0000}"/>
    <cellStyle name="Normal 3 2 6 2 4 2" xfId="8000" xr:uid="{00000000-0005-0000-0000-0000BA0F0000}"/>
    <cellStyle name="Normal 3 2 6 2 5" xfId="4746" xr:uid="{00000000-0005-0000-0000-0000BB0F0000}"/>
    <cellStyle name="Normal 3 2 6 3" xfId="1087" xr:uid="{00000000-0005-0000-0000-0000BC0F0000}"/>
    <cellStyle name="Normal 3 2 6 3 2" xfId="1088" xr:uid="{00000000-0005-0000-0000-0000BD0F0000}"/>
    <cellStyle name="Normal 3 2 6 3 2 2" xfId="2508" xr:uid="{00000000-0005-0000-0000-0000BE0F0000}"/>
    <cellStyle name="Normal 3 2 6 3 2 2 2" xfId="6993" xr:uid="{00000000-0005-0000-0000-0000BF0F0000}"/>
    <cellStyle name="Normal 3 2 6 3 2 3" xfId="5910" xr:uid="{00000000-0005-0000-0000-0000C00F0000}"/>
    <cellStyle name="Normal 3 2 6 3 3" xfId="2509" xr:uid="{00000000-0005-0000-0000-0000C10F0000}"/>
    <cellStyle name="Normal 3 2 6 3 3 2" xfId="6994" xr:uid="{00000000-0005-0000-0000-0000C20F0000}"/>
    <cellStyle name="Normal 3 2 6 3 4" xfId="3952" xr:uid="{00000000-0005-0000-0000-0000C30F0000}"/>
    <cellStyle name="Normal 3 2 6 3 4 2" xfId="8418" xr:uid="{00000000-0005-0000-0000-0000C40F0000}"/>
    <cellStyle name="Normal 3 2 6 3 5" xfId="5164" xr:uid="{00000000-0005-0000-0000-0000C50F0000}"/>
    <cellStyle name="Normal 3 2 6 4" xfId="1089" xr:uid="{00000000-0005-0000-0000-0000C60F0000}"/>
    <cellStyle name="Normal 3 2 6 4 2" xfId="2510" xr:uid="{00000000-0005-0000-0000-0000C70F0000}"/>
    <cellStyle name="Normal 3 2 6 4 2 2" xfId="6995" xr:uid="{00000000-0005-0000-0000-0000C80F0000}"/>
    <cellStyle name="Normal 3 2 6 4 3" xfId="4491" xr:uid="{00000000-0005-0000-0000-0000C90F0000}"/>
    <cellStyle name="Normal 3 2 6 4 3 2" xfId="8952" xr:uid="{00000000-0005-0000-0000-0000CA0F0000}"/>
    <cellStyle name="Normal 3 2 6 4 4" xfId="5702" xr:uid="{00000000-0005-0000-0000-0000CB0F0000}"/>
    <cellStyle name="Normal 3 2 6 5" xfId="2511" xr:uid="{00000000-0005-0000-0000-0000CC0F0000}"/>
    <cellStyle name="Normal 3 2 6 5 2" xfId="6996" xr:uid="{00000000-0005-0000-0000-0000CD0F0000}"/>
    <cellStyle name="Normal 3 2 6 6" xfId="3533" xr:uid="{00000000-0005-0000-0000-0000CE0F0000}"/>
    <cellStyle name="Normal 3 2 6 6 2" xfId="7999" xr:uid="{00000000-0005-0000-0000-0000CF0F0000}"/>
    <cellStyle name="Normal 3 2 6 7" xfId="4745" xr:uid="{00000000-0005-0000-0000-0000D00F0000}"/>
    <cellStyle name="Normal 3 2 7" xfId="1090" xr:uid="{00000000-0005-0000-0000-0000D10F0000}"/>
    <cellStyle name="Normal 3 2 7 2" xfId="1091" xr:uid="{00000000-0005-0000-0000-0000D20F0000}"/>
    <cellStyle name="Normal 3 2 7 2 2" xfId="2512" xr:uid="{00000000-0005-0000-0000-0000D30F0000}"/>
    <cellStyle name="Normal 3 2 7 2 2 2" xfId="6997" xr:uid="{00000000-0005-0000-0000-0000D40F0000}"/>
    <cellStyle name="Normal 3 2 7 2 3" xfId="4272" xr:uid="{00000000-0005-0000-0000-0000D50F0000}"/>
    <cellStyle name="Normal 3 2 7 2 3 2" xfId="8735" xr:uid="{00000000-0005-0000-0000-0000D60F0000}"/>
    <cellStyle name="Normal 3 2 7 2 4" xfId="5484" xr:uid="{00000000-0005-0000-0000-0000D70F0000}"/>
    <cellStyle name="Normal 3 2 7 3" xfId="2513" xr:uid="{00000000-0005-0000-0000-0000D80F0000}"/>
    <cellStyle name="Normal 3 2 7 3 2" xfId="4271" xr:uid="{00000000-0005-0000-0000-0000D90F0000}"/>
    <cellStyle name="Normal 3 2 7 3 2 2" xfId="8734" xr:uid="{00000000-0005-0000-0000-0000DA0F0000}"/>
    <cellStyle name="Normal 3 2 7 3 3" xfId="5483" xr:uid="{00000000-0005-0000-0000-0000DB0F0000}"/>
    <cellStyle name="Normal 3 2 7 4" xfId="3535" xr:uid="{00000000-0005-0000-0000-0000DC0F0000}"/>
    <cellStyle name="Normal 3 2 7 4 2" xfId="8001" xr:uid="{00000000-0005-0000-0000-0000DD0F0000}"/>
    <cellStyle name="Normal 3 2 7 5" xfId="4747" xr:uid="{00000000-0005-0000-0000-0000DE0F0000}"/>
    <cellStyle name="Normal 3 2 8" xfId="1092" xr:uid="{00000000-0005-0000-0000-0000DF0F0000}"/>
    <cellStyle name="Normal 3 2 8 2" xfId="1093" xr:uid="{00000000-0005-0000-0000-0000E00F0000}"/>
    <cellStyle name="Normal 3 2 8 2 2" xfId="2514" xr:uid="{00000000-0005-0000-0000-0000E10F0000}"/>
    <cellStyle name="Normal 3 2 8 2 2 2" xfId="6998" xr:uid="{00000000-0005-0000-0000-0000E20F0000}"/>
    <cellStyle name="Normal 3 2 8 2 3" xfId="6011" xr:uid="{00000000-0005-0000-0000-0000E30F0000}"/>
    <cellStyle name="Normal 3 2 8 3" xfId="2515" xr:uid="{00000000-0005-0000-0000-0000E40F0000}"/>
    <cellStyle name="Normal 3 2 8 3 2" xfId="6999" xr:uid="{00000000-0005-0000-0000-0000E50F0000}"/>
    <cellStyle name="Normal 3 2 8 4" xfId="4273" xr:uid="{00000000-0005-0000-0000-0000E60F0000}"/>
    <cellStyle name="Normal 3 2 8 4 2" xfId="8736" xr:uid="{00000000-0005-0000-0000-0000E70F0000}"/>
    <cellStyle name="Normal 3 2 8 5" xfId="5485" xr:uid="{00000000-0005-0000-0000-0000E80F0000}"/>
    <cellStyle name="Normal 3 2 9" xfId="1094" xr:uid="{00000000-0005-0000-0000-0000E90F0000}"/>
    <cellStyle name="Normal 3 2 9 2" xfId="2516" xr:uid="{00000000-0005-0000-0000-0000EA0F0000}"/>
    <cellStyle name="Normal 3 2 9 2 2" xfId="7000" xr:uid="{00000000-0005-0000-0000-0000EB0F0000}"/>
    <cellStyle name="Normal 3 2 9 3" xfId="4274" xr:uid="{00000000-0005-0000-0000-0000EC0F0000}"/>
    <cellStyle name="Normal 3 2 9 3 2" xfId="8737" xr:uid="{00000000-0005-0000-0000-0000ED0F0000}"/>
    <cellStyle name="Normal 3 2 9 4" xfId="5486" xr:uid="{00000000-0005-0000-0000-0000EE0F0000}"/>
    <cellStyle name="Normal 3 3" xfId="117" xr:uid="{00000000-0005-0000-0000-0000EF0F0000}"/>
    <cellStyle name="Normal 3 3 10" xfId="333" xr:uid="{00000000-0005-0000-0000-0000F00F0000}"/>
    <cellStyle name="Normal 3 3 10 2" xfId="4481" xr:uid="{00000000-0005-0000-0000-0000F10F0000}"/>
    <cellStyle name="Normal 3 3 10 2 2" xfId="8943" xr:uid="{00000000-0005-0000-0000-0000F20F0000}"/>
    <cellStyle name="Normal 3 3 10 3" xfId="5692" xr:uid="{00000000-0005-0000-0000-0000F30F0000}"/>
    <cellStyle name="Normal 3 3 11" xfId="3536" xr:uid="{00000000-0005-0000-0000-0000F40F0000}"/>
    <cellStyle name="Normal 3 3 11 2" xfId="8002" xr:uid="{00000000-0005-0000-0000-0000F50F0000}"/>
    <cellStyle name="Normal 3 3 12" xfId="4748" xr:uid="{00000000-0005-0000-0000-0000F60F0000}"/>
    <cellStyle name="Normal 3 3 2" xfId="118" xr:uid="{00000000-0005-0000-0000-0000F70F0000}"/>
    <cellStyle name="Normal 3 3 2 2" xfId="119" xr:uid="{00000000-0005-0000-0000-0000F80F0000}"/>
    <cellStyle name="Normal 3 3 2 2 2" xfId="120" xr:uid="{00000000-0005-0000-0000-0000F90F0000}"/>
    <cellStyle name="Normal 3 3 2 2 2 2" xfId="1095" xr:uid="{00000000-0005-0000-0000-0000FA0F0000}"/>
    <cellStyle name="Normal 3 3 2 2 2 2 2" xfId="1096" xr:uid="{00000000-0005-0000-0000-0000FB0F0000}"/>
    <cellStyle name="Normal 3 3 2 2 2 2 2 2" xfId="2517" xr:uid="{00000000-0005-0000-0000-0000FC0F0000}"/>
    <cellStyle name="Normal 3 3 2 2 2 2 2 2 2" xfId="7001" xr:uid="{00000000-0005-0000-0000-0000FD0F0000}"/>
    <cellStyle name="Normal 3 3 2 2 2 2 2 3" xfId="4275" xr:uid="{00000000-0005-0000-0000-0000FE0F0000}"/>
    <cellStyle name="Normal 3 3 2 2 2 2 2 3 2" xfId="8738" xr:uid="{00000000-0005-0000-0000-0000FF0F0000}"/>
    <cellStyle name="Normal 3 3 2 2 2 2 2 4" xfId="5487" xr:uid="{00000000-0005-0000-0000-000000100000}"/>
    <cellStyle name="Normal 3 3 2 2 2 2 3" xfId="2518" xr:uid="{00000000-0005-0000-0000-000001100000}"/>
    <cellStyle name="Normal 3 3 2 2 2 2 3 2" xfId="7002" xr:uid="{00000000-0005-0000-0000-000002100000}"/>
    <cellStyle name="Normal 3 3 2 2 2 2 4" xfId="3540" xr:uid="{00000000-0005-0000-0000-000003100000}"/>
    <cellStyle name="Normal 3 3 2 2 2 2 4 2" xfId="8006" xr:uid="{00000000-0005-0000-0000-000004100000}"/>
    <cellStyle name="Normal 3 3 2 2 2 2 5" xfId="4752" xr:uid="{00000000-0005-0000-0000-000005100000}"/>
    <cellStyle name="Normal 3 3 2 2 2 3" xfId="1097" xr:uid="{00000000-0005-0000-0000-000006100000}"/>
    <cellStyle name="Normal 3 3 2 2 2 3 2" xfId="1098" xr:uid="{00000000-0005-0000-0000-000007100000}"/>
    <cellStyle name="Normal 3 3 2 2 2 3 2 2" xfId="2519" xr:uid="{00000000-0005-0000-0000-000008100000}"/>
    <cellStyle name="Normal 3 3 2 2 2 3 2 2 2" xfId="7003" xr:uid="{00000000-0005-0000-0000-000009100000}"/>
    <cellStyle name="Normal 3 3 2 2 2 3 2 3" xfId="5721" xr:uid="{00000000-0005-0000-0000-00000A100000}"/>
    <cellStyle name="Normal 3 3 2 2 2 3 3" xfId="2520" xr:uid="{00000000-0005-0000-0000-00000B100000}"/>
    <cellStyle name="Normal 3 3 2 2 2 3 3 2" xfId="7004" xr:uid="{00000000-0005-0000-0000-00000C100000}"/>
    <cellStyle name="Normal 3 3 2 2 2 3 4" xfId="3956" xr:uid="{00000000-0005-0000-0000-00000D100000}"/>
    <cellStyle name="Normal 3 3 2 2 2 3 4 2" xfId="8422" xr:uid="{00000000-0005-0000-0000-00000E100000}"/>
    <cellStyle name="Normal 3 3 2 2 2 3 5" xfId="5168" xr:uid="{00000000-0005-0000-0000-00000F100000}"/>
    <cellStyle name="Normal 3 3 2 2 2 4" xfId="1099" xr:uid="{00000000-0005-0000-0000-000010100000}"/>
    <cellStyle name="Normal 3 3 2 2 2 4 2" xfId="2521" xr:uid="{00000000-0005-0000-0000-000011100000}"/>
    <cellStyle name="Normal 3 3 2 2 2 4 2 2" xfId="7005" xr:uid="{00000000-0005-0000-0000-000012100000}"/>
    <cellStyle name="Normal 3 3 2 2 2 4 3" xfId="5720" xr:uid="{00000000-0005-0000-0000-000013100000}"/>
    <cellStyle name="Normal 3 3 2 2 2 5" xfId="336" xr:uid="{00000000-0005-0000-0000-000014100000}"/>
    <cellStyle name="Normal 3 3 2 2 2 5 2" xfId="5977" xr:uid="{00000000-0005-0000-0000-000015100000}"/>
    <cellStyle name="Normal 3 3 2 2 2 6" xfId="3539" xr:uid="{00000000-0005-0000-0000-000016100000}"/>
    <cellStyle name="Normal 3 3 2 2 2 6 2" xfId="8005" xr:uid="{00000000-0005-0000-0000-000017100000}"/>
    <cellStyle name="Normal 3 3 2 2 2 7" xfId="4751" xr:uid="{00000000-0005-0000-0000-000018100000}"/>
    <cellStyle name="Normal 3 3 2 2 3" xfId="1100" xr:uid="{00000000-0005-0000-0000-000019100000}"/>
    <cellStyle name="Normal 3 3 2 2 3 2" xfId="1101" xr:uid="{00000000-0005-0000-0000-00001A100000}"/>
    <cellStyle name="Normal 3 3 2 2 3 2 2" xfId="2522" xr:uid="{00000000-0005-0000-0000-00001B100000}"/>
    <cellStyle name="Normal 3 3 2 2 3 2 2 2" xfId="7006" xr:uid="{00000000-0005-0000-0000-00001C100000}"/>
    <cellStyle name="Normal 3 3 2 2 3 2 3" xfId="4276" xr:uid="{00000000-0005-0000-0000-00001D100000}"/>
    <cellStyle name="Normal 3 3 2 2 3 2 3 2" xfId="8739" xr:uid="{00000000-0005-0000-0000-00001E100000}"/>
    <cellStyle name="Normal 3 3 2 2 3 2 4" xfId="5488" xr:uid="{00000000-0005-0000-0000-00001F100000}"/>
    <cellStyle name="Normal 3 3 2 2 3 3" xfId="2523" xr:uid="{00000000-0005-0000-0000-000020100000}"/>
    <cellStyle name="Normal 3 3 2 2 3 3 2" xfId="7007" xr:uid="{00000000-0005-0000-0000-000021100000}"/>
    <cellStyle name="Normal 3 3 2 2 3 4" xfId="3541" xr:uid="{00000000-0005-0000-0000-000022100000}"/>
    <cellStyle name="Normal 3 3 2 2 3 4 2" xfId="8007" xr:uid="{00000000-0005-0000-0000-000023100000}"/>
    <cellStyle name="Normal 3 3 2 2 3 5" xfId="4753" xr:uid="{00000000-0005-0000-0000-000024100000}"/>
    <cellStyle name="Normal 3 3 2 2 4" xfId="1102" xr:uid="{00000000-0005-0000-0000-000025100000}"/>
    <cellStyle name="Normal 3 3 2 2 4 2" xfId="1103" xr:uid="{00000000-0005-0000-0000-000026100000}"/>
    <cellStyle name="Normal 3 3 2 2 4 2 2" xfId="2524" xr:uid="{00000000-0005-0000-0000-000027100000}"/>
    <cellStyle name="Normal 3 3 2 2 4 2 2 2" xfId="7008" xr:uid="{00000000-0005-0000-0000-000028100000}"/>
    <cellStyle name="Normal 3 3 2 2 4 2 3" xfId="6010" xr:uid="{00000000-0005-0000-0000-000029100000}"/>
    <cellStyle name="Normal 3 3 2 2 4 3" xfId="2525" xr:uid="{00000000-0005-0000-0000-00002A100000}"/>
    <cellStyle name="Normal 3 3 2 2 4 3 2" xfId="7009" xr:uid="{00000000-0005-0000-0000-00002B100000}"/>
    <cellStyle name="Normal 3 3 2 2 4 4" xfId="3955" xr:uid="{00000000-0005-0000-0000-00002C100000}"/>
    <cellStyle name="Normal 3 3 2 2 4 4 2" xfId="8421" xr:uid="{00000000-0005-0000-0000-00002D100000}"/>
    <cellStyle name="Normal 3 3 2 2 4 5" xfId="5167" xr:uid="{00000000-0005-0000-0000-00002E100000}"/>
    <cellStyle name="Normal 3 3 2 2 5" xfId="1104" xr:uid="{00000000-0005-0000-0000-00002F100000}"/>
    <cellStyle name="Normal 3 3 2 2 5 2" xfId="2526" xr:uid="{00000000-0005-0000-0000-000030100000}"/>
    <cellStyle name="Normal 3 3 2 2 5 2 2" xfId="7010" xr:uid="{00000000-0005-0000-0000-000031100000}"/>
    <cellStyle name="Normal 3 3 2 2 5 3" xfId="6009" xr:uid="{00000000-0005-0000-0000-000032100000}"/>
    <cellStyle name="Normal 3 3 2 2 6" xfId="335" xr:uid="{00000000-0005-0000-0000-000033100000}"/>
    <cellStyle name="Normal 3 3 2 2 6 2" xfId="5861" xr:uid="{00000000-0005-0000-0000-000034100000}"/>
    <cellStyle name="Normal 3 3 2 2 7" xfId="3538" xr:uid="{00000000-0005-0000-0000-000035100000}"/>
    <cellStyle name="Normal 3 3 2 2 7 2" xfId="8004" xr:uid="{00000000-0005-0000-0000-000036100000}"/>
    <cellStyle name="Normal 3 3 2 2 8" xfId="4750" xr:uid="{00000000-0005-0000-0000-000037100000}"/>
    <cellStyle name="Normal 3 3 2 3" xfId="121" xr:uid="{00000000-0005-0000-0000-000038100000}"/>
    <cellStyle name="Normal 3 3 2 3 2" xfId="1105" xr:uid="{00000000-0005-0000-0000-000039100000}"/>
    <cellStyle name="Normal 3 3 2 3 2 2" xfId="1106" xr:uid="{00000000-0005-0000-0000-00003A100000}"/>
    <cellStyle name="Normal 3 3 2 3 2 2 2" xfId="2527" xr:uid="{00000000-0005-0000-0000-00003B100000}"/>
    <cellStyle name="Normal 3 3 2 3 2 2 2 2" xfId="7011" xr:uid="{00000000-0005-0000-0000-00003C100000}"/>
    <cellStyle name="Normal 3 3 2 3 2 2 3" xfId="4277" xr:uid="{00000000-0005-0000-0000-00003D100000}"/>
    <cellStyle name="Normal 3 3 2 3 2 2 3 2" xfId="8740" xr:uid="{00000000-0005-0000-0000-00003E100000}"/>
    <cellStyle name="Normal 3 3 2 3 2 2 4" xfId="5489" xr:uid="{00000000-0005-0000-0000-00003F100000}"/>
    <cellStyle name="Normal 3 3 2 3 2 3" xfId="2528" xr:uid="{00000000-0005-0000-0000-000040100000}"/>
    <cellStyle name="Normal 3 3 2 3 2 3 2" xfId="7012" xr:uid="{00000000-0005-0000-0000-000041100000}"/>
    <cellStyle name="Normal 3 3 2 3 2 4" xfId="3543" xr:uid="{00000000-0005-0000-0000-000042100000}"/>
    <cellStyle name="Normal 3 3 2 3 2 4 2" xfId="8009" xr:uid="{00000000-0005-0000-0000-000043100000}"/>
    <cellStyle name="Normal 3 3 2 3 2 5" xfId="4755" xr:uid="{00000000-0005-0000-0000-000044100000}"/>
    <cellStyle name="Normal 3 3 2 3 3" xfId="1107" xr:uid="{00000000-0005-0000-0000-000045100000}"/>
    <cellStyle name="Normal 3 3 2 3 3 2" xfId="1108" xr:uid="{00000000-0005-0000-0000-000046100000}"/>
    <cellStyle name="Normal 3 3 2 3 3 2 2" xfId="2529" xr:uid="{00000000-0005-0000-0000-000047100000}"/>
    <cellStyle name="Normal 3 3 2 3 3 2 2 2" xfId="7013" xr:uid="{00000000-0005-0000-0000-000048100000}"/>
    <cellStyle name="Normal 3 3 2 3 3 2 3" xfId="6008" xr:uid="{00000000-0005-0000-0000-000049100000}"/>
    <cellStyle name="Normal 3 3 2 3 3 3" xfId="2530" xr:uid="{00000000-0005-0000-0000-00004A100000}"/>
    <cellStyle name="Normal 3 3 2 3 3 3 2" xfId="7014" xr:uid="{00000000-0005-0000-0000-00004B100000}"/>
    <cellStyle name="Normal 3 3 2 3 3 4" xfId="3957" xr:uid="{00000000-0005-0000-0000-00004C100000}"/>
    <cellStyle name="Normal 3 3 2 3 3 4 2" xfId="8423" xr:uid="{00000000-0005-0000-0000-00004D100000}"/>
    <cellStyle name="Normal 3 3 2 3 3 5" xfId="5169" xr:uid="{00000000-0005-0000-0000-00004E100000}"/>
    <cellStyle name="Normal 3 3 2 3 4" xfId="1109" xr:uid="{00000000-0005-0000-0000-00004F100000}"/>
    <cellStyle name="Normal 3 3 2 3 4 2" xfId="2531" xr:uid="{00000000-0005-0000-0000-000050100000}"/>
    <cellStyle name="Normal 3 3 2 3 4 2 2" xfId="7015" xr:uid="{00000000-0005-0000-0000-000051100000}"/>
    <cellStyle name="Normal 3 3 2 3 4 3" xfId="5719" xr:uid="{00000000-0005-0000-0000-000052100000}"/>
    <cellStyle name="Normal 3 3 2 3 5" xfId="337" xr:uid="{00000000-0005-0000-0000-000053100000}"/>
    <cellStyle name="Normal 3 3 2 3 5 2" xfId="6112" xr:uid="{00000000-0005-0000-0000-000054100000}"/>
    <cellStyle name="Normal 3 3 2 3 6" xfId="3542" xr:uid="{00000000-0005-0000-0000-000055100000}"/>
    <cellStyle name="Normal 3 3 2 3 6 2" xfId="8008" xr:uid="{00000000-0005-0000-0000-000056100000}"/>
    <cellStyle name="Normal 3 3 2 3 7" xfId="4754" xr:uid="{00000000-0005-0000-0000-000057100000}"/>
    <cellStyle name="Normal 3 3 2 4" xfId="1110" xr:uid="{00000000-0005-0000-0000-000058100000}"/>
    <cellStyle name="Normal 3 3 2 4 2" xfId="1111" xr:uid="{00000000-0005-0000-0000-000059100000}"/>
    <cellStyle name="Normal 3 3 2 4 2 2" xfId="2532" xr:uid="{00000000-0005-0000-0000-00005A100000}"/>
    <cellStyle name="Normal 3 3 2 4 2 2 2" xfId="7016" xr:uid="{00000000-0005-0000-0000-00005B100000}"/>
    <cellStyle name="Normal 3 3 2 4 2 3" xfId="4278" xr:uid="{00000000-0005-0000-0000-00005C100000}"/>
    <cellStyle name="Normal 3 3 2 4 2 3 2" xfId="8741" xr:uid="{00000000-0005-0000-0000-00005D100000}"/>
    <cellStyle name="Normal 3 3 2 4 2 4" xfId="5490" xr:uid="{00000000-0005-0000-0000-00005E100000}"/>
    <cellStyle name="Normal 3 3 2 4 3" xfId="2533" xr:uid="{00000000-0005-0000-0000-00005F100000}"/>
    <cellStyle name="Normal 3 3 2 4 3 2" xfId="7017" xr:uid="{00000000-0005-0000-0000-000060100000}"/>
    <cellStyle name="Normal 3 3 2 4 4" xfId="3544" xr:uid="{00000000-0005-0000-0000-000061100000}"/>
    <cellStyle name="Normal 3 3 2 4 4 2" xfId="8010" xr:uid="{00000000-0005-0000-0000-000062100000}"/>
    <cellStyle name="Normal 3 3 2 4 5" xfId="4756" xr:uid="{00000000-0005-0000-0000-000063100000}"/>
    <cellStyle name="Normal 3 3 2 5" xfId="1112" xr:uid="{00000000-0005-0000-0000-000064100000}"/>
    <cellStyle name="Normal 3 3 2 5 2" xfId="1113" xr:uid="{00000000-0005-0000-0000-000065100000}"/>
    <cellStyle name="Normal 3 3 2 5 2 2" xfId="2534" xr:uid="{00000000-0005-0000-0000-000066100000}"/>
    <cellStyle name="Normal 3 3 2 5 2 2 2" xfId="7018" xr:uid="{00000000-0005-0000-0000-000067100000}"/>
    <cellStyle name="Normal 3 3 2 5 2 3" xfId="5718" xr:uid="{00000000-0005-0000-0000-000068100000}"/>
    <cellStyle name="Normal 3 3 2 5 3" xfId="2535" xr:uid="{00000000-0005-0000-0000-000069100000}"/>
    <cellStyle name="Normal 3 3 2 5 3 2" xfId="7019" xr:uid="{00000000-0005-0000-0000-00006A100000}"/>
    <cellStyle name="Normal 3 3 2 5 4" xfId="3954" xr:uid="{00000000-0005-0000-0000-00006B100000}"/>
    <cellStyle name="Normal 3 3 2 5 4 2" xfId="8420" xr:uid="{00000000-0005-0000-0000-00006C100000}"/>
    <cellStyle name="Normal 3 3 2 5 5" xfId="5166" xr:uid="{00000000-0005-0000-0000-00006D100000}"/>
    <cellStyle name="Normal 3 3 2 6" xfId="1114" xr:uid="{00000000-0005-0000-0000-00006E100000}"/>
    <cellStyle name="Normal 3 3 2 6 2" xfId="2536" xr:uid="{00000000-0005-0000-0000-00006F100000}"/>
    <cellStyle name="Normal 3 3 2 6 2 2" xfId="7020" xr:uid="{00000000-0005-0000-0000-000070100000}"/>
    <cellStyle name="Normal 3 3 2 6 3" xfId="5908" xr:uid="{00000000-0005-0000-0000-000071100000}"/>
    <cellStyle name="Normal 3 3 2 7" xfId="334" xr:uid="{00000000-0005-0000-0000-000072100000}"/>
    <cellStyle name="Normal 3 3 2 7 2" xfId="5862" xr:uid="{00000000-0005-0000-0000-000073100000}"/>
    <cellStyle name="Normal 3 3 2 8" xfId="3537" xr:uid="{00000000-0005-0000-0000-000074100000}"/>
    <cellStyle name="Normal 3 3 2 8 2" xfId="8003" xr:uid="{00000000-0005-0000-0000-000075100000}"/>
    <cellStyle name="Normal 3 3 2 9" xfId="4749" xr:uid="{00000000-0005-0000-0000-000076100000}"/>
    <cellStyle name="Normal 3 3 3" xfId="122" xr:uid="{00000000-0005-0000-0000-000077100000}"/>
    <cellStyle name="Normal 3 3 3 2" xfId="123" xr:uid="{00000000-0005-0000-0000-000078100000}"/>
    <cellStyle name="Normal 3 3 3 2 2" xfId="1115" xr:uid="{00000000-0005-0000-0000-000079100000}"/>
    <cellStyle name="Normal 3 3 3 2 2 2" xfId="1116" xr:uid="{00000000-0005-0000-0000-00007A100000}"/>
    <cellStyle name="Normal 3 3 3 2 2 2 2" xfId="2537" xr:uid="{00000000-0005-0000-0000-00007B100000}"/>
    <cellStyle name="Normal 3 3 3 2 2 2 2 2" xfId="7021" xr:uid="{00000000-0005-0000-0000-00007C100000}"/>
    <cellStyle name="Normal 3 3 3 2 2 2 3" xfId="4279" xr:uid="{00000000-0005-0000-0000-00007D100000}"/>
    <cellStyle name="Normal 3 3 3 2 2 2 3 2" xfId="8742" xr:uid="{00000000-0005-0000-0000-00007E100000}"/>
    <cellStyle name="Normal 3 3 3 2 2 2 4" xfId="5491" xr:uid="{00000000-0005-0000-0000-00007F100000}"/>
    <cellStyle name="Normal 3 3 3 2 2 3" xfId="2538" xr:uid="{00000000-0005-0000-0000-000080100000}"/>
    <cellStyle name="Normal 3 3 3 2 2 3 2" xfId="7022" xr:uid="{00000000-0005-0000-0000-000081100000}"/>
    <cellStyle name="Normal 3 3 3 2 2 4" xfId="3547" xr:uid="{00000000-0005-0000-0000-000082100000}"/>
    <cellStyle name="Normal 3 3 3 2 2 4 2" xfId="8013" xr:uid="{00000000-0005-0000-0000-000083100000}"/>
    <cellStyle name="Normal 3 3 3 2 2 5" xfId="4759" xr:uid="{00000000-0005-0000-0000-000084100000}"/>
    <cellStyle name="Normal 3 3 3 2 3" xfId="1117" xr:uid="{00000000-0005-0000-0000-000085100000}"/>
    <cellStyle name="Normal 3 3 3 2 3 2" xfId="1118" xr:uid="{00000000-0005-0000-0000-000086100000}"/>
    <cellStyle name="Normal 3 3 3 2 3 2 2" xfId="2539" xr:uid="{00000000-0005-0000-0000-000087100000}"/>
    <cellStyle name="Normal 3 3 3 2 3 2 2 2" xfId="7023" xr:uid="{00000000-0005-0000-0000-000088100000}"/>
    <cellStyle name="Normal 3 3 3 2 3 2 3" xfId="5717" xr:uid="{00000000-0005-0000-0000-000089100000}"/>
    <cellStyle name="Normal 3 3 3 2 3 3" xfId="2540" xr:uid="{00000000-0005-0000-0000-00008A100000}"/>
    <cellStyle name="Normal 3 3 3 2 3 3 2" xfId="7024" xr:uid="{00000000-0005-0000-0000-00008B100000}"/>
    <cellStyle name="Normal 3 3 3 2 3 4" xfId="3959" xr:uid="{00000000-0005-0000-0000-00008C100000}"/>
    <cellStyle name="Normal 3 3 3 2 3 4 2" xfId="8425" xr:uid="{00000000-0005-0000-0000-00008D100000}"/>
    <cellStyle name="Normal 3 3 3 2 3 5" xfId="5171" xr:uid="{00000000-0005-0000-0000-00008E100000}"/>
    <cellStyle name="Normal 3 3 3 2 4" xfId="1119" xr:uid="{00000000-0005-0000-0000-00008F100000}"/>
    <cellStyle name="Normal 3 3 3 2 4 2" xfId="2541" xr:uid="{00000000-0005-0000-0000-000090100000}"/>
    <cellStyle name="Normal 3 3 3 2 4 2 2" xfId="7025" xr:uid="{00000000-0005-0000-0000-000091100000}"/>
    <cellStyle name="Normal 3 3 3 2 4 3" xfId="5907" xr:uid="{00000000-0005-0000-0000-000092100000}"/>
    <cellStyle name="Normal 3 3 3 2 5" xfId="339" xr:uid="{00000000-0005-0000-0000-000093100000}"/>
    <cellStyle name="Normal 3 3 3 2 5 2" xfId="5978" xr:uid="{00000000-0005-0000-0000-000094100000}"/>
    <cellStyle name="Normal 3 3 3 2 6" xfId="3546" xr:uid="{00000000-0005-0000-0000-000095100000}"/>
    <cellStyle name="Normal 3 3 3 2 6 2" xfId="8012" xr:uid="{00000000-0005-0000-0000-000096100000}"/>
    <cellStyle name="Normal 3 3 3 2 7" xfId="4758" xr:uid="{00000000-0005-0000-0000-000097100000}"/>
    <cellStyle name="Normal 3 3 3 3" xfId="1120" xr:uid="{00000000-0005-0000-0000-000098100000}"/>
    <cellStyle name="Normal 3 3 3 3 2" xfId="1121" xr:uid="{00000000-0005-0000-0000-000099100000}"/>
    <cellStyle name="Normal 3 3 3 3 2 2" xfId="2542" xr:uid="{00000000-0005-0000-0000-00009A100000}"/>
    <cellStyle name="Normal 3 3 3 3 2 2 2" xfId="7026" xr:uid="{00000000-0005-0000-0000-00009B100000}"/>
    <cellStyle name="Normal 3 3 3 3 2 3" xfId="4280" xr:uid="{00000000-0005-0000-0000-00009C100000}"/>
    <cellStyle name="Normal 3 3 3 3 2 3 2" xfId="8743" xr:uid="{00000000-0005-0000-0000-00009D100000}"/>
    <cellStyle name="Normal 3 3 3 3 2 4" xfId="5492" xr:uid="{00000000-0005-0000-0000-00009E100000}"/>
    <cellStyle name="Normal 3 3 3 3 3" xfId="2543" xr:uid="{00000000-0005-0000-0000-00009F100000}"/>
    <cellStyle name="Normal 3 3 3 3 3 2" xfId="7027" xr:uid="{00000000-0005-0000-0000-0000A0100000}"/>
    <cellStyle name="Normal 3 3 3 3 4" xfId="3548" xr:uid="{00000000-0005-0000-0000-0000A1100000}"/>
    <cellStyle name="Normal 3 3 3 3 4 2" xfId="8014" xr:uid="{00000000-0005-0000-0000-0000A2100000}"/>
    <cellStyle name="Normal 3 3 3 3 5" xfId="4760" xr:uid="{00000000-0005-0000-0000-0000A3100000}"/>
    <cellStyle name="Normal 3 3 3 4" xfId="1122" xr:uid="{00000000-0005-0000-0000-0000A4100000}"/>
    <cellStyle name="Normal 3 3 3 4 2" xfId="1123" xr:uid="{00000000-0005-0000-0000-0000A5100000}"/>
    <cellStyle name="Normal 3 3 3 4 2 2" xfId="2544" xr:uid="{00000000-0005-0000-0000-0000A6100000}"/>
    <cellStyle name="Normal 3 3 3 4 2 2 2" xfId="7028" xr:uid="{00000000-0005-0000-0000-0000A7100000}"/>
    <cellStyle name="Normal 3 3 3 4 2 3" xfId="6007" xr:uid="{00000000-0005-0000-0000-0000A8100000}"/>
    <cellStyle name="Normal 3 3 3 4 3" xfId="2545" xr:uid="{00000000-0005-0000-0000-0000A9100000}"/>
    <cellStyle name="Normal 3 3 3 4 3 2" xfId="7029" xr:uid="{00000000-0005-0000-0000-0000AA100000}"/>
    <cellStyle name="Normal 3 3 3 4 4" xfId="3958" xr:uid="{00000000-0005-0000-0000-0000AB100000}"/>
    <cellStyle name="Normal 3 3 3 4 4 2" xfId="8424" xr:uid="{00000000-0005-0000-0000-0000AC100000}"/>
    <cellStyle name="Normal 3 3 3 4 5" xfId="5170" xr:uid="{00000000-0005-0000-0000-0000AD100000}"/>
    <cellStyle name="Normal 3 3 3 5" xfId="1124" xr:uid="{00000000-0005-0000-0000-0000AE100000}"/>
    <cellStyle name="Normal 3 3 3 5 2" xfId="2546" xr:uid="{00000000-0005-0000-0000-0000AF100000}"/>
    <cellStyle name="Normal 3 3 3 5 2 2" xfId="7030" xr:uid="{00000000-0005-0000-0000-0000B0100000}"/>
    <cellStyle name="Normal 3 3 3 5 3" xfId="5716" xr:uid="{00000000-0005-0000-0000-0000B1100000}"/>
    <cellStyle name="Normal 3 3 3 6" xfId="338" xr:uid="{00000000-0005-0000-0000-0000B2100000}"/>
    <cellStyle name="Normal 3 3 3 6 2" xfId="5860" xr:uid="{00000000-0005-0000-0000-0000B3100000}"/>
    <cellStyle name="Normal 3 3 3 7" xfId="3545" xr:uid="{00000000-0005-0000-0000-0000B4100000}"/>
    <cellStyle name="Normal 3 3 3 7 2" xfId="8011" xr:uid="{00000000-0005-0000-0000-0000B5100000}"/>
    <cellStyle name="Normal 3 3 3 8" xfId="4757" xr:uid="{00000000-0005-0000-0000-0000B6100000}"/>
    <cellStyle name="Normal 3 3 4" xfId="124" xr:uid="{00000000-0005-0000-0000-0000B7100000}"/>
    <cellStyle name="Normal 3 3 4 2" xfId="1125" xr:uid="{00000000-0005-0000-0000-0000B8100000}"/>
    <cellStyle name="Normal 3 3 4 2 2" xfId="1126" xr:uid="{00000000-0005-0000-0000-0000B9100000}"/>
    <cellStyle name="Normal 3 3 4 2 2 2" xfId="1127" xr:uid="{00000000-0005-0000-0000-0000BA100000}"/>
    <cellStyle name="Normal 3 3 4 2 2 2 2" xfId="2547" xr:uid="{00000000-0005-0000-0000-0000BB100000}"/>
    <cellStyle name="Normal 3 3 4 2 2 2 2 2" xfId="7031" xr:uid="{00000000-0005-0000-0000-0000BC100000}"/>
    <cellStyle name="Normal 3 3 4 2 2 2 3" xfId="4281" xr:uid="{00000000-0005-0000-0000-0000BD100000}"/>
    <cellStyle name="Normal 3 3 4 2 2 2 3 2" xfId="8744" xr:uid="{00000000-0005-0000-0000-0000BE100000}"/>
    <cellStyle name="Normal 3 3 4 2 2 2 4" xfId="5493" xr:uid="{00000000-0005-0000-0000-0000BF100000}"/>
    <cellStyle name="Normal 3 3 4 2 2 3" xfId="2548" xr:uid="{00000000-0005-0000-0000-0000C0100000}"/>
    <cellStyle name="Normal 3 3 4 2 2 3 2" xfId="7032" xr:uid="{00000000-0005-0000-0000-0000C1100000}"/>
    <cellStyle name="Normal 3 3 4 2 2 4" xfId="3551" xr:uid="{00000000-0005-0000-0000-0000C2100000}"/>
    <cellStyle name="Normal 3 3 4 2 2 4 2" xfId="8017" xr:uid="{00000000-0005-0000-0000-0000C3100000}"/>
    <cellStyle name="Normal 3 3 4 2 2 5" xfId="4763" xr:uid="{00000000-0005-0000-0000-0000C4100000}"/>
    <cellStyle name="Normal 3 3 4 2 3" xfId="1128" xr:uid="{00000000-0005-0000-0000-0000C5100000}"/>
    <cellStyle name="Normal 3 3 4 2 3 2" xfId="1129" xr:uid="{00000000-0005-0000-0000-0000C6100000}"/>
    <cellStyle name="Normal 3 3 4 2 3 2 2" xfId="2549" xr:uid="{00000000-0005-0000-0000-0000C7100000}"/>
    <cellStyle name="Normal 3 3 4 2 3 2 2 2" xfId="7033" xr:uid="{00000000-0005-0000-0000-0000C8100000}"/>
    <cellStyle name="Normal 3 3 4 2 3 2 3" xfId="5715" xr:uid="{00000000-0005-0000-0000-0000C9100000}"/>
    <cellStyle name="Normal 3 3 4 2 3 3" xfId="2550" xr:uid="{00000000-0005-0000-0000-0000CA100000}"/>
    <cellStyle name="Normal 3 3 4 2 3 3 2" xfId="7034" xr:uid="{00000000-0005-0000-0000-0000CB100000}"/>
    <cellStyle name="Normal 3 3 4 2 3 4" xfId="3961" xr:uid="{00000000-0005-0000-0000-0000CC100000}"/>
    <cellStyle name="Normal 3 3 4 2 3 4 2" xfId="8427" xr:uid="{00000000-0005-0000-0000-0000CD100000}"/>
    <cellStyle name="Normal 3 3 4 2 3 5" xfId="5173" xr:uid="{00000000-0005-0000-0000-0000CE100000}"/>
    <cellStyle name="Normal 3 3 4 2 4" xfId="1130" xr:uid="{00000000-0005-0000-0000-0000CF100000}"/>
    <cellStyle name="Normal 3 3 4 2 4 2" xfId="2551" xr:uid="{00000000-0005-0000-0000-0000D0100000}"/>
    <cellStyle name="Normal 3 3 4 2 4 2 2" xfId="7035" xr:uid="{00000000-0005-0000-0000-0000D1100000}"/>
    <cellStyle name="Normal 3 3 4 2 4 3" xfId="5906" xr:uid="{00000000-0005-0000-0000-0000D2100000}"/>
    <cellStyle name="Normal 3 3 4 2 5" xfId="2552" xr:uid="{00000000-0005-0000-0000-0000D3100000}"/>
    <cellStyle name="Normal 3 3 4 2 5 2" xfId="7036" xr:uid="{00000000-0005-0000-0000-0000D4100000}"/>
    <cellStyle name="Normal 3 3 4 2 6" xfId="3550" xr:uid="{00000000-0005-0000-0000-0000D5100000}"/>
    <cellStyle name="Normal 3 3 4 2 6 2" xfId="8016" xr:uid="{00000000-0005-0000-0000-0000D6100000}"/>
    <cellStyle name="Normal 3 3 4 2 7" xfId="4762" xr:uid="{00000000-0005-0000-0000-0000D7100000}"/>
    <cellStyle name="Normal 3 3 4 3" xfId="1131" xr:uid="{00000000-0005-0000-0000-0000D8100000}"/>
    <cellStyle name="Normal 3 3 4 3 2" xfId="1132" xr:uid="{00000000-0005-0000-0000-0000D9100000}"/>
    <cellStyle name="Normal 3 3 4 3 2 2" xfId="2553" xr:uid="{00000000-0005-0000-0000-0000DA100000}"/>
    <cellStyle name="Normal 3 3 4 3 2 2 2" xfId="7037" xr:uid="{00000000-0005-0000-0000-0000DB100000}"/>
    <cellStyle name="Normal 3 3 4 3 2 3" xfId="4282" xr:uid="{00000000-0005-0000-0000-0000DC100000}"/>
    <cellStyle name="Normal 3 3 4 3 2 3 2" xfId="8745" xr:uid="{00000000-0005-0000-0000-0000DD100000}"/>
    <cellStyle name="Normal 3 3 4 3 2 4" xfId="5494" xr:uid="{00000000-0005-0000-0000-0000DE100000}"/>
    <cellStyle name="Normal 3 3 4 3 3" xfId="2554" xr:uid="{00000000-0005-0000-0000-0000DF100000}"/>
    <cellStyle name="Normal 3 3 4 3 3 2" xfId="7038" xr:uid="{00000000-0005-0000-0000-0000E0100000}"/>
    <cellStyle name="Normal 3 3 4 3 4" xfId="3552" xr:uid="{00000000-0005-0000-0000-0000E1100000}"/>
    <cellStyle name="Normal 3 3 4 3 4 2" xfId="8018" xr:uid="{00000000-0005-0000-0000-0000E2100000}"/>
    <cellStyle name="Normal 3 3 4 3 5" xfId="4764" xr:uid="{00000000-0005-0000-0000-0000E3100000}"/>
    <cellStyle name="Normal 3 3 4 4" xfId="1133" xr:uid="{00000000-0005-0000-0000-0000E4100000}"/>
    <cellStyle name="Normal 3 3 4 4 2" xfId="1134" xr:uid="{00000000-0005-0000-0000-0000E5100000}"/>
    <cellStyle name="Normal 3 3 4 4 2 2" xfId="2555" xr:uid="{00000000-0005-0000-0000-0000E6100000}"/>
    <cellStyle name="Normal 3 3 4 4 2 2 2" xfId="7039" xr:uid="{00000000-0005-0000-0000-0000E7100000}"/>
    <cellStyle name="Normal 3 3 4 4 2 3" xfId="5905" xr:uid="{00000000-0005-0000-0000-0000E8100000}"/>
    <cellStyle name="Normal 3 3 4 4 3" xfId="2556" xr:uid="{00000000-0005-0000-0000-0000E9100000}"/>
    <cellStyle name="Normal 3 3 4 4 3 2" xfId="7040" xr:uid="{00000000-0005-0000-0000-0000EA100000}"/>
    <cellStyle name="Normal 3 3 4 4 4" xfId="3960" xr:uid="{00000000-0005-0000-0000-0000EB100000}"/>
    <cellStyle name="Normal 3 3 4 4 4 2" xfId="8426" xr:uid="{00000000-0005-0000-0000-0000EC100000}"/>
    <cellStyle name="Normal 3 3 4 4 5" xfId="5172" xr:uid="{00000000-0005-0000-0000-0000ED100000}"/>
    <cellStyle name="Normal 3 3 4 5" xfId="1135" xr:uid="{00000000-0005-0000-0000-0000EE100000}"/>
    <cellStyle name="Normal 3 3 4 5 2" xfId="2557" xr:uid="{00000000-0005-0000-0000-0000EF100000}"/>
    <cellStyle name="Normal 3 3 4 5 2 2" xfId="7041" xr:uid="{00000000-0005-0000-0000-0000F0100000}"/>
    <cellStyle name="Normal 3 3 4 5 3" xfId="6006" xr:uid="{00000000-0005-0000-0000-0000F1100000}"/>
    <cellStyle name="Normal 3 3 4 6" xfId="340" xr:uid="{00000000-0005-0000-0000-0000F2100000}"/>
    <cellStyle name="Normal 3 3 4 6 2" xfId="6111" xr:uid="{00000000-0005-0000-0000-0000F3100000}"/>
    <cellStyle name="Normal 3 3 4 7" xfId="3549" xr:uid="{00000000-0005-0000-0000-0000F4100000}"/>
    <cellStyle name="Normal 3 3 4 7 2" xfId="8015" xr:uid="{00000000-0005-0000-0000-0000F5100000}"/>
    <cellStyle name="Normal 3 3 4 8" xfId="4761" xr:uid="{00000000-0005-0000-0000-0000F6100000}"/>
    <cellStyle name="Normal 3 3 5" xfId="1136" xr:uid="{00000000-0005-0000-0000-0000F7100000}"/>
    <cellStyle name="Normal 3 3 5 2" xfId="1137" xr:uid="{00000000-0005-0000-0000-0000F8100000}"/>
    <cellStyle name="Normal 3 3 5 2 2" xfId="1138" xr:uid="{00000000-0005-0000-0000-0000F9100000}"/>
    <cellStyle name="Normal 3 3 5 2 2 2" xfId="2558" xr:uid="{00000000-0005-0000-0000-0000FA100000}"/>
    <cellStyle name="Normal 3 3 5 2 2 2 2" xfId="7042" xr:uid="{00000000-0005-0000-0000-0000FB100000}"/>
    <cellStyle name="Normal 3 3 5 2 2 3" xfId="4283" xr:uid="{00000000-0005-0000-0000-0000FC100000}"/>
    <cellStyle name="Normal 3 3 5 2 2 3 2" xfId="8746" xr:uid="{00000000-0005-0000-0000-0000FD100000}"/>
    <cellStyle name="Normal 3 3 5 2 2 4" xfId="5495" xr:uid="{00000000-0005-0000-0000-0000FE100000}"/>
    <cellStyle name="Normal 3 3 5 2 3" xfId="2559" xr:uid="{00000000-0005-0000-0000-0000FF100000}"/>
    <cellStyle name="Normal 3 3 5 2 3 2" xfId="7043" xr:uid="{00000000-0005-0000-0000-000000110000}"/>
    <cellStyle name="Normal 3 3 5 2 4" xfId="3554" xr:uid="{00000000-0005-0000-0000-000001110000}"/>
    <cellStyle name="Normal 3 3 5 2 4 2" xfId="8020" xr:uid="{00000000-0005-0000-0000-000002110000}"/>
    <cellStyle name="Normal 3 3 5 2 5" xfId="4766" xr:uid="{00000000-0005-0000-0000-000003110000}"/>
    <cellStyle name="Normal 3 3 5 3" xfId="1139" xr:uid="{00000000-0005-0000-0000-000004110000}"/>
    <cellStyle name="Normal 3 3 5 3 2" xfId="1140" xr:uid="{00000000-0005-0000-0000-000005110000}"/>
    <cellStyle name="Normal 3 3 5 3 2 2" xfId="2560" xr:uid="{00000000-0005-0000-0000-000006110000}"/>
    <cellStyle name="Normal 3 3 5 3 2 2 2" xfId="7044" xr:uid="{00000000-0005-0000-0000-000007110000}"/>
    <cellStyle name="Normal 3 3 5 3 2 3" xfId="5714" xr:uid="{00000000-0005-0000-0000-000008110000}"/>
    <cellStyle name="Normal 3 3 5 3 3" xfId="2561" xr:uid="{00000000-0005-0000-0000-000009110000}"/>
    <cellStyle name="Normal 3 3 5 3 3 2" xfId="7045" xr:uid="{00000000-0005-0000-0000-00000A110000}"/>
    <cellStyle name="Normal 3 3 5 3 4" xfId="3962" xr:uid="{00000000-0005-0000-0000-00000B110000}"/>
    <cellStyle name="Normal 3 3 5 3 4 2" xfId="8428" xr:uid="{00000000-0005-0000-0000-00000C110000}"/>
    <cellStyle name="Normal 3 3 5 3 5" xfId="5174" xr:uid="{00000000-0005-0000-0000-00000D110000}"/>
    <cellStyle name="Normal 3 3 5 4" xfId="1141" xr:uid="{00000000-0005-0000-0000-00000E110000}"/>
    <cellStyle name="Normal 3 3 5 4 2" xfId="2562" xr:uid="{00000000-0005-0000-0000-00000F110000}"/>
    <cellStyle name="Normal 3 3 5 4 2 2" xfId="7046" xr:uid="{00000000-0005-0000-0000-000010110000}"/>
    <cellStyle name="Normal 3 3 5 4 3" xfId="5713" xr:uid="{00000000-0005-0000-0000-000011110000}"/>
    <cellStyle name="Normal 3 3 5 5" xfId="2563" xr:uid="{00000000-0005-0000-0000-000012110000}"/>
    <cellStyle name="Normal 3 3 5 5 2" xfId="7047" xr:uid="{00000000-0005-0000-0000-000013110000}"/>
    <cellStyle name="Normal 3 3 5 6" xfId="3553" xr:uid="{00000000-0005-0000-0000-000014110000}"/>
    <cellStyle name="Normal 3 3 5 6 2" xfId="8019" xr:uid="{00000000-0005-0000-0000-000015110000}"/>
    <cellStyle name="Normal 3 3 5 7" xfId="4765" xr:uid="{00000000-0005-0000-0000-000016110000}"/>
    <cellStyle name="Normal 3 3 6" xfId="1142" xr:uid="{00000000-0005-0000-0000-000017110000}"/>
    <cellStyle name="Normal 3 3 6 2" xfId="1143" xr:uid="{00000000-0005-0000-0000-000018110000}"/>
    <cellStyle name="Normal 3 3 6 2 2" xfId="2564" xr:uid="{00000000-0005-0000-0000-000019110000}"/>
    <cellStyle name="Normal 3 3 6 2 2 2" xfId="7048" xr:uid="{00000000-0005-0000-0000-00001A110000}"/>
    <cellStyle name="Normal 3 3 6 2 3" xfId="4285" xr:uid="{00000000-0005-0000-0000-00001B110000}"/>
    <cellStyle name="Normal 3 3 6 2 3 2" xfId="8748" xr:uid="{00000000-0005-0000-0000-00001C110000}"/>
    <cellStyle name="Normal 3 3 6 2 4" xfId="5497" xr:uid="{00000000-0005-0000-0000-00001D110000}"/>
    <cellStyle name="Normal 3 3 6 3" xfId="2565" xr:uid="{00000000-0005-0000-0000-00001E110000}"/>
    <cellStyle name="Normal 3 3 6 3 2" xfId="4284" xr:uid="{00000000-0005-0000-0000-00001F110000}"/>
    <cellStyle name="Normal 3 3 6 3 2 2" xfId="8747" xr:uid="{00000000-0005-0000-0000-000020110000}"/>
    <cellStyle name="Normal 3 3 6 3 3" xfId="5496" xr:uid="{00000000-0005-0000-0000-000021110000}"/>
    <cellStyle name="Normal 3 3 6 4" xfId="3555" xr:uid="{00000000-0005-0000-0000-000022110000}"/>
    <cellStyle name="Normal 3 3 6 4 2" xfId="8021" xr:uid="{00000000-0005-0000-0000-000023110000}"/>
    <cellStyle name="Normal 3 3 6 5" xfId="4767" xr:uid="{00000000-0005-0000-0000-000024110000}"/>
    <cellStyle name="Normal 3 3 7" xfId="1144" xr:uid="{00000000-0005-0000-0000-000025110000}"/>
    <cellStyle name="Normal 3 3 7 2" xfId="1145" xr:uid="{00000000-0005-0000-0000-000026110000}"/>
    <cellStyle name="Normal 3 3 7 2 2" xfId="2566" xr:uid="{00000000-0005-0000-0000-000027110000}"/>
    <cellStyle name="Normal 3 3 7 2 2 2" xfId="7049" xr:uid="{00000000-0005-0000-0000-000028110000}"/>
    <cellStyle name="Normal 3 3 7 2 3" xfId="6005" xr:uid="{00000000-0005-0000-0000-000029110000}"/>
    <cellStyle name="Normal 3 3 7 3" xfId="2567" xr:uid="{00000000-0005-0000-0000-00002A110000}"/>
    <cellStyle name="Normal 3 3 7 3 2" xfId="7050" xr:uid="{00000000-0005-0000-0000-00002B110000}"/>
    <cellStyle name="Normal 3 3 7 4" xfId="4286" xr:uid="{00000000-0005-0000-0000-00002C110000}"/>
    <cellStyle name="Normal 3 3 7 4 2" xfId="8749" xr:uid="{00000000-0005-0000-0000-00002D110000}"/>
    <cellStyle name="Normal 3 3 7 5" xfId="5498" xr:uid="{00000000-0005-0000-0000-00002E110000}"/>
    <cellStyle name="Normal 3 3 8" xfId="1146" xr:uid="{00000000-0005-0000-0000-00002F110000}"/>
    <cellStyle name="Normal 3 3 8 2" xfId="2568" xr:uid="{00000000-0005-0000-0000-000030110000}"/>
    <cellStyle name="Normal 3 3 8 2 2" xfId="7051" xr:uid="{00000000-0005-0000-0000-000031110000}"/>
    <cellStyle name="Normal 3 3 8 3" xfId="4287" xr:uid="{00000000-0005-0000-0000-000032110000}"/>
    <cellStyle name="Normal 3 3 8 3 2" xfId="8750" xr:uid="{00000000-0005-0000-0000-000033110000}"/>
    <cellStyle name="Normal 3 3 8 4" xfId="5499" xr:uid="{00000000-0005-0000-0000-000034110000}"/>
    <cellStyle name="Normal 3 3 9" xfId="1871" xr:uid="{00000000-0005-0000-0000-000035110000}"/>
    <cellStyle name="Normal 3 3 9 2" xfId="3953" xr:uid="{00000000-0005-0000-0000-000036110000}"/>
    <cellStyle name="Normal 3 3 9 2 2" xfId="8419" xr:uid="{00000000-0005-0000-0000-000037110000}"/>
    <cellStyle name="Normal 3 3 9 3" xfId="5165" xr:uid="{00000000-0005-0000-0000-000038110000}"/>
    <cellStyle name="Normal 3 4" xfId="125" xr:uid="{00000000-0005-0000-0000-000039110000}"/>
    <cellStyle name="Normal 3 4 10" xfId="3556" xr:uid="{00000000-0005-0000-0000-00003A110000}"/>
    <cellStyle name="Normal 3 4 10 2" xfId="8022" xr:uid="{00000000-0005-0000-0000-00003B110000}"/>
    <cellStyle name="Normal 3 4 11" xfId="4768" xr:uid="{00000000-0005-0000-0000-00003C110000}"/>
    <cellStyle name="Normal 3 4 2" xfId="126" xr:uid="{00000000-0005-0000-0000-00003D110000}"/>
    <cellStyle name="Normal 3 4 2 2" xfId="127" xr:uid="{00000000-0005-0000-0000-00003E110000}"/>
    <cellStyle name="Normal 3 4 2 2 2" xfId="1147" xr:uid="{00000000-0005-0000-0000-00003F110000}"/>
    <cellStyle name="Normal 3 4 2 2 2 2" xfId="1148" xr:uid="{00000000-0005-0000-0000-000040110000}"/>
    <cellStyle name="Normal 3 4 2 2 2 2 2" xfId="2569" xr:uid="{00000000-0005-0000-0000-000041110000}"/>
    <cellStyle name="Normal 3 4 2 2 2 2 2 2" xfId="7052" xr:uid="{00000000-0005-0000-0000-000042110000}"/>
    <cellStyle name="Normal 3 4 2 2 2 2 3" xfId="4288" xr:uid="{00000000-0005-0000-0000-000043110000}"/>
    <cellStyle name="Normal 3 4 2 2 2 2 3 2" xfId="8751" xr:uid="{00000000-0005-0000-0000-000044110000}"/>
    <cellStyle name="Normal 3 4 2 2 2 2 4" xfId="5500" xr:uid="{00000000-0005-0000-0000-000045110000}"/>
    <cellStyle name="Normal 3 4 2 2 2 3" xfId="2570" xr:uid="{00000000-0005-0000-0000-000046110000}"/>
    <cellStyle name="Normal 3 4 2 2 2 3 2" xfId="7053" xr:uid="{00000000-0005-0000-0000-000047110000}"/>
    <cellStyle name="Normal 3 4 2 2 2 4" xfId="3559" xr:uid="{00000000-0005-0000-0000-000048110000}"/>
    <cellStyle name="Normal 3 4 2 2 2 4 2" xfId="8025" xr:uid="{00000000-0005-0000-0000-000049110000}"/>
    <cellStyle name="Normal 3 4 2 2 2 5" xfId="4771" xr:uid="{00000000-0005-0000-0000-00004A110000}"/>
    <cellStyle name="Normal 3 4 2 2 3" xfId="1149" xr:uid="{00000000-0005-0000-0000-00004B110000}"/>
    <cellStyle name="Normal 3 4 2 2 3 2" xfId="1150" xr:uid="{00000000-0005-0000-0000-00004C110000}"/>
    <cellStyle name="Normal 3 4 2 2 3 2 2" xfId="2571" xr:uid="{00000000-0005-0000-0000-00004D110000}"/>
    <cellStyle name="Normal 3 4 2 2 3 2 2 2" xfId="7054" xr:uid="{00000000-0005-0000-0000-00004E110000}"/>
    <cellStyle name="Normal 3 4 2 2 3 2 3" xfId="6004" xr:uid="{00000000-0005-0000-0000-00004F110000}"/>
    <cellStyle name="Normal 3 4 2 2 3 3" xfId="2572" xr:uid="{00000000-0005-0000-0000-000050110000}"/>
    <cellStyle name="Normal 3 4 2 2 3 3 2" xfId="7055" xr:uid="{00000000-0005-0000-0000-000051110000}"/>
    <cellStyle name="Normal 3 4 2 2 3 4" xfId="3965" xr:uid="{00000000-0005-0000-0000-000052110000}"/>
    <cellStyle name="Normal 3 4 2 2 3 4 2" xfId="8431" xr:uid="{00000000-0005-0000-0000-000053110000}"/>
    <cellStyle name="Normal 3 4 2 2 3 5" xfId="5177" xr:uid="{00000000-0005-0000-0000-000054110000}"/>
    <cellStyle name="Normal 3 4 2 2 4" xfId="1151" xr:uid="{00000000-0005-0000-0000-000055110000}"/>
    <cellStyle name="Normal 3 4 2 2 4 2" xfId="2573" xr:uid="{00000000-0005-0000-0000-000056110000}"/>
    <cellStyle name="Normal 3 4 2 2 4 2 2" xfId="7056" xr:uid="{00000000-0005-0000-0000-000057110000}"/>
    <cellStyle name="Normal 3 4 2 2 4 3" xfId="5712" xr:uid="{00000000-0005-0000-0000-000058110000}"/>
    <cellStyle name="Normal 3 4 2 2 5" xfId="343" xr:uid="{00000000-0005-0000-0000-000059110000}"/>
    <cellStyle name="Normal 3 4 2 2 5 2" xfId="5858" xr:uid="{00000000-0005-0000-0000-00005A110000}"/>
    <cellStyle name="Normal 3 4 2 2 6" xfId="3558" xr:uid="{00000000-0005-0000-0000-00005B110000}"/>
    <cellStyle name="Normal 3 4 2 2 6 2" xfId="8024" xr:uid="{00000000-0005-0000-0000-00005C110000}"/>
    <cellStyle name="Normal 3 4 2 2 7" xfId="4770" xr:uid="{00000000-0005-0000-0000-00005D110000}"/>
    <cellStyle name="Normal 3 4 2 3" xfId="1152" xr:uid="{00000000-0005-0000-0000-00005E110000}"/>
    <cellStyle name="Normal 3 4 2 3 2" xfId="1153" xr:uid="{00000000-0005-0000-0000-00005F110000}"/>
    <cellStyle name="Normal 3 4 2 3 2 2" xfId="2574" xr:uid="{00000000-0005-0000-0000-000060110000}"/>
    <cellStyle name="Normal 3 4 2 3 2 2 2" xfId="7057" xr:uid="{00000000-0005-0000-0000-000061110000}"/>
    <cellStyle name="Normal 3 4 2 3 2 3" xfId="4289" xr:uid="{00000000-0005-0000-0000-000062110000}"/>
    <cellStyle name="Normal 3 4 2 3 2 3 2" xfId="8752" xr:uid="{00000000-0005-0000-0000-000063110000}"/>
    <cellStyle name="Normal 3 4 2 3 2 4" xfId="5501" xr:uid="{00000000-0005-0000-0000-000064110000}"/>
    <cellStyle name="Normal 3 4 2 3 3" xfId="2575" xr:uid="{00000000-0005-0000-0000-000065110000}"/>
    <cellStyle name="Normal 3 4 2 3 3 2" xfId="7058" xr:uid="{00000000-0005-0000-0000-000066110000}"/>
    <cellStyle name="Normal 3 4 2 3 4" xfId="3560" xr:uid="{00000000-0005-0000-0000-000067110000}"/>
    <cellStyle name="Normal 3 4 2 3 4 2" xfId="8026" xr:uid="{00000000-0005-0000-0000-000068110000}"/>
    <cellStyle name="Normal 3 4 2 3 5" xfId="4772" xr:uid="{00000000-0005-0000-0000-000069110000}"/>
    <cellStyle name="Normal 3 4 2 4" xfId="1154" xr:uid="{00000000-0005-0000-0000-00006A110000}"/>
    <cellStyle name="Normal 3 4 2 4 2" xfId="1155" xr:uid="{00000000-0005-0000-0000-00006B110000}"/>
    <cellStyle name="Normal 3 4 2 4 2 2" xfId="2576" xr:uid="{00000000-0005-0000-0000-00006C110000}"/>
    <cellStyle name="Normal 3 4 2 4 2 2 2" xfId="7059" xr:uid="{00000000-0005-0000-0000-00006D110000}"/>
    <cellStyle name="Normal 3 4 2 4 2 3" xfId="5711" xr:uid="{00000000-0005-0000-0000-00006E110000}"/>
    <cellStyle name="Normal 3 4 2 4 3" xfId="2577" xr:uid="{00000000-0005-0000-0000-00006F110000}"/>
    <cellStyle name="Normal 3 4 2 4 3 2" xfId="7060" xr:uid="{00000000-0005-0000-0000-000070110000}"/>
    <cellStyle name="Normal 3 4 2 4 4" xfId="3964" xr:uid="{00000000-0005-0000-0000-000071110000}"/>
    <cellStyle name="Normal 3 4 2 4 4 2" xfId="8430" xr:uid="{00000000-0005-0000-0000-000072110000}"/>
    <cellStyle name="Normal 3 4 2 4 5" xfId="5176" xr:uid="{00000000-0005-0000-0000-000073110000}"/>
    <cellStyle name="Normal 3 4 2 5" xfId="1156" xr:uid="{00000000-0005-0000-0000-000074110000}"/>
    <cellStyle name="Normal 3 4 2 5 2" xfId="2578" xr:uid="{00000000-0005-0000-0000-000075110000}"/>
    <cellStyle name="Normal 3 4 2 5 2 2" xfId="7061" xr:uid="{00000000-0005-0000-0000-000076110000}"/>
    <cellStyle name="Normal 3 4 2 5 3" xfId="5904" xr:uid="{00000000-0005-0000-0000-000077110000}"/>
    <cellStyle name="Normal 3 4 2 6" xfId="342" xr:uid="{00000000-0005-0000-0000-000078110000}"/>
    <cellStyle name="Normal 3 4 2 6 2" xfId="5859" xr:uid="{00000000-0005-0000-0000-000079110000}"/>
    <cellStyle name="Normal 3 4 2 7" xfId="3557" xr:uid="{00000000-0005-0000-0000-00007A110000}"/>
    <cellStyle name="Normal 3 4 2 7 2" xfId="8023" xr:uid="{00000000-0005-0000-0000-00007B110000}"/>
    <cellStyle name="Normal 3 4 2 8" xfId="4769" xr:uid="{00000000-0005-0000-0000-00007C110000}"/>
    <cellStyle name="Normal 3 4 3" xfId="128" xr:uid="{00000000-0005-0000-0000-00007D110000}"/>
    <cellStyle name="Normal 3 4 3 2" xfId="1157" xr:uid="{00000000-0005-0000-0000-00007E110000}"/>
    <cellStyle name="Normal 3 4 3 2 2" xfId="1158" xr:uid="{00000000-0005-0000-0000-00007F110000}"/>
    <cellStyle name="Normal 3 4 3 2 2 2" xfId="1159" xr:uid="{00000000-0005-0000-0000-000080110000}"/>
    <cellStyle name="Normal 3 4 3 2 2 2 2" xfId="2579" xr:uid="{00000000-0005-0000-0000-000081110000}"/>
    <cellStyle name="Normal 3 4 3 2 2 2 2 2" xfId="7062" xr:uid="{00000000-0005-0000-0000-000082110000}"/>
    <cellStyle name="Normal 3 4 3 2 2 2 3" xfId="4290" xr:uid="{00000000-0005-0000-0000-000083110000}"/>
    <cellStyle name="Normal 3 4 3 2 2 2 3 2" xfId="8753" xr:uid="{00000000-0005-0000-0000-000084110000}"/>
    <cellStyle name="Normal 3 4 3 2 2 2 4" xfId="5502" xr:uid="{00000000-0005-0000-0000-000085110000}"/>
    <cellStyle name="Normal 3 4 3 2 2 3" xfId="2580" xr:uid="{00000000-0005-0000-0000-000086110000}"/>
    <cellStyle name="Normal 3 4 3 2 2 3 2" xfId="7063" xr:uid="{00000000-0005-0000-0000-000087110000}"/>
    <cellStyle name="Normal 3 4 3 2 2 4" xfId="3563" xr:uid="{00000000-0005-0000-0000-000088110000}"/>
    <cellStyle name="Normal 3 4 3 2 2 4 2" xfId="8029" xr:uid="{00000000-0005-0000-0000-000089110000}"/>
    <cellStyle name="Normal 3 4 3 2 2 5" xfId="4775" xr:uid="{00000000-0005-0000-0000-00008A110000}"/>
    <cellStyle name="Normal 3 4 3 2 3" xfId="1160" xr:uid="{00000000-0005-0000-0000-00008B110000}"/>
    <cellStyle name="Normal 3 4 3 2 3 2" xfId="1161" xr:uid="{00000000-0005-0000-0000-00008C110000}"/>
    <cellStyle name="Normal 3 4 3 2 3 2 2" xfId="2581" xr:uid="{00000000-0005-0000-0000-00008D110000}"/>
    <cellStyle name="Normal 3 4 3 2 3 2 2 2" xfId="7064" xr:uid="{00000000-0005-0000-0000-00008E110000}"/>
    <cellStyle name="Normal 3 4 3 2 3 2 3" xfId="5903" xr:uid="{00000000-0005-0000-0000-00008F110000}"/>
    <cellStyle name="Normal 3 4 3 2 3 3" xfId="2582" xr:uid="{00000000-0005-0000-0000-000090110000}"/>
    <cellStyle name="Normal 3 4 3 2 3 3 2" xfId="7065" xr:uid="{00000000-0005-0000-0000-000091110000}"/>
    <cellStyle name="Normal 3 4 3 2 3 4" xfId="3967" xr:uid="{00000000-0005-0000-0000-000092110000}"/>
    <cellStyle name="Normal 3 4 3 2 3 4 2" xfId="8433" xr:uid="{00000000-0005-0000-0000-000093110000}"/>
    <cellStyle name="Normal 3 4 3 2 3 5" xfId="5179" xr:uid="{00000000-0005-0000-0000-000094110000}"/>
    <cellStyle name="Normal 3 4 3 2 4" xfId="1162" xr:uid="{00000000-0005-0000-0000-000095110000}"/>
    <cellStyle name="Normal 3 4 3 2 4 2" xfId="2583" xr:uid="{00000000-0005-0000-0000-000096110000}"/>
    <cellStyle name="Normal 3 4 3 2 4 2 2" xfId="7066" xr:uid="{00000000-0005-0000-0000-000097110000}"/>
    <cellStyle name="Normal 3 4 3 2 4 3" xfId="6003" xr:uid="{00000000-0005-0000-0000-000098110000}"/>
    <cellStyle name="Normal 3 4 3 2 5" xfId="2584" xr:uid="{00000000-0005-0000-0000-000099110000}"/>
    <cellStyle name="Normal 3 4 3 2 5 2" xfId="7067" xr:uid="{00000000-0005-0000-0000-00009A110000}"/>
    <cellStyle name="Normal 3 4 3 2 6" xfId="3562" xr:uid="{00000000-0005-0000-0000-00009B110000}"/>
    <cellStyle name="Normal 3 4 3 2 6 2" xfId="8028" xr:uid="{00000000-0005-0000-0000-00009C110000}"/>
    <cellStyle name="Normal 3 4 3 2 7" xfId="4774" xr:uid="{00000000-0005-0000-0000-00009D110000}"/>
    <cellStyle name="Normal 3 4 3 3" xfId="1163" xr:uid="{00000000-0005-0000-0000-00009E110000}"/>
    <cellStyle name="Normal 3 4 3 3 2" xfId="1164" xr:uid="{00000000-0005-0000-0000-00009F110000}"/>
    <cellStyle name="Normal 3 4 3 3 2 2" xfId="2585" xr:uid="{00000000-0005-0000-0000-0000A0110000}"/>
    <cellStyle name="Normal 3 4 3 3 2 2 2" xfId="7068" xr:uid="{00000000-0005-0000-0000-0000A1110000}"/>
    <cellStyle name="Normal 3 4 3 3 2 3" xfId="4291" xr:uid="{00000000-0005-0000-0000-0000A2110000}"/>
    <cellStyle name="Normal 3 4 3 3 2 3 2" xfId="8754" xr:uid="{00000000-0005-0000-0000-0000A3110000}"/>
    <cellStyle name="Normal 3 4 3 3 2 4" xfId="5503" xr:uid="{00000000-0005-0000-0000-0000A4110000}"/>
    <cellStyle name="Normal 3 4 3 3 3" xfId="2586" xr:uid="{00000000-0005-0000-0000-0000A5110000}"/>
    <cellStyle name="Normal 3 4 3 3 3 2" xfId="7069" xr:uid="{00000000-0005-0000-0000-0000A6110000}"/>
    <cellStyle name="Normal 3 4 3 3 4" xfId="3564" xr:uid="{00000000-0005-0000-0000-0000A7110000}"/>
    <cellStyle name="Normal 3 4 3 3 4 2" xfId="8030" xr:uid="{00000000-0005-0000-0000-0000A8110000}"/>
    <cellStyle name="Normal 3 4 3 3 5" xfId="4776" xr:uid="{00000000-0005-0000-0000-0000A9110000}"/>
    <cellStyle name="Normal 3 4 3 4" xfId="1165" xr:uid="{00000000-0005-0000-0000-0000AA110000}"/>
    <cellStyle name="Normal 3 4 3 4 2" xfId="1166" xr:uid="{00000000-0005-0000-0000-0000AB110000}"/>
    <cellStyle name="Normal 3 4 3 4 2 2" xfId="2587" xr:uid="{00000000-0005-0000-0000-0000AC110000}"/>
    <cellStyle name="Normal 3 4 3 4 2 2 2" xfId="7070" xr:uid="{00000000-0005-0000-0000-0000AD110000}"/>
    <cellStyle name="Normal 3 4 3 4 2 3" xfId="5710" xr:uid="{00000000-0005-0000-0000-0000AE110000}"/>
    <cellStyle name="Normal 3 4 3 4 3" xfId="2588" xr:uid="{00000000-0005-0000-0000-0000AF110000}"/>
    <cellStyle name="Normal 3 4 3 4 3 2" xfId="7071" xr:uid="{00000000-0005-0000-0000-0000B0110000}"/>
    <cellStyle name="Normal 3 4 3 4 4" xfId="3966" xr:uid="{00000000-0005-0000-0000-0000B1110000}"/>
    <cellStyle name="Normal 3 4 3 4 4 2" xfId="8432" xr:uid="{00000000-0005-0000-0000-0000B2110000}"/>
    <cellStyle name="Normal 3 4 3 4 5" xfId="5178" xr:uid="{00000000-0005-0000-0000-0000B3110000}"/>
    <cellStyle name="Normal 3 4 3 5" xfId="1167" xr:uid="{00000000-0005-0000-0000-0000B4110000}"/>
    <cellStyle name="Normal 3 4 3 5 2" xfId="2589" xr:uid="{00000000-0005-0000-0000-0000B5110000}"/>
    <cellStyle name="Normal 3 4 3 5 2 2" xfId="7072" xr:uid="{00000000-0005-0000-0000-0000B6110000}"/>
    <cellStyle name="Normal 3 4 3 5 3" xfId="5709" xr:uid="{00000000-0005-0000-0000-0000B7110000}"/>
    <cellStyle name="Normal 3 4 3 6" xfId="344" xr:uid="{00000000-0005-0000-0000-0000B8110000}"/>
    <cellStyle name="Normal 3 4 3 6 2" xfId="5857" xr:uid="{00000000-0005-0000-0000-0000B9110000}"/>
    <cellStyle name="Normal 3 4 3 7" xfId="3561" xr:uid="{00000000-0005-0000-0000-0000BA110000}"/>
    <cellStyle name="Normal 3 4 3 7 2" xfId="8027" xr:uid="{00000000-0005-0000-0000-0000BB110000}"/>
    <cellStyle name="Normal 3 4 3 8" xfId="4773" xr:uid="{00000000-0005-0000-0000-0000BC110000}"/>
    <cellStyle name="Normal 3 4 4" xfId="1168" xr:uid="{00000000-0005-0000-0000-0000BD110000}"/>
    <cellStyle name="Normal 3 4 4 2" xfId="1169" xr:uid="{00000000-0005-0000-0000-0000BE110000}"/>
    <cellStyle name="Normal 3 4 4 2 2" xfId="1170" xr:uid="{00000000-0005-0000-0000-0000BF110000}"/>
    <cellStyle name="Normal 3 4 4 2 2 2" xfId="2590" xr:uid="{00000000-0005-0000-0000-0000C0110000}"/>
    <cellStyle name="Normal 3 4 4 2 2 2 2" xfId="7073" xr:uid="{00000000-0005-0000-0000-0000C1110000}"/>
    <cellStyle name="Normal 3 4 4 2 2 3" xfId="4292" xr:uid="{00000000-0005-0000-0000-0000C2110000}"/>
    <cellStyle name="Normal 3 4 4 2 2 3 2" xfId="8755" xr:uid="{00000000-0005-0000-0000-0000C3110000}"/>
    <cellStyle name="Normal 3 4 4 2 2 4" xfId="5504" xr:uid="{00000000-0005-0000-0000-0000C4110000}"/>
    <cellStyle name="Normal 3 4 4 2 3" xfId="2591" xr:uid="{00000000-0005-0000-0000-0000C5110000}"/>
    <cellStyle name="Normal 3 4 4 2 3 2" xfId="7074" xr:uid="{00000000-0005-0000-0000-0000C6110000}"/>
    <cellStyle name="Normal 3 4 4 2 4" xfId="3566" xr:uid="{00000000-0005-0000-0000-0000C7110000}"/>
    <cellStyle name="Normal 3 4 4 2 4 2" xfId="8032" xr:uid="{00000000-0005-0000-0000-0000C8110000}"/>
    <cellStyle name="Normal 3 4 4 2 5" xfId="4778" xr:uid="{00000000-0005-0000-0000-0000C9110000}"/>
    <cellStyle name="Normal 3 4 4 3" xfId="1171" xr:uid="{00000000-0005-0000-0000-0000CA110000}"/>
    <cellStyle name="Normal 3 4 4 3 2" xfId="1172" xr:uid="{00000000-0005-0000-0000-0000CB110000}"/>
    <cellStyle name="Normal 3 4 4 3 2 2" xfId="2592" xr:uid="{00000000-0005-0000-0000-0000CC110000}"/>
    <cellStyle name="Normal 3 4 4 3 2 2 2" xfId="7075" xr:uid="{00000000-0005-0000-0000-0000CD110000}"/>
    <cellStyle name="Normal 3 4 4 3 2 3" xfId="5902" xr:uid="{00000000-0005-0000-0000-0000CE110000}"/>
    <cellStyle name="Normal 3 4 4 3 3" xfId="2593" xr:uid="{00000000-0005-0000-0000-0000CF110000}"/>
    <cellStyle name="Normal 3 4 4 3 3 2" xfId="7076" xr:uid="{00000000-0005-0000-0000-0000D0110000}"/>
    <cellStyle name="Normal 3 4 4 3 4" xfId="3968" xr:uid="{00000000-0005-0000-0000-0000D1110000}"/>
    <cellStyle name="Normal 3 4 4 3 4 2" xfId="8434" xr:uid="{00000000-0005-0000-0000-0000D2110000}"/>
    <cellStyle name="Normal 3 4 4 3 5" xfId="5180" xr:uid="{00000000-0005-0000-0000-0000D3110000}"/>
    <cellStyle name="Normal 3 4 4 4" xfId="1173" xr:uid="{00000000-0005-0000-0000-0000D4110000}"/>
    <cellStyle name="Normal 3 4 4 4 2" xfId="2594" xr:uid="{00000000-0005-0000-0000-0000D5110000}"/>
    <cellStyle name="Normal 3 4 4 4 2 2" xfId="7077" xr:uid="{00000000-0005-0000-0000-0000D6110000}"/>
    <cellStyle name="Normal 3 4 4 4 3" xfId="6002" xr:uid="{00000000-0005-0000-0000-0000D7110000}"/>
    <cellStyle name="Normal 3 4 4 5" xfId="2595" xr:uid="{00000000-0005-0000-0000-0000D8110000}"/>
    <cellStyle name="Normal 3 4 4 5 2" xfId="7078" xr:uid="{00000000-0005-0000-0000-0000D9110000}"/>
    <cellStyle name="Normal 3 4 4 6" xfId="3565" xr:uid="{00000000-0005-0000-0000-0000DA110000}"/>
    <cellStyle name="Normal 3 4 4 6 2" xfId="8031" xr:uid="{00000000-0005-0000-0000-0000DB110000}"/>
    <cellStyle name="Normal 3 4 4 7" xfId="4777" xr:uid="{00000000-0005-0000-0000-0000DC110000}"/>
    <cellStyle name="Normal 3 4 5" xfId="1174" xr:uid="{00000000-0005-0000-0000-0000DD110000}"/>
    <cellStyle name="Normal 3 4 5 2" xfId="1175" xr:uid="{00000000-0005-0000-0000-0000DE110000}"/>
    <cellStyle name="Normal 3 4 5 2 2" xfId="2596" xr:uid="{00000000-0005-0000-0000-0000DF110000}"/>
    <cellStyle name="Normal 3 4 5 2 2 2" xfId="7079" xr:uid="{00000000-0005-0000-0000-0000E0110000}"/>
    <cellStyle name="Normal 3 4 5 2 3" xfId="4294" xr:uid="{00000000-0005-0000-0000-0000E1110000}"/>
    <cellStyle name="Normal 3 4 5 2 3 2" xfId="8757" xr:uid="{00000000-0005-0000-0000-0000E2110000}"/>
    <cellStyle name="Normal 3 4 5 2 4" xfId="5506" xr:uid="{00000000-0005-0000-0000-0000E3110000}"/>
    <cellStyle name="Normal 3 4 5 3" xfId="2597" xr:uid="{00000000-0005-0000-0000-0000E4110000}"/>
    <cellStyle name="Normal 3 4 5 3 2" xfId="4293" xr:uid="{00000000-0005-0000-0000-0000E5110000}"/>
    <cellStyle name="Normal 3 4 5 3 2 2" xfId="8756" xr:uid="{00000000-0005-0000-0000-0000E6110000}"/>
    <cellStyle name="Normal 3 4 5 3 3" xfId="5505" xr:uid="{00000000-0005-0000-0000-0000E7110000}"/>
    <cellStyle name="Normal 3 4 5 4" xfId="3567" xr:uid="{00000000-0005-0000-0000-0000E8110000}"/>
    <cellStyle name="Normal 3 4 5 4 2" xfId="8033" xr:uid="{00000000-0005-0000-0000-0000E9110000}"/>
    <cellStyle name="Normal 3 4 5 5" xfId="4779" xr:uid="{00000000-0005-0000-0000-0000EA110000}"/>
    <cellStyle name="Normal 3 4 6" xfId="1176" xr:uid="{00000000-0005-0000-0000-0000EB110000}"/>
    <cellStyle name="Normal 3 4 6 2" xfId="1177" xr:uid="{00000000-0005-0000-0000-0000EC110000}"/>
    <cellStyle name="Normal 3 4 6 2 2" xfId="2598" xr:uid="{00000000-0005-0000-0000-0000ED110000}"/>
    <cellStyle name="Normal 3 4 6 2 2 2" xfId="7080" xr:uid="{00000000-0005-0000-0000-0000EE110000}"/>
    <cellStyle name="Normal 3 4 6 2 3" xfId="6001" xr:uid="{00000000-0005-0000-0000-0000EF110000}"/>
    <cellStyle name="Normal 3 4 6 3" xfId="2599" xr:uid="{00000000-0005-0000-0000-0000F0110000}"/>
    <cellStyle name="Normal 3 4 6 3 2" xfId="7081" xr:uid="{00000000-0005-0000-0000-0000F1110000}"/>
    <cellStyle name="Normal 3 4 6 4" xfId="4295" xr:uid="{00000000-0005-0000-0000-0000F2110000}"/>
    <cellStyle name="Normal 3 4 6 4 2" xfId="8758" xr:uid="{00000000-0005-0000-0000-0000F3110000}"/>
    <cellStyle name="Normal 3 4 6 5" xfId="5507" xr:uid="{00000000-0005-0000-0000-0000F4110000}"/>
    <cellStyle name="Normal 3 4 7" xfId="1178" xr:uid="{00000000-0005-0000-0000-0000F5110000}"/>
    <cellStyle name="Normal 3 4 7 2" xfId="2600" xr:uid="{00000000-0005-0000-0000-0000F6110000}"/>
    <cellStyle name="Normal 3 4 7 2 2" xfId="7082" xr:uid="{00000000-0005-0000-0000-0000F7110000}"/>
    <cellStyle name="Normal 3 4 7 3" xfId="4296" xr:uid="{00000000-0005-0000-0000-0000F8110000}"/>
    <cellStyle name="Normal 3 4 7 3 2" xfId="8759" xr:uid="{00000000-0005-0000-0000-0000F9110000}"/>
    <cellStyle name="Normal 3 4 7 4" xfId="5508" xr:uid="{00000000-0005-0000-0000-0000FA110000}"/>
    <cellStyle name="Normal 3 4 8" xfId="1874" xr:uid="{00000000-0005-0000-0000-0000FB110000}"/>
    <cellStyle name="Normal 3 4 8 2" xfId="3963" xr:uid="{00000000-0005-0000-0000-0000FC110000}"/>
    <cellStyle name="Normal 3 4 8 2 2" xfId="8429" xr:uid="{00000000-0005-0000-0000-0000FD110000}"/>
    <cellStyle name="Normal 3 4 8 3" xfId="5175" xr:uid="{00000000-0005-0000-0000-0000FE110000}"/>
    <cellStyle name="Normal 3 4 9" xfId="341" xr:uid="{00000000-0005-0000-0000-0000FF110000}"/>
    <cellStyle name="Normal 3 4 9 2" xfId="4483" xr:uid="{00000000-0005-0000-0000-000000120000}"/>
    <cellStyle name="Normal 3 4 9 2 2" xfId="8945" xr:uid="{00000000-0005-0000-0000-000001120000}"/>
    <cellStyle name="Normal 3 4 9 3" xfId="5694" xr:uid="{00000000-0005-0000-0000-000002120000}"/>
    <cellStyle name="Normal 3 5" xfId="129" xr:uid="{00000000-0005-0000-0000-000003120000}"/>
    <cellStyle name="Normal 3 5 2" xfId="130" xr:uid="{00000000-0005-0000-0000-000004120000}"/>
    <cellStyle name="Normal 3 5 2 2" xfId="1179" xr:uid="{00000000-0005-0000-0000-000005120000}"/>
    <cellStyle name="Normal 3 5 2 2 2" xfId="1180" xr:uid="{00000000-0005-0000-0000-000006120000}"/>
    <cellStyle name="Normal 3 5 2 2 2 2" xfId="2601" xr:uid="{00000000-0005-0000-0000-000007120000}"/>
    <cellStyle name="Normal 3 5 2 2 2 2 2" xfId="7083" xr:uid="{00000000-0005-0000-0000-000008120000}"/>
    <cellStyle name="Normal 3 5 2 2 2 3" xfId="4297" xr:uid="{00000000-0005-0000-0000-000009120000}"/>
    <cellStyle name="Normal 3 5 2 2 2 3 2" xfId="8760" xr:uid="{00000000-0005-0000-0000-00000A120000}"/>
    <cellStyle name="Normal 3 5 2 2 2 4" xfId="5509" xr:uid="{00000000-0005-0000-0000-00000B120000}"/>
    <cellStyle name="Normal 3 5 2 2 3" xfId="2602" xr:uid="{00000000-0005-0000-0000-00000C120000}"/>
    <cellStyle name="Normal 3 5 2 2 3 2" xfId="7084" xr:uid="{00000000-0005-0000-0000-00000D120000}"/>
    <cellStyle name="Normal 3 5 2 2 4" xfId="3570" xr:uid="{00000000-0005-0000-0000-00000E120000}"/>
    <cellStyle name="Normal 3 5 2 2 4 2" xfId="8036" xr:uid="{00000000-0005-0000-0000-00000F120000}"/>
    <cellStyle name="Normal 3 5 2 2 5" xfId="4782" xr:uid="{00000000-0005-0000-0000-000010120000}"/>
    <cellStyle name="Normal 3 5 2 3" xfId="1181" xr:uid="{00000000-0005-0000-0000-000011120000}"/>
    <cellStyle name="Normal 3 5 2 3 2" xfId="1182" xr:uid="{00000000-0005-0000-0000-000012120000}"/>
    <cellStyle name="Normal 3 5 2 3 2 2" xfId="2603" xr:uid="{00000000-0005-0000-0000-000013120000}"/>
    <cellStyle name="Normal 3 5 2 3 2 2 2" xfId="7085" xr:uid="{00000000-0005-0000-0000-000014120000}"/>
    <cellStyle name="Normal 3 5 2 3 2 3" xfId="5708" xr:uid="{00000000-0005-0000-0000-000015120000}"/>
    <cellStyle name="Normal 3 5 2 3 3" xfId="2604" xr:uid="{00000000-0005-0000-0000-000016120000}"/>
    <cellStyle name="Normal 3 5 2 3 3 2" xfId="7086" xr:uid="{00000000-0005-0000-0000-000017120000}"/>
    <cellStyle name="Normal 3 5 2 3 4" xfId="3970" xr:uid="{00000000-0005-0000-0000-000018120000}"/>
    <cellStyle name="Normal 3 5 2 3 4 2" xfId="8436" xr:uid="{00000000-0005-0000-0000-000019120000}"/>
    <cellStyle name="Normal 3 5 2 3 5" xfId="5182" xr:uid="{00000000-0005-0000-0000-00001A120000}"/>
    <cellStyle name="Normal 3 5 2 4" xfId="1183" xr:uid="{00000000-0005-0000-0000-00001B120000}"/>
    <cellStyle name="Normal 3 5 2 4 2" xfId="2605" xr:uid="{00000000-0005-0000-0000-00001C120000}"/>
    <cellStyle name="Normal 3 5 2 4 2 2" xfId="7087" xr:uid="{00000000-0005-0000-0000-00001D120000}"/>
    <cellStyle name="Normal 3 5 2 4 3" xfId="5707" xr:uid="{00000000-0005-0000-0000-00001E120000}"/>
    <cellStyle name="Normal 3 5 2 5" xfId="346" xr:uid="{00000000-0005-0000-0000-00001F120000}"/>
    <cellStyle name="Normal 3 5 2 5 2" xfId="6110" xr:uid="{00000000-0005-0000-0000-000020120000}"/>
    <cellStyle name="Normal 3 5 2 6" xfId="3569" xr:uid="{00000000-0005-0000-0000-000021120000}"/>
    <cellStyle name="Normal 3 5 2 6 2" xfId="8035" xr:uid="{00000000-0005-0000-0000-000022120000}"/>
    <cellStyle name="Normal 3 5 2 7" xfId="4781" xr:uid="{00000000-0005-0000-0000-000023120000}"/>
    <cellStyle name="Normal 3 5 3" xfId="1184" xr:uid="{00000000-0005-0000-0000-000024120000}"/>
    <cellStyle name="Normal 3 5 3 2" xfId="1185" xr:uid="{00000000-0005-0000-0000-000025120000}"/>
    <cellStyle name="Normal 3 5 3 2 2" xfId="2606" xr:uid="{00000000-0005-0000-0000-000026120000}"/>
    <cellStyle name="Normal 3 5 3 2 2 2" xfId="7088" xr:uid="{00000000-0005-0000-0000-000027120000}"/>
    <cellStyle name="Normal 3 5 3 2 3" xfId="4298" xr:uid="{00000000-0005-0000-0000-000028120000}"/>
    <cellStyle name="Normal 3 5 3 2 3 2" xfId="8761" xr:uid="{00000000-0005-0000-0000-000029120000}"/>
    <cellStyle name="Normal 3 5 3 2 4" xfId="5510" xr:uid="{00000000-0005-0000-0000-00002A120000}"/>
    <cellStyle name="Normal 3 5 3 3" xfId="2607" xr:uid="{00000000-0005-0000-0000-00002B120000}"/>
    <cellStyle name="Normal 3 5 3 3 2" xfId="7089" xr:uid="{00000000-0005-0000-0000-00002C120000}"/>
    <cellStyle name="Normal 3 5 3 4" xfId="3571" xr:uid="{00000000-0005-0000-0000-00002D120000}"/>
    <cellStyle name="Normal 3 5 3 4 2" xfId="8037" xr:uid="{00000000-0005-0000-0000-00002E120000}"/>
    <cellStyle name="Normal 3 5 3 5" xfId="4783" xr:uid="{00000000-0005-0000-0000-00002F120000}"/>
    <cellStyle name="Normal 3 5 4" xfId="1186" xr:uid="{00000000-0005-0000-0000-000030120000}"/>
    <cellStyle name="Normal 3 5 4 2" xfId="1187" xr:uid="{00000000-0005-0000-0000-000031120000}"/>
    <cellStyle name="Normal 3 5 4 2 2" xfId="2608" xr:uid="{00000000-0005-0000-0000-000032120000}"/>
    <cellStyle name="Normal 3 5 4 2 2 2" xfId="7090" xr:uid="{00000000-0005-0000-0000-000033120000}"/>
    <cellStyle name="Normal 3 5 4 2 3" xfId="6000" xr:uid="{00000000-0005-0000-0000-000034120000}"/>
    <cellStyle name="Normal 3 5 4 3" xfId="2609" xr:uid="{00000000-0005-0000-0000-000035120000}"/>
    <cellStyle name="Normal 3 5 4 3 2" xfId="7091" xr:uid="{00000000-0005-0000-0000-000036120000}"/>
    <cellStyle name="Normal 3 5 4 4" xfId="3969" xr:uid="{00000000-0005-0000-0000-000037120000}"/>
    <cellStyle name="Normal 3 5 4 4 2" xfId="8435" xr:uid="{00000000-0005-0000-0000-000038120000}"/>
    <cellStyle name="Normal 3 5 4 5" xfId="5181" xr:uid="{00000000-0005-0000-0000-000039120000}"/>
    <cellStyle name="Normal 3 5 5" xfId="1188" xr:uid="{00000000-0005-0000-0000-00003A120000}"/>
    <cellStyle name="Normal 3 5 5 2" xfId="2610" xr:uid="{00000000-0005-0000-0000-00003B120000}"/>
    <cellStyle name="Normal 3 5 5 2 2" xfId="7092" xr:uid="{00000000-0005-0000-0000-00003C120000}"/>
    <cellStyle name="Normal 3 5 5 3" xfId="4485" xr:uid="{00000000-0005-0000-0000-00003D120000}"/>
    <cellStyle name="Normal 3 5 5 3 2" xfId="8947" xr:uid="{00000000-0005-0000-0000-00003E120000}"/>
    <cellStyle name="Normal 3 5 5 4" xfId="5696" xr:uid="{00000000-0005-0000-0000-00003F120000}"/>
    <cellStyle name="Normal 3 5 6" xfId="1877" xr:uid="{00000000-0005-0000-0000-000040120000}"/>
    <cellStyle name="Normal 3 5 6 2" xfId="6379" xr:uid="{00000000-0005-0000-0000-000041120000}"/>
    <cellStyle name="Normal 3 5 7" xfId="345" xr:uid="{00000000-0005-0000-0000-000042120000}"/>
    <cellStyle name="Normal 3 5 7 2" xfId="5966" xr:uid="{00000000-0005-0000-0000-000043120000}"/>
    <cellStyle name="Normal 3 5 8" xfId="3568" xr:uid="{00000000-0005-0000-0000-000044120000}"/>
    <cellStyle name="Normal 3 5 8 2" xfId="8034" xr:uid="{00000000-0005-0000-0000-000045120000}"/>
    <cellStyle name="Normal 3 5 9" xfId="4780" xr:uid="{00000000-0005-0000-0000-000046120000}"/>
    <cellStyle name="Normal 3 6" xfId="131" xr:uid="{00000000-0005-0000-0000-000047120000}"/>
    <cellStyle name="Normal 3 6 2" xfId="1189" xr:uid="{00000000-0005-0000-0000-000048120000}"/>
    <cellStyle name="Normal 3 6 2 2" xfId="1190" xr:uid="{00000000-0005-0000-0000-000049120000}"/>
    <cellStyle name="Normal 3 6 2 2 2" xfId="1191" xr:uid="{00000000-0005-0000-0000-00004A120000}"/>
    <cellStyle name="Normal 3 6 2 2 2 2" xfId="2611" xr:uid="{00000000-0005-0000-0000-00004B120000}"/>
    <cellStyle name="Normal 3 6 2 2 2 2 2" xfId="7093" xr:uid="{00000000-0005-0000-0000-00004C120000}"/>
    <cellStyle name="Normal 3 6 2 2 2 3" xfId="4299" xr:uid="{00000000-0005-0000-0000-00004D120000}"/>
    <cellStyle name="Normal 3 6 2 2 2 3 2" xfId="8762" xr:uid="{00000000-0005-0000-0000-00004E120000}"/>
    <cellStyle name="Normal 3 6 2 2 2 4" xfId="5511" xr:uid="{00000000-0005-0000-0000-00004F120000}"/>
    <cellStyle name="Normal 3 6 2 2 3" xfId="2612" xr:uid="{00000000-0005-0000-0000-000050120000}"/>
    <cellStyle name="Normal 3 6 2 2 3 2" xfId="7094" xr:uid="{00000000-0005-0000-0000-000051120000}"/>
    <cellStyle name="Normal 3 6 2 2 4" xfId="3574" xr:uid="{00000000-0005-0000-0000-000052120000}"/>
    <cellStyle name="Normal 3 6 2 2 4 2" xfId="8040" xr:uid="{00000000-0005-0000-0000-000053120000}"/>
    <cellStyle name="Normal 3 6 2 2 5" xfId="4786" xr:uid="{00000000-0005-0000-0000-000054120000}"/>
    <cellStyle name="Normal 3 6 2 3" xfId="1192" xr:uid="{00000000-0005-0000-0000-000055120000}"/>
    <cellStyle name="Normal 3 6 2 3 2" xfId="1193" xr:uid="{00000000-0005-0000-0000-000056120000}"/>
    <cellStyle name="Normal 3 6 2 3 2 2" xfId="2613" xr:uid="{00000000-0005-0000-0000-000057120000}"/>
    <cellStyle name="Normal 3 6 2 3 2 2 2" xfId="7095" xr:uid="{00000000-0005-0000-0000-000058120000}"/>
    <cellStyle name="Normal 3 6 2 3 2 3" xfId="5706" xr:uid="{00000000-0005-0000-0000-000059120000}"/>
    <cellStyle name="Normal 3 6 2 3 3" xfId="2614" xr:uid="{00000000-0005-0000-0000-00005A120000}"/>
    <cellStyle name="Normal 3 6 2 3 3 2" xfId="7096" xr:uid="{00000000-0005-0000-0000-00005B120000}"/>
    <cellStyle name="Normal 3 6 2 3 4" xfId="3972" xr:uid="{00000000-0005-0000-0000-00005C120000}"/>
    <cellStyle name="Normal 3 6 2 3 4 2" xfId="8438" xr:uid="{00000000-0005-0000-0000-00005D120000}"/>
    <cellStyle name="Normal 3 6 2 3 5" xfId="5184" xr:uid="{00000000-0005-0000-0000-00005E120000}"/>
    <cellStyle name="Normal 3 6 2 4" xfId="1194" xr:uid="{00000000-0005-0000-0000-00005F120000}"/>
    <cellStyle name="Normal 3 6 2 4 2" xfId="2615" xr:uid="{00000000-0005-0000-0000-000060120000}"/>
    <cellStyle name="Normal 3 6 2 4 2 2" xfId="7097" xr:uid="{00000000-0005-0000-0000-000061120000}"/>
    <cellStyle name="Normal 3 6 2 4 3" xfId="5705" xr:uid="{00000000-0005-0000-0000-000062120000}"/>
    <cellStyle name="Normal 3 6 2 5" xfId="2616" xr:uid="{00000000-0005-0000-0000-000063120000}"/>
    <cellStyle name="Normal 3 6 2 5 2" xfId="7098" xr:uid="{00000000-0005-0000-0000-000064120000}"/>
    <cellStyle name="Normal 3 6 2 6" xfId="3573" xr:uid="{00000000-0005-0000-0000-000065120000}"/>
    <cellStyle name="Normal 3 6 2 6 2" xfId="8039" xr:uid="{00000000-0005-0000-0000-000066120000}"/>
    <cellStyle name="Normal 3 6 2 7" xfId="4785" xr:uid="{00000000-0005-0000-0000-000067120000}"/>
    <cellStyle name="Normal 3 6 3" xfId="1195" xr:uid="{00000000-0005-0000-0000-000068120000}"/>
    <cellStyle name="Normal 3 6 3 2" xfId="1196" xr:uid="{00000000-0005-0000-0000-000069120000}"/>
    <cellStyle name="Normal 3 6 3 2 2" xfId="2617" xr:uid="{00000000-0005-0000-0000-00006A120000}"/>
    <cellStyle name="Normal 3 6 3 2 2 2" xfId="7099" xr:uid="{00000000-0005-0000-0000-00006B120000}"/>
    <cellStyle name="Normal 3 6 3 2 3" xfId="4300" xr:uid="{00000000-0005-0000-0000-00006C120000}"/>
    <cellStyle name="Normal 3 6 3 2 3 2" xfId="8763" xr:uid="{00000000-0005-0000-0000-00006D120000}"/>
    <cellStyle name="Normal 3 6 3 2 4" xfId="5512" xr:uid="{00000000-0005-0000-0000-00006E120000}"/>
    <cellStyle name="Normal 3 6 3 3" xfId="2618" xr:uid="{00000000-0005-0000-0000-00006F120000}"/>
    <cellStyle name="Normal 3 6 3 3 2" xfId="7100" xr:uid="{00000000-0005-0000-0000-000070120000}"/>
    <cellStyle name="Normal 3 6 3 4" xfId="3575" xr:uid="{00000000-0005-0000-0000-000071120000}"/>
    <cellStyle name="Normal 3 6 3 4 2" xfId="8041" xr:uid="{00000000-0005-0000-0000-000072120000}"/>
    <cellStyle name="Normal 3 6 3 5" xfId="4787" xr:uid="{00000000-0005-0000-0000-000073120000}"/>
    <cellStyle name="Normal 3 6 4" xfId="1197" xr:uid="{00000000-0005-0000-0000-000074120000}"/>
    <cellStyle name="Normal 3 6 4 2" xfId="1198" xr:uid="{00000000-0005-0000-0000-000075120000}"/>
    <cellStyle name="Normal 3 6 4 2 2" xfId="2619" xr:uid="{00000000-0005-0000-0000-000076120000}"/>
    <cellStyle name="Normal 3 6 4 2 2 2" xfId="7101" xr:uid="{00000000-0005-0000-0000-000077120000}"/>
    <cellStyle name="Normal 3 6 4 2 3" xfId="5901" xr:uid="{00000000-0005-0000-0000-000078120000}"/>
    <cellStyle name="Normal 3 6 4 3" xfId="2620" xr:uid="{00000000-0005-0000-0000-000079120000}"/>
    <cellStyle name="Normal 3 6 4 3 2" xfId="7102" xr:uid="{00000000-0005-0000-0000-00007A120000}"/>
    <cellStyle name="Normal 3 6 4 4" xfId="3971" xr:uid="{00000000-0005-0000-0000-00007B120000}"/>
    <cellStyle name="Normal 3 6 4 4 2" xfId="8437" xr:uid="{00000000-0005-0000-0000-00007C120000}"/>
    <cellStyle name="Normal 3 6 4 5" xfId="5183" xr:uid="{00000000-0005-0000-0000-00007D120000}"/>
    <cellStyle name="Normal 3 6 5" xfId="1199" xr:uid="{00000000-0005-0000-0000-00007E120000}"/>
    <cellStyle name="Normal 3 6 5 2" xfId="2621" xr:uid="{00000000-0005-0000-0000-00007F120000}"/>
    <cellStyle name="Normal 3 6 5 2 2" xfId="7103" xr:uid="{00000000-0005-0000-0000-000080120000}"/>
    <cellStyle name="Normal 3 6 5 3" xfId="4487" xr:uid="{00000000-0005-0000-0000-000081120000}"/>
    <cellStyle name="Normal 3 6 5 3 2" xfId="8949" xr:uid="{00000000-0005-0000-0000-000082120000}"/>
    <cellStyle name="Normal 3 6 5 4" xfId="5698" xr:uid="{00000000-0005-0000-0000-000083120000}"/>
    <cellStyle name="Normal 3 6 6" xfId="347" xr:uid="{00000000-0005-0000-0000-000084120000}"/>
    <cellStyle name="Normal 3 6 6 2" xfId="6109" xr:uid="{00000000-0005-0000-0000-000085120000}"/>
    <cellStyle name="Normal 3 6 7" xfId="3572" xr:uid="{00000000-0005-0000-0000-000086120000}"/>
    <cellStyle name="Normal 3 6 7 2" xfId="8038" xr:uid="{00000000-0005-0000-0000-000087120000}"/>
    <cellStyle name="Normal 3 6 8" xfId="4784" xr:uid="{00000000-0005-0000-0000-000088120000}"/>
    <cellStyle name="Normal 3 7" xfId="1200" xr:uid="{00000000-0005-0000-0000-000089120000}"/>
    <cellStyle name="Normal 3 7 2" xfId="1201" xr:uid="{00000000-0005-0000-0000-00008A120000}"/>
    <cellStyle name="Normal 3 7 2 2" xfId="1202" xr:uid="{00000000-0005-0000-0000-00008B120000}"/>
    <cellStyle name="Normal 3 7 2 2 2" xfId="2622" xr:uid="{00000000-0005-0000-0000-00008C120000}"/>
    <cellStyle name="Normal 3 7 2 2 2 2" xfId="7104" xr:uid="{00000000-0005-0000-0000-00008D120000}"/>
    <cellStyle name="Normal 3 7 2 2 3" xfId="4301" xr:uid="{00000000-0005-0000-0000-00008E120000}"/>
    <cellStyle name="Normal 3 7 2 2 3 2" xfId="8764" xr:uid="{00000000-0005-0000-0000-00008F120000}"/>
    <cellStyle name="Normal 3 7 2 2 4" xfId="5513" xr:uid="{00000000-0005-0000-0000-000090120000}"/>
    <cellStyle name="Normal 3 7 2 3" xfId="2623" xr:uid="{00000000-0005-0000-0000-000091120000}"/>
    <cellStyle name="Normal 3 7 2 3 2" xfId="7105" xr:uid="{00000000-0005-0000-0000-000092120000}"/>
    <cellStyle name="Normal 3 7 2 4" xfId="3577" xr:uid="{00000000-0005-0000-0000-000093120000}"/>
    <cellStyle name="Normal 3 7 2 4 2" xfId="8043" xr:uid="{00000000-0005-0000-0000-000094120000}"/>
    <cellStyle name="Normal 3 7 2 5" xfId="4789" xr:uid="{00000000-0005-0000-0000-000095120000}"/>
    <cellStyle name="Normal 3 7 3" xfId="1203" xr:uid="{00000000-0005-0000-0000-000096120000}"/>
    <cellStyle name="Normal 3 7 3 2" xfId="1204" xr:uid="{00000000-0005-0000-0000-000097120000}"/>
    <cellStyle name="Normal 3 7 3 2 2" xfId="2624" xr:uid="{00000000-0005-0000-0000-000098120000}"/>
    <cellStyle name="Normal 3 7 3 2 2 2" xfId="7106" xr:uid="{00000000-0005-0000-0000-000099120000}"/>
    <cellStyle name="Normal 3 7 3 2 3" xfId="5999" xr:uid="{00000000-0005-0000-0000-00009A120000}"/>
    <cellStyle name="Normal 3 7 3 3" xfId="2625" xr:uid="{00000000-0005-0000-0000-00009B120000}"/>
    <cellStyle name="Normal 3 7 3 3 2" xfId="7107" xr:uid="{00000000-0005-0000-0000-00009C120000}"/>
    <cellStyle name="Normal 3 7 3 4" xfId="3973" xr:uid="{00000000-0005-0000-0000-00009D120000}"/>
    <cellStyle name="Normal 3 7 3 4 2" xfId="8439" xr:uid="{00000000-0005-0000-0000-00009E120000}"/>
    <cellStyle name="Normal 3 7 3 5" xfId="5185" xr:uid="{00000000-0005-0000-0000-00009F120000}"/>
    <cellStyle name="Normal 3 7 4" xfId="1205" xr:uid="{00000000-0005-0000-0000-0000A0120000}"/>
    <cellStyle name="Normal 3 7 4 2" xfId="2626" xr:uid="{00000000-0005-0000-0000-0000A1120000}"/>
    <cellStyle name="Normal 3 7 4 2 2" xfId="7108" xr:uid="{00000000-0005-0000-0000-0000A2120000}"/>
    <cellStyle name="Normal 3 7 4 3" xfId="4490" xr:uid="{00000000-0005-0000-0000-0000A3120000}"/>
    <cellStyle name="Normal 3 7 4 3 2" xfId="8951" xr:uid="{00000000-0005-0000-0000-0000A4120000}"/>
    <cellStyle name="Normal 3 7 4 4" xfId="5701" xr:uid="{00000000-0005-0000-0000-0000A5120000}"/>
    <cellStyle name="Normal 3 7 5" xfId="2627" xr:uid="{00000000-0005-0000-0000-0000A6120000}"/>
    <cellStyle name="Normal 3 7 5 2" xfId="7109" xr:uid="{00000000-0005-0000-0000-0000A7120000}"/>
    <cellStyle name="Normal 3 7 6" xfId="3576" xr:uid="{00000000-0005-0000-0000-0000A8120000}"/>
    <cellStyle name="Normal 3 7 6 2" xfId="8042" xr:uid="{00000000-0005-0000-0000-0000A9120000}"/>
    <cellStyle name="Normal 3 7 7" xfId="4788" xr:uid="{00000000-0005-0000-0000-0000AA120000}"/>
    <cellStyle name="Normal 3 8" xfId="1206" xr:uid="{00000000-0005-0000-0000-0000AB120000}"/>
    <cellStyle name="Normal 3 8 2" xfId="1207" xr:uid="{00000000-0005-0000-0000-0000AC120000}"/>
    <cellStyle name="Normal 3 8 2 2" xfId="2628" xr:uid="{00000000-0005-0000-0000-0000AD120000}"/>
    <cellStyle name="Normal 3 8 2 2 2" xfId="7110" xr:uid="{00000000-0005-0000-0000-0000AE120000}"/>
    <cellStyle name="Normal 3 8 2 3" xfId="4303" xr:uid="{00000000-0005-0000-0000-0000AF120000}"/>
    <cellStyle name="Normal 3 8 2 3 2" xfId="8766" xr:uid="{00000000-0005-0000-0000-0000B0120000}"/>
    <cellStyle name="Normal 3 8 2 4" xfId="5515" xr:uid="{00000000-0005-0000-0000-0000B1120000}"/>
    <cellStyle name="Normal 3 8 3" xfId="2629" xr:uid="{00000000-0005-0000-0000-0000B2120000}"/>
    <cellStyle name="Normal 3 8 3 2" xfId="4302" xr:uid="{00000000-0005-0000-0000-0000B3120000}"/>
    <cellStyle name="Normal 3 8 3 2 2" xfId="8765" xr:uid="{00000000-0005-0000-0000-0000B4120000}"/>
    <cellStyle name="Normal 3 8 3 3" xfId="5514" xr:uid="{00000000-0005-0000-0000-0000B5120000}"/>
    <cellStyle name="Normal 3 8 4" xfId="3578" xr:uid="{00000000-0005-0000-0000-0000B6120000}"/>
    <cellStyle name="Normal 3 8 4 2" xfId="8044" xr:uid="{00000000-0005-0000-0000-0000B7120000}"/>
    <cellStyle name="Normal 3 8 5" xfId="4790" xr:uid="{00000000-0005-0000-0000-0000B8120000}"/>
    <cellStyle name="Normal 3 9" xfId="1208" xr:uid="{00000000-0005-0000-0000-0000B9120000}"/>
    <cellStyle name="Normal 3 9 2" xfId="1209" xr:uid="{00000000-0005-0000-0000-0000BA120000}"/>
    <cellStyle name="Normal 3 9 2 2" xfId="2630" xr:uid="{00000000-0005-0000-0000-0000BB120000}"/>
    <cellStyle name="Normal 3 9 2 2 2" xfId="7111" xr:uid="{00000000-0005-0000-0000-0000BC120000}"/>
    <cellStyle name="Normal 3 9 2 3" xfId="5704" xr:uid="{00000000-0005-0000-0000-0000BD120000}"/>
    <cellStyle name="Normal 3 9 3" xfId="2631" xr:uid="{00000000-0005-0000-0000-0000BE120000}"/>
    <cellStyle name="Normal 3 9 3 2" xfId="7112" xr:uid="{00000000-0005-0000-0000-0000BF120000}"/>
    <cellStyle name="Normal 3 9 4" xfId="4304" xr:uid="{00000000-0005-0000-0000-0000C0120000}"/>
    <cellStyle name="Normal 3 9 4 2" xfId="8767" xr:uid="{00000000-0005-0000-0000-0000C1120000}"/>
    <cellStyle name="Normal 3 9 5" xfId="5516" xr:uid="{00000000-0005-0000-0000-0000C2120000}"/>
    <cellStyle name="Normal 4" xfId="16" xr:uid="{00000000-0005-0000-0000-0000C3120000}"/>
    <cellStyle name="Normal 4 10" xfId="1210" xr:uid="{00000000-0005-0000-0000-0000C4120000}"/>
    <cellStyle name="Normal 4 10 2" xfId="2632" xr:uid="{00000000-0005-0000-0000-0000C5120000}"/>
    <cellStyle name="Normal 4 10 2 2" xfId="7113" xr:uid="{00000000-0005-0000-0000-0000C6120000}"/>
    <cellStyle name="Normal 4 10 3" xfId="4305" xr:uid="{00000000-0005-0000-0000-0000C7120000}"/>
    <cellStyle name="Normal 4 10 3 2" xfId="8768" xr:uid="{00000000-0005-0000-0000-0000C8120000}"/>
    <cellStyle name="Normal 4 10 4" xfId="5517" xr:uid="{00000000-0005-0000-0000-0000C9120000}"/>
    <cellStyle name="Normal 4 11" xfId="1868" xr:uid="{00000000-0005-0000-0000-0000CA120000}"/>
    <cellStyle name="Normal 4 11 2" xfId="3830" xr:uid="{00000000-0005-0000-0000-0000CB120000}"/>
    <cellStyle name="Normal 4 11 2 2" xfId="8296" xr:uid="{00000000-0005-0000-0000-0000CC120000}"/>
    <cellStyle name="Normal 4 11 3" xfId="5042" xr:uid="{00000000-0005-0000-0000-0000CD120000}"/>
    <cellStyle name="Normal 4 12" xfId="234" xr:uid="{00000000-0005-0000-0000-0000CE120000}"/>
    <cellStyle name="Normal 4 12 2" xfId="4480" xr:uid="{00000000-0005-0000-0000-0000CF120000}"/>
    <cellStyle name="Normal 4 12 2 2" xfId="8942" xr:uid="{00000000-0005-0000-0000-0000D0120000}"/>
    <cellStyle name="Normal 4 12 3" xfId="5691" xr:uid="{00000000-0005-0000-0000-0000D1120000}"/>
    <cellStyle name="Normal 4 13" xfId="3291" xr:uid="{00000000-0005-0000-0000-0000D2120000}"/>
    <cellStyle name="Normal 4 13 2" xfId="7757" xr:uid="{00000000-0005-0000-0000-0000D3120000}"/>
    <cellStyle name="Normal 4 14" xfId="4500" xr:uid="{00000000-0005-0000-0000-0000D4120000}"/>
    <cellStyle name="Normal 4 2" xfId="132" xr:uid="{00000000-0005-0000-0000-0000D5120000}"/>
    <cellStyle name="Normal 4 2 10" xfId="1873" xr:uid="{00000000-0005-0000-0000-0000D6120000}"/>
    <cellStyle name="Normal 4 2 10 2" xfId="3974" xr:uid="{00000000-0005-0000-0000-0000D7120000}"/>
    <cellStyle name="Normal 4 2 10 2 2" xfId="8440" xr:uid="{00000000-0005-0000-0000-0000D8120000}"/>
    <cellStyle name="Normal 4 2 10 3" xfId="5186" xr:uid="{00000000-0005-0000-0000-0000D9120000}"/>
    <cellStyle name="Normal 4 2 11" xfId="348" xr:uid="{00000000-0005-0000-0000-0000DA120000}"/>
    <cellStyle name="Normal 4 2 11 2" xfId="6108" xr:uid="{00000000-0005-0000-0000-0000DB120000}"/>
    <cellStyle name="Normal 4 2 12" xfId="3579" xr:uid="{00000000-0005-0000-0000-0000DC120000}"/>
    <cellStyle name="Normal 4 2 12 2" xfId="8045" xr:uid="{00000000-0005-0000-0000-0000DD120000}"/>
    <cellStyle name="Normal 4 2 13" xfId="4791" xr:uid="{00000000-0005-0000-0000-0000DE120000}"/>
    <cellStyle name="Normal 4 2 2" xfId="133" xr:uid="{00000000-0005-0000-0000-0000DF120000}"/>
    <cellStyle name="Normal 4 2 2 10" xfId="4792" xr:uid="{00000000-0005-0000-0000-0000E0120000}"/>
    <cellStyle name="Normal 4 2 2 2" xfId="134" xr:uid="{00000000-0005-0000-0000-0000E1120000}"/>
    <cellStyle name="Normal 4 2 2 2 2" xfId="135" xr:uid="{00000000-0005-0000-0000-0000E2120000}"/>
    <cellStyle name="Normal 4 2 2 2 2 2" xfId="136" xr:uid="{00000000-0005-0000-0000-0000E3120000}"/>
    <cellStyle name="Normal 4 2 2 2 2 2 2" xfId="1211" xr:uid="{00000000-0005-0000-0000-0000E4120000}"/>
    <cellStyle name="Normal 4 2 2 2 2 2 2 2" xfId="1212" xr:uid="{00000000-0005-0000-0000-0000E5120000}"/>
    <cellStyle name="Normal 4 2 2 2 2 2 2 2 2" xfId="2633" xr:uid="{00000000-0005-0000-0000-0000E6120000}"/>
    <cellStyle name="Normal 4 2 2 2 2 2 2 2 2 2" xfId="7114" xr:uid="{00000000-0005-0000-0000-0000E7120000}"/>
    <cellStyle name="Normal 4 2 2 2 2 2 2 2 3" xfId="4306" xr:uid="{00000000-0005-0000-0000-0000E8120000}"/>
    <cellStyle name="Normal 4 2 2 2 2 2 2 2 3 2" xfId="8769" xr:uid="{00000000-0005-0000-0000-0000E9120000}"/>
    <cellStyle name="Normal 4 2 2 2 2 2 2 2 4" xfId="5518" xr:uid="{00000000-0005-0000-0000-0000EA120000}"/>
    <cellStyle name="Normal 4 2 2 2 2 2 2 3" xfId="2634" xr:uid="{00000000-0005-0000-0000-0000EB120000}"/>
    <cellStyle name="Normal 4 2 2 2 2 2 2 3 2" xfId="7115" xr:uid="{00000000-0005-0000-0000-0000EC120000}"/>
    <cellStyle name="Normal 4 2 2 2 2 2 2 4" xfId="3584" xr:uid="{00000000-0005-0000-0000-0000ED120000}"/>
    <cellStyle name="Normal 4 2 2 2 2 2 2 4 2" xfId="8050" xr:uid="{00000000-0005-0000-0000-0000EE120000}"/>
    <cellStyle name="Normal 4 2 2 2 2 2 2 5" xfId="4796" xr:uid="{00000000-0005-0000-0000-0000EF120000}"/>
    <cellStyle name="Normal 4 2 2 2 2 2 3" xfId="1213" xr:uid="{00000000-0005-0000-0000-0000F0120000}"/>
    <cellStyle name="Normal 4 2 2 2 2 2 3 2" xfId="1214" xr:uid="{00000000-0005-0000-0000-0000F1120000}"/>
    <cellStyle name="Normal 4 2 2 2 2 2 3 2 2" xfId="2635" xr:uid="{00000000-0005-0000-0000-0000F2120000}"/>
    <cellStyle name="Normal 4 2 2 2 2 2 3 2 2 2" xfId="7116" xr:uid="{00000000-0005-0000-0000-0000F3120000}"/>
    <cellStyle name="Normal 4 2 2 2 2 2 3 2 3" xfId="5998" xr:uid="{00000000-0005-0000-0000-0000F4120000}"/>
    <cellStyle name="Normal 4 2 2 2 2 2 3 3" xfId="2636" xr:uid="{00000000-0005-0000-0000-0000F5120000}"/>
    <cellStyle name="Normal 4 2 2 2 2 2 3 3 2" xfId="7117" xr:uid="{00000000-0005-0000-0000-0000F6120000}"/>
    <cellStyle name="Normal 4 2 2 2 2 2 3 4" xfId="3978" xr:uid="{00000000-0005-0000-0000-0000F7120000}"/>
    <cellStyle name="Normal 4 2 2 2 2 2 3 4 2" xfId="8444" xr:uid="{00000000-0005-0000-0000-0000F8120000}"/>
    <cellStyle name="Normal 4 2 2 2 2 2 3 5" xfId="5190" xr:uid="{00000000-0005-0000-0000-0000F9120000}"/>
    <cellStyle name="Normal 4 2 2 2 2 2 4" xfId="1215" xr:uid="{00000000-0005-0000-0000-0000FA120000}"/>
    <cellStyle name="Normal 4 2 2 2 2 2 4 2" xfId="2637" xr:uid="{00000000-0005-0000-0000-0000FB120000}"/>
    <cellStyle name="Normal 4 2 2 2 2 2 4 2 2" xfId="7118" xr:uid="{00000000-0005-0000-0000-0000FC120000}"/>
    <cellStyle name="Normal 4 2 2 2 2 2 4 3" xfId="5703" xr:uid="{00000000-0005-0000-0000-0000FD120000}"/>
    <cellStyle name="Normal 4 2 2 2 2 2 5" xfId="352" xr:uid="{00000000-0005-0000-0000-0000FE120000}"/>
    <cellStyle name="Normal 4 2 2 2 2 2 5 2" xfId="6107" xr:uid="{00000000-0005-0000-0000-0000FF120000}"/>
    <cellStyle name="Normal 4 2 2 2 2 2 6" xfId="3583" xr:uid="{00000000-0005-0000-0000-000000130000}"/>
    <cellStyle name="Normal 4 2 2 2 2 2 6 2" xfId="8049" xr:uid="{00000000-0005-0000-0000-000001130000}"/>
    <cellStyle name="Normal 4 2 2 2 2 2 7" xfId="4795" xr:uid="{00000000-0005-0000-0000-000002130000}"/>
    <cellStyle name="Normal 4 2 2 2 2 3" xfId="1216" xr:uid="{00000000-0005-0000-0000-000003130000}"/>
    <cellStyle name="Normal 4 2 2 2 2 3 2" xfId="1217" xr:uid="{00000000-0005-0000-0000-000004130000}"/>
    <cellStyle name="Normal 4 2 2 2 2 3 2 2" xfId="2638" xr:uid="{00000000-0005-0000-0000-000005130000}"/>
    <cellStyle name="Normal 4 2 2 2 2 3 2 2 2" xfId="7119" xr:uid="{00000000-0005-0000-0000-000006130000}"/>
    <cellStyle name="Normal 4 2 2 2 2 3 2 3" xfId="4307" xr:uid="{00000000-0005-0000-0000-000007130000}"/>
    <cellStyle name="Normal 4 2 2 2 2 3 2 3 2" xfId="8770" xr:uid="{00000000-0005-0000-0000-000008130000}"/>
    <cellStyle name="Normal 4 2 2 2 2 3 2 4" xfId="5519" xr:uid="{00000000-0005-0000-0000-000009130000}"/>
    <cellStyle name="Normal 4 2 2 2 2 3 3" xfId="2639" xr:uid="{00000000-0005-0000-0000-00000A130000}"/>
    <cellStyle name="Normal 4 2 2 2 2 3 3 2" xfId="7120" xr:uid="{00000000-0005-0000-0000-00000B130000}"/>
    <cellStyle name="Normal 4 2 2 2 2 3 4" xfId="3585" xr:uid="{00000000-0005-0000-0000-00000C130000}"/>
    <cellStyle name="Normal 4 2 2 2 2 3 4 2" xfId="8051" xr:uid="{00000000-0005-0000-0000-00000D130000}"/>
    <cellStyle name="Normal 4 2 2 2 2 3 5" xfId="4797" xr:uid="{00000000-0005-0000-0000-00000E130000}"/>
    <cellStyle name="Normal 4 2 2 2 2 4" xfId="1218" xr:uid="{00000000-0005-0000-0000-00000F130000}"/>
    <cellStyle name="Normal 4 2 2 2 2 4 2" xfId="1219" xr:uid="{00000000-0005-0000-0000-000010130000}"/>
    <cellStyle name="Normal 4 2 2 2 2 4 2 2" xfId="2640" xr:uid="{00000000-0005-0000-0000-000011130000}"/>
    <cellStyle name="Normal 4 2 2 2 2 4 2 2 2" xfId="7121" xr:uid="{00000000-0005-0000-0000-000012130000}"/>
    <cellStyle name="Normal 4 2 2 2 2 4 2 3" xfId="4493" xr:uid="{00000000-0005-0000-0000-000013130000}"/>
    <cellStyle name="Normal 4 2 2 2 2 4 3" xfId="2641" xr:uid="{00000000-0005-0000-0000-000014130000}"/>
    <cellStyle name="Normal 4 2 2 2 2 4 3 2" xfId="7122" xr:uid="{00000000-0005-0000-0000-000015130000}"/>
    <cellStyle name="Normal 4 2 2 2 2 4 4" xfId="3977" xr:uid="{00000000-0005-0000-0000-000016130000}"/>
    <cellStyle name="Normal 4 2 2 2 2 4 4 2" xfId="8443" xr:uid="{00000000-0005-0000-0000-000017130000}"/>
    <cellStyle name="Normal 4 2 2 2 2 4 5" xfId="5189" xr:uid="{00000000-0005-0000-0000-000018130000}"/>
    <cellStyle name="Normal 4 2 2 2 2 5" xfId="1220" xr:uid="{00000000-0005-0000-0000-000019130000}"/>
    <cellStyle name="Normal 4 2 2 2 2 5 2" xfId="2642" xr:uid="{00000000-0005-0000-0000-00001A130000}"/>
    <cellStyle name="Normal 4 2 2 2 2 5 2 2" xfId="7123" xr:uid="{00000000-0005-0000-0000-00001B130000}"/>
    <cellStyle name="Normal 4 2 2 2 2 5 3" xfId="5900" xr:uid="{00000000-0005-0000-0000-00001C130000}"/>
    <cellStyle name="Normal 4 2 2 2 2 6" xfId="351" xr:uid="{00000000-0005-0000-0000-00001D130000}"/>
    <cellStyle name="Normal 4 2 2 2 2 6 2" xfId="5975" xr:uid="{00000000-0005-0000-0000-00001E130000}"/>
    <cellStyle name="Normal 4 2 2 2 2 7" xfId="3582" xr:uid="{00000000-0005-0000-0000-00001F130000}"/>
    <cellStyle name="Normal 4 2 2 2 2 7 2" xfId="8048" xr:uid="{00000000-0005-0000-0000-000020130000}"/>
    <cellStyle name="Normal 4 2 2 2 2 8" xfId="4794" xr:uid="{00000000-0005-0000-0000-000021130000}"/>
    <cellStyle name="Normal 4 2 2 2 3" xfId="137" xr:uid="{00000000-0005-0000-0000-000022130000}"/>
    <cellStyle name="Normal 4 2 2 2 3 2" xfId="1221" xr:uid="{00000000-0005-0000-0000-000023130000}"/>
    <cellStyle name="Normal 4 2 2 2 3 2 2" xfId="1222" xr:uid="{00000000-0005-0000-0000-000024130000}"/>
    <cellStyle name="Normal 4 2 2 2 3 2 2 2" xfId="2643" xr:uid="{00000000-0005-0000-0000-000025130000}"/>
    <cellStyle name="Normal 4 2 2 2 3 2 2 2 2" xfId="7124" xr:uid="{00000000-0005-0000-0000-000026130000}"/>
    <cellStyle name="Normal 4 2 2 2 3 2 2 3" xfId="4308" xr:uid="{00000000-0005-0000-0000-000027130000}"/>
    <cellStyle name="Normal 4 2 2 2 3 2 2 3 2" xfId="8771" xr:uid="{00000000-0005-0000-0000-000028130000}"/>
    <cellStyle name="Normal 4 2 2 2 3 2 2 4" xfId="5520" xr:uid="{00000000-0005-0000-0000-000029130000}"/>
    <cellStyle name="Normal 4 2 2 2 3 2 3" xfId="2644" xr:uid="{00000000-0005-0000-0000-00002A130000}"/>
    <cellStyle name="Normal 4 2 2 2 3 2 3 2" xfId="7125" xr:uid="{00000000-0005-0000-0000-00002B130000}"/>
    <cellStyle name="Normal 4 2 2 2 3 2 4" xfId="3587" xr:uid="{00000000-0005-0000-0000-00002C130000}"/>
    <cellStyle name="Normal 4 2 2 2 3 2 4 2" xfId="8053" xr:uid="{00000000-0005-0000-0000-00002D130000}"/>
    <cellStyle name="Normal 4 2 2 2 3 2 5" xfId="4799" xr:uid="{00000000-0005-0000-0000-00002E130000}"/>
    <cellStyle name="Normal 4 2 2 2 3 3" xfId="1223" xr:uid="{00000000-0005-0000-0000-00002F130000}"/>
    <cellStyle name="Normal 4 2 2 2 3 3 2" xfId="1224" xr:uid="{00000000-0005-0000-0000-000030130000}"/>
    <cellStyle name="Normal 4 2 2 2 3 3 2 2" xfId="2645" xr:uid="{00000000-0005-0000-0000-000031130000}"/>
    <cellStyle name="Normal 4 2 2 2 3 3 2 2 2" xfId="7126" xr:uid="{00000000-0005-0000-0000-000032130000}"/>
    <cellStyle name="Normal 4 2 2 2 3 3 2 3" xfId="5451" xr:uid="{00000000-0005-0000-0000-000033130000}"/>
    <cellStyle name="Normal 4 2 2 2 3 3 3" xfId="2646" xr:uid="{00000000-0005-0000-0000-000034130000}"/>
    <cellStyle name="Normal 4 2 2 2 3 3 3 2" xfId="7127" xr:uid="{00000000-0005-0000-0000-000035130000}"/>
    <cellStyle name="Normal 4 2 2 2 3 3 4" xfId="3979" xr:uid="{00000000-0005-0000-0000-000036130000}"/>
    <cellStyle name="Normal 4 2 2 2 3 3 4 2" xfId="8445" xr:uid="{00000000-0005-0000-0000-000037130000}"/>
    <cellStyle name="Normal 4 2 2 2 3 3 5" xfId="5191" xr:uid="{00000000-0005-0000-0000-000038130000}"/>
    <cellStyle name="Normal 4 2 2 2 3 4" xfId="1225" xr:uid="{00000000-0005-0000-0000-000039130000}"/>
    <cellStyle name="Normal 4 2 2 2 3 4 2" xfId="2647" xr:uid="{00000000-0005-0000-0000-00003A130000}"/>
    <cellStyle name="Normal 4 2 2 2 3 4 2 2" xfId="7128" xr:uid="{00000000-0005-0000-0000-00003B130000}"/>
    <cellStyle name="Normal 4 2 2 2 3 4 3" xfId="4497" xr:uid="{00000000-0005-0000-0000-00003C130000}"/>
    <cellStyle name="Normal 4 2 2 2 3 5" xfId="353" xr:uid="{00000000-0005-0000-0000-00003D130000}"/>
    <cellStyle name="Normal 4 2 2 2 3 5 2" xfId="5855" xr:uid="{00000000-0005-0000-0000-00003E130000}"/>
    <cellStyle name="Normal 4 2 2 2 3 6" xfId="3586" xr:uid="{00000000-0005-0000-0000-00003F130000}"/>
    <cellStyle name="Normal 4 2 2 2 3 6 2" xfId="8052" xr:uid="{00000000-0005-0000-0000-000040130000}"/>
    <cellStyle name="Normal 4 2 2 2 3 7" xfId="4798" xr:uid="{00000000-0005-0000-0000-000041130000}"/>
    <cellStyle name="Normal 4 2 2 2 4" xfId="1226" xr:uid="{00000000-0005-0000-0000-000042130000}"/>
    <cellStyle name="Normal 4 2 2 2 4 2" xfId="1227" xr:uid="{00000000-0005-0000-0000-000043130000}"/>
    <cellStyle name="Normal 4 2 2 2 4 2 2" xfId="2648" xr:uid="{00000000-0005-0000-0000-000044130000}"/>
    <cellStyle name="Normal 4 2 2 2 4 2 2 2" xfId="7129" xr:uid="{00000000-0005-0000-0000-000045130000}"/>
    <cellStyle name="Normal 4 2 2 2 4 2 3" xfId="4309" xr:uid="{00000000-0005-0000-0000-000046130000}"/>
    <cellStyle name="Normal 4 2 2 2 4 2 3 2" xfId="8772" xr:uid="{00000000-0005-0000-0000-000047130000}"/>
    <cellStyle name="Normal 4 2 2 2 4 2 4" xfId="5521" xr:uid="{00000000-0005-0000-0000-000048130000}"/>
    <cellStyle name="Normal 4 2 2 2 4 3" xfId="2649" xr:uid="{00000000-0005-0000-0000-000049130000}"/>
    <cellStyle name="Normal 4 2 2 2 4 3 2" xfId="7130" xr:uid="{00000000-0005-0000-0000-00004A130000}"/>
    <cellStyle name="Normal 4 2 2 2 4 4" xfId="3588" xr:uid="{00000000-0005-0000-0000-00004B130000}"/>
    <cellStyle name="Normal 4 2 2 2 4 4 2" xfId="8054" xr:uid="{00000000-0005-0000-0000-00004C130000}"/>
    <cellStyle name="Normal 4 2 2 2 4 5" xfId="4800" xr:uid="{00000000-0005-0000-0000-00004D130000}"/>
    <cellStyle name="Normal 4 2 2 2 5" xfId="1228" xr:uid="{00000000-0005-0000-0000-00004E130000}"/>
    <cellStyle name="Normal 4 2 2 2 5 2" xfId="1229" xr:uid="{00000000-0005-0000-0000-00004F130000}"/>
    <cellStyle name="Normal 4 2 2 2 5 2 2" xfId="2650" xr:uid="{00000000-0005-0000-0000-000050130000}"/>
    <cellStyle name="Normal 4 2 2 2 5 2 2 2" xfId="7131" xr:uid="{00000000-0005-0000-0000-000051130000}"/>
    <cellStyle name="Normal 4 2 2 2 5 2 3" xfId="6148" xr:uid="{00000000-0005-0000-0000-000052130000}"/>
    <cellStyle name="Normal 4 2 2 2 5 3" xfId="2651" xr:uid="{00000000-0005-0000-0000-000053130000}"/>
    <cellStyle name="Normal 4 2 2 2 5 3 2" xfId="7132" xr:uid="{00000000-0005-0000-0000-000054130000}"/>
    <cellStyle name="Normal 4 2 2 2 5 4" xfId="3976" xr:uid="{00000000-0005-0000-0000-000055130000}"/>
    <cellStyle name="Normal 4 2 2 2 5 4 2" xfId="8442" xr:uid="{00000000-0005-0000-0000-000056130000}"/>
    <cellStyle name="Normal 4 2 2 2 5 5" xfId="5188" xr:uid="{00000000-0005-0000-0000-000057130000}"/>
    <cellStyle name="Normal 4 2 2 2 6" xfId="1230" xr:uid="{00000000-0005-0000-0000-000058130000}"/>
    <cellStyle name="Normal 4 2 2 2 6 2" xfId="2652" xr:uid="{00000000-0005-0000-0000-000059130000}"/>
    <cellStyle name="Normal 4 2 2 2 6 2 2" xfId="7133" xr:uid="{00000000-0005-0000-0000-00005A130000}"/>
    <cellStyle name="Normal 4 2 2 2 6 3" xfId="6149" xr:uid="{00000000-0005-0000-0000-00005B130000}"/>
    <cellStyle name="Normal 4 2 2 2 7" xfId="350" xr:uid="{00000000-0005-0000-0000-00005C130000}"/>
    <cellStyle name="Normal 4 2 2 2 7 2" xfId="5856" xr:uid="{00000000-0005-0000-0000-00005D130000}"/>
    <cellStyle name="Normal 4 2 2 2 8" xfId="3581" xr:uid="{00000000-0005-0000-0000-00005E130000}"/>
    <cellStyle name="Normal 4 2 2 2 8 2" xfId="8047" xr:uid="{00000000-0005-0000-0000-00005F130000}"/>
    <cellStyle name="Normal 4 2 2 2 9" xfId="4793" xr:uid="{00000000-0005-0000-0000-000060130000}"/>
    <cellStyle name="Normal 4 2 2 3" xfId="138" xr:uid="{00000000-0005-0000-0000-000061130000}"/>
    <cellStyle name="Normal 4 2 2 3 2" xfId="139" xr:uid="{00000000-0005-0000-0000-000062130000}"/>
    <cellStyle name="Normal 4 2 2 3 2 2" xfId="1231" xr:uid="{00000000-0005-0000-0000-000063130000}"/>
    <cellStyle name="Normal 4 2 2 3 2 2 2" xfId="1232" xr:uid="{00000000-0005-0000-0000-000064130000}"/>
    <cellStyle name="Normal 4 2 2 3 2 2 2 2" xfId="2653" xr:uid="{00000000-0005-0000-0000-000065130000}"/>
    <cellStyle name="Normal 4 2 2 3 2 2 2 2 2" xfId="7134" xr:uid="{00000000-0005-0000-0000-000066130000}"/>
    <cellStyle name="Normal 4 2 2 3 2 2 2 3" xfId="4310" xr:uid="{00000000-0005-0000-0000-000067130000}"/>
    <cellStyle name="Normal 4 2 2 3 2 2 2 3 2" xfId="8773" xr:uid="{00000000-0005-0000-0000-000068130000}"/>
    <cellStyle name="Normal 4 2 2 3 2 2 2 4" xfId="5522" xr:uid="{00000000-0005-0000-0000-000069130000}"/>
    <cellStyle name="Normal 4 2 2 3 2 2 3" xfId="2654" xr:uid="{00000000-0005-0000-0000-00006A130000}"/>
    <cellStyle name="Normal 4 2 2 3 2 2 3 2" xfId="7135" xr:uid="{00000000-0005-0000-0000-00006B130000}"/>
    <cellStyle name="Normal 4 2 2 3 2 2 4" xfId="3591" xr:uid="{00000000-0005-0000-0000-00006C130000}"/>
    <cellStyle name="Normal 4 2 2 3 2 2 4 2" xfId="8057" xr:uid="{00000000-0005-0000-0000-00006D130000}"/>
    <cellStyle name="Normal 4 2 2 3 2 2 5" xfId="4803" xr:uid="{00000000-0005-0000-0000-00006E130000}"/>
    <cellStyle name="Normal 4 2 2 3 2 3" xfId="1233" xr:uid="{00000000-0005-0000-0000-00006F130000}"/>
    <cellStyle name="Normal 4 2 2 3 2 3 2" xfId="1234" xr:uid="{00000000-0005-0000-0000-000070130000}"/>
    <cellStyle name="Normal 4 2 2 3 2 3 2 2" xfId="2655" xr:uid="{00000000-0005-0000-0000-000071130000}"/>
    <cellStyle name="Normal 4 2 2 3 2 3 2 2 2" xfId="7136" xr:uid="{00000000-0005-0000-0000-000072130000}"/>
    <cellStyle name="Normal 4 2 2 3 2 3 2 3" xfId="6150" xr:uid="{00000000-0005-0000-0000-000073130000}"/>
    <cellStyle name="Normal 4 2 2 3 2 3 3" xfId="2656" xr:uid="{00000000-0005-0000-0000-000074130000}"/>
    <cellStyle name="Normal 4 2 2 3 2 3 3 2" xfId="7137" xr:uid="{00000000-0005-0000-0000-000075130000}"/>
    <cellStyle name="Normal 4 2 2 3 2 3 4" xfId="3981" xr:uid="{00000000-0005-0000-0000-000076130000}"/>
    <cellStyle name="Normal 4 2 2 3 2 3 4 2" xfId="8447" xr:uid="{00000000-0005-0000-0000-000077130000}"/>
    <cellStyle name="Normal 4 2 2 3 2 3 5" xfId="5193" xr:uid="{00000000-0005-0000-0000-000078130000}"/>
    <cellStyle name="Normal 4 2 2 3 2 4" xfId="1235" xr:uid="{00000000-0005-0000-0000-000079130000}"/>
    <cellStyle name="Normal 4 2 2 3 2 4 2" xfId="2657" xr:uid="{00000000-0005-0000-0000-00007A130000}"/>
    <cellStyle name="Normal 4 2 2 3 2 4 2 2" xfId="7138" xr:uid="{00000000-0005-0000-0000-00007B130000}"/>
    <cellStyle name="Normal 4 2 2 3 2 4 3" xfId="6151" xr:uid="{00000000-0005-0000-0000-00007C130000}"/>
    <cellStyle name="Normal 4 2 2 3 2 5" xfId="355" xr:uid="{00000000-0005-0000-0000-00007D130000}"/>
    <cellStyle name="Normal 4 2 2 3 2 5 2" xfId="5973" xr:uid="{00000000-0005-0000-0000-00007E130000}"/>
    <cellStyle name="Normal 4 2 2 3 2 6" xfId="3590" xr:uid="{00000000-0005-0000-0000-00007F130000}"/>
    <cellStyle name="Normal 4 2 2 3 2 6 2" xfId="8056" xr:uid="{00000000-0005-0000-0000-000080130000}"/>
    <cellStyle name="Normal 4 2 2 3 2 7" xfId="4802" xr:uid="{00000000-0005-0000-0000-000081130000}"/>
    <cellStyle name="Normal 4 2 2 3 3" xfId="1236" xr:uid="{00000000-0005-0000-0000-000082130000}"/>
    <cellStyle name="Normal 4 2 2 3 3 2" xfId="1237" xr:uid="{00000000-0005-0000-0000-000083130000}"/>
    <cellStyle name="Normal 4 2 2 3 3 2 2" xfId="2658" xr:uid="{00000000-0005-0000-0000-000084130000}"/>
    <cellStyle name="Normal 4 2 2 3 3 2 2 2" xfId="7139" xr:uid="{00000000-0005-0000-0000-000085130000}"/>
    <cellStyle name="Normal 4 2 2 3 3 2 3" xfId="4311" xr:uid="{00000000-0005-0000-0000-000086130000}"/>
    <cellStyle name="Normal 4 2 2 3 3 2 3 2" xfId="8774" xr:uid="{00000000-0005-0000-0000-000087130000}"/>
    <cellStyle name="Normal 4 2 2 3 3 2 4" xfId="5523" xr:uid="{00000000-0005-0000-0000-000088130000}"/>
    <cellStyle name="Normal 4 2 2 3 3 3" xfId="2659" xr:uid="{00000000-0005-0000-0000-000089130000}"/>
    <cellStyle name="Normal 4 2 2 3 3 3 2" xfId="7140" xr:uid="{00000000-0005-0000-0000-00008A130000}"/>
    <cellStyle name="Normal 4 2 2 3 3 4" xfId="3592" xr:uid="{00000000-0005-0000-0000-00008B130000}"/>
    <cellStyle name="Normal 4 2 2 3 3 4 2" xfId="8058" xr:uid="{00000000-0005-0000-0000-00008C130000}"/>
    <cellStyle name="Normal 4 2 2 3 3 5" xfId="4804" xr:uid="{00000000-0005-0000-0000-00008D130000}"/>
    <cellStyle name="Normal 4 2 2 3 4" xfId="1238" xr:uid="{00000000-0005-0000-0000-00008E130000}"/>
    <cellStyle name="Normal 4 2 2 3 4 2" xfId="1239" xr:uid="{00000000-0005-0000-0000-00008F130000}"/>
    <cellStyle name="Normal 4 2 2 3 4 2 2" xfId="2660" xr:uid="{00000000-0005-0000-0000-000090130000}"/>
    <cellStyle name="Normal 4 2 2 3 4 2 2 2" xfId="7141" xr:uid="{00000000-0005-0000-0000-000091130000}"/>
    <cellStyle name="Normal 4 2 2 3 4 2 3" xfId="6152" xr:uid="{00000000-0005-0000-0000-000092130000}"/>
    <cellStyle name="Normal 4 2 2 3 4 3" xfId="2661" xr:uid="{00000000-0005-0000-0000-000093130000}"/>
    <cellStyle name="Normal 4 2 2 3 4 3 2" xfId="7142" xr:uid="{00000000-0005-0000-0000-000094130000}"/>
    <cellStyle name="Normal 4 2 2 3 4 4" xfId="3980" xr:uid="{00000000-0005-0000-0000-000095130000}"/>
    <cellStyle name="Normal 4 2 2 3 4 4 2" xfId="8446" xr:uid="{00000000-0005-0000-0000-000096130000}"/>
    <cellStyle name="Normal 4 2 2 3 4 5" xfId="5192" xr:uid="{00000000-0005-0000-0000-000097130000}"/>
    <cellStyle name="Normal 4 2 2 3 5" xfId="1240" xr:uid="{00000000-0005-0000-0000-000098130000}"/>
    <cellStyle name="Normal 4 2 2 3 5 2" xfId="2662" xr:uid="{00000000-0005-0000-0000-000099130000}"/>
    <cellStyle name="Normal 4 2 2 3 5 2 2" xfId="7143" xr:uid="{00000000-0005-0000-0000-00009A130000}"/>
    <cellStyle name="Normal 4 2 2 3 5 3" xfId="6153" xr:uid="{00000000-0005-0000-0000-00009B130000}"/>
    <cellStyle name="Normal 4 2 2 3 6" xfId="354" xr:uid="{00000000-0005-0000-0000-00009C130000}"/>
    <cellStyle name="Normal 4 2 2 3 6 2" xfId="5854" xr:uid="{00000000-0005-0000-0000-00009D130000}"/>
    <cellStyle name="Normal 4 2 2 3 7" xfId="3589" xr:uid="{00000000-0005-0000-0000-00009E130000}"/>
    <cellStyle name="Normal 4 2 2 3 7 2" xfId="8055" xr:uid="{00000000-0005-0000-0000-00009F130000}"/>
    <cellStyle name="Normal 4 2 2 3 8" xfId="4801" xr:uid="{00000000-0005-0000-0000-0000A0130000}"/>
    <cellStyle name="Normal 4 2 2 4" xfId="140" xr:uid="{00000000-0005-0000-0000-0000A1130000}"/>
    <cellStyle name="Normal 4 2 2 4 2" xfId="1241" xr:uid="{00000000-0005-0000-0000-0000A2130000}"/>
    <cellStyle name="Normal 4 2 2 4 2 2" xfId="1242" xr:uid="{00000000-0005-0000-0000-0000A3130000}"/>
    <cellStyle name="Normal 4 2 2 4 2 2 2" xfId="2663" xr:uid="{00000000-0005-0000-0000-0000A4130000}"/>
    <cellStyle name="Normal 4 2 2 4 2 2 2 2" xfId="7144" xr:uid="{00000000-0005-0000-0000-0000A5130000}"/>
    <cellStyle name="Normal 4 2 2 4 2 2 3" xfId="4312" xr:uid="{00000000-0005-0000-0000-0000A6130000}"/>
    <cellStyle name="Normal 4 2 2 4 2 2 3 2" xfId="8775" xr:uid="{00000000-0005-0000-0000-0000A7130000}"/>
    <cellStyle name="Normal 4 2 2 4 2 2 4" xfId="5524" xr:uid="{00000000-0005-0000-0000-0000A8130000}"/>
    <cellStyle name="Normal 4 2 2 4 2 3" xfId="2664" xr:uid="{00000000-0005-0000-0000-0000A9130000}"/>
    <cellStyle name="Normal 4 2 2 4 2 3 2" xfId="7145" xr:uid="{00000000-0005-0000-0000-0000AA130000}"/>
    <cellStyle name="Normal 4 2 2 4 2 4" xfId="3594" xr:uid="{00000000-0005-0000-0000-0000AB130000}"/>
    <cellStyle name="Normal 4 2 2 4 2 4 2" xfId="8060" xr:uid="{00000000-0005-0000-0000-0000AC130000}"/>
    <cellStyle name="Normal 4 2 2 4 2 5" xfId="4806" xr:uid="{00000000-0005-0000-0000-0000AD130000}"/>
    <cellStyle name="Normal 4 2 2 4 3" xfId="1243" xr:uid="{00000000-0005-0000-0000-0000AE130000}"/>
    <cellStyle name="Normal 4 2 2 4 3 2" xfId="1244" xr:uid="{00000000-0005-0000-0000-0000AF130000}"/>
    <cellStyle name="Normal 4 2 2 4 3 2 2" xfId="2665" xr:uid="{00000000-0005-0000-0000-0000B0130000}"/>
    <cellStyle name="Normal 4 2 2 4 3 2 2 2" xfId="7146" xr:uid="{00000000-0005-0000-0000-0000B1130000}"/>
    <cellStyle name="Normal 4 2 2 4 3 2 3" xfId="6154" xr:uid="{00000000-0005-0000-0000-0000B2130000}"/>
    <cellStyle name="Normal 4 2 2 4 3 3" xfId="2666" xr:uid="{00000000-0005-0000-0000-0000B3130000}"/>
    <cellStyle name="Normal 4 2 2 4 3 3 2" xfId="7147" xr:uid="{00000000-0005-0000-0000-0000B4130000}"/>
    <cellStyle name="Normal 4 2 2 4 3 4" xfId="3982" xr:uid="{00000000-0005-0000-0000-0000B5130000}"/>
    <cellStyle name="Normal 4 2 2 4 3 4 2" xfId="8448" xr:uid="{00000000-0005-0000-0000-0000B6130000}"/>
    <cellStyle name="Normal 4 2 2 4 3 5" xfId="5194" xr:uid="{00000000-0005-0000-0000-0000B7130000}"/>
    <cellStyle name="Normal 4 2 2 4 4" xfId="1245" xr:uid="{00000000-0005-0000-0000-0000B8130000}"/>
    <cellStyle name="Normal 4 2 2 4 4 2" xfId="2667" xr:uid="{00000000-0005-0000-0000-0000B9130000}"/>
    <cellStyle name="Normal 4 2 2 4 4 2 2" xfId="7148" xr:uid="{00000000-0005-0000-0000-0000BA130000}"/>
    <cellStyle name="Normal 4 2 2 4 4 3" xfId="6155" xr:uid="{00000000-0005-0000-0000-0000BB130000}"/>
    <cellStyle name="Normal 4 2 2 4 5" xfId="356" xr:uid="{00000000-0005-0000-0000-0000BC130000}"/>
    <cellStyle name="Normal 4 2 2 4 5 2" xfId="6106" xr:uid="{00000000-0005-0000-0000-0000BD130000}"/>
    <cellStyle name="Normal 4 2 2 4 6" xfId="3593" xr:uid="{00000000-0005-0000-0000-0000BE130000}"/>
    <cellStyle name="Normal 4 2 2 4 6 2" xfId="8059" xr:uid="{00000000-0005-0000-0000-0000BF130000}"/>
    <cellStyle name="Normal 4 2 2 4 7" xfId="4805" xr:uid="{00000000-0005-0000-0000-0000C0130000}"/>
    <cellStyle name="Normal 4 2 2 5" xfId="1246" xr:uid="{00000000-0005-0000-0000-0000C1130000}"/>
    <cellStyle name="Normal 4 2 2 5 2" xfId="1247" xr:uid="{00000000-0005-0000-0000-0000C2130000}"/>
    <cellStyle name="Normal 4 2 2 5 2 2" xfId="2668" xr:uid="{00000000-0005-0000-0000-0000C3130000}"/>
    <cellStyle name="Normal 4 2 2 5 2 2 2" xfId="7149" xr:uid="{00000000-0005-0000-0000-0000C4130000}"/>
    <cellStyle name="Normal 4 2 2 5 2 3" xfId="4314" xr:uid="{00000000-0005-0000-0000-0000C5130000}"/>
    <cellStyle name="Normal 4 2 2 5 2 3 2" xfId="8777" xr:uid="{00000000-0005-0000-0000-0000C6130000}"/>
    <cellStyle name="Normal 4 2 2 5 2 4" xfId="5526" xr:uid="{00000000-0005-0000-0000-0000C7130000}"/>
    <cellStyle name="Normal 4 2 2 5 3" xfId="2669" xr:uid="{00000000-0005-0000-0000-0000C8130000}"/>
    <cellStyle name="Normal 4 2 2 5 3 2" xfId="4313" xr:uid="{00000000-0005-0000-0000-0000C9130000}"/>
    <cellStyle name="Normal 4 2 2 5 3 2 2" xfId="8776" xr:uid="{00000000-0005-0000-0000-0000CA130000}"/>
    <cellStyle name="Normal 4 2 2 5 3 3" xfId="5525" xr:uid="{00000000-0005-0000-0000-0000CB130000}"/>
    <cellStyle name="Normal 4 2 2 5 4" xfId="3595" xr:uid="{00000000-0005-0000-0000-0000CC130000}"/>
    <cellStyle name="Normal 4 2 2 5 4 2" xfId="8061" xr:uid="{00000000-0005-0000-0000-0000CD130000}"/>
    <cellStyle name="Normal 4 2 2 5 5" xfId="4807" xr:uid="{00000000-0005-0000-0000-0000CE130000}"/>
    <cellStyle name="Normal 4 2 2 6" xfId="1248" xr:uid="{00000000-0005-0000-0000-0000CF130000}"/>
    <cellStyle name="Normal 4 2 2 6 2" xfId="1249" xr:uid="{00000000-0005-0000-0000-0000D0130000}"/>
    <cellStyle name="Normal 4 2 2 6 2 2" xfId="2670" xr:uid="{00000000-0005-0000-0000-0000D1130000}"/>
    <cellStyle name="Normal 4 2 2 6 2 2 2" xfId="7150" xr:uid="{00000000-0005-0000-0000-0000D2130000}"/>
    <cellStyle name="Normal 4 2 2 6 2 3" xfId="6156" xr:uid="{00000000-0005-0000-0000-0000D3130000}"/>
    <cellStyle name="Normal 4 2 2 6 3" xfId="2671" xr:uid="{00000000-0005-0000-0000-0000D4130000}"/>
    <cellStyle name="Normal 4 2 2 6 3 2" xfId="7151" xr:uid="{00000000-0005-0000-0000-0000D5130000}"/>
    <cellStyle name="Normal 4 2 2 6 4" xfId="4315" xr:uid="{00000000-0005-0000-0000-0000D6130000}"/>
    <cellStyle name="Normal 4 2 2 6 4 2" xfId="8778" xr:uid="{00000000-0005-0000-0000-0000D7130000}"/>
    <cellStyle name="Normal 4 2 2 6 5" xfId="5527" xr:uid="{00000000-0005-0000-0000-0000D8130000}"/>
    <cellStyle name="Normal 4 2 2 7" xfId="1250" xr:uid="{00000000-0005-0000-0000-0000D9130000}"/>
    <cellStyle name="Normal 4 2 2 7 2" xfId="2672" xr:uid="{00000000-0005-0000-0000-0000DA130000}"/>
    <cellStyle name="Normal 4 2 2 7 2 2" xfId="7152" xr:uid="{00000000-0005-0000-0000-0000DB130000}"/>
    <cellStyle name="Normal 4 2 2 7 3" xfId="4316" xr:uid="{00000000-0005-0000-0000-0000DC130000}"/>
    <cellStyle name="Normal 4 2 2 7 3 2" xfId="8779" xr:uid="{00000000-0005-0000-0000-0000DD130000}"/>
    <cellStyle name="Normal 4 2 2 7 4" xfId="5528" xr:uid="{00000000-0005-0000-0000-0000DE130000}"/>
    <cellStyle name="Normal 4 2 2 8" xfId="349" xr:uid="{00000000-0005-0000-0000-0000DF130000}"/>
    <cellStyle name="Normal 4 2 2 8 2" xfId="3975" xr:uid="{00000000-0005-0000-0000-0000E0130000}"/>
    <cellStyle name="Normal 4 2 2 8 2 2" xfId="8441" xr:uid="{00000000-0005-0000-0000-0000E1130000}"/>
    <cellStyle name="Normal 4 2 2 8 3" xfId="5187" xr:uid="{00000000-0005-0000-0000-0000E2130000}"/>
    <cellStyle name="Normal 4 2 2 9" xfId="3580" xr:uid="{00000000-0005-0000-0000-0000E3130000}"/>
    <cellStyle name="Normal 4 2 2 9 2" xfId="8046" xr:uid="{00000000-0005-0000-0000-0000E4130000}"/>
    <cellStyle name="Normal 4 2 3" xfId="141" xr:uid="{00000000-0005-0000-0000-0000E5130000}"/>
    <cellStyle name="Normal 4 2 3 2" xfId="142" xr:uid="{00000000-0005-0000-0000-0000E6130000}"/>
    <cellStyle name="Normal 4 2 3 2 2" xfId="143" xr:uid="{00000000-0005-0000-0000-0000E7130000}"/>
    <cellStyle name="Normal 4 2 3 2 2 2" xfId="1251" xr:uid="{00000000-0005-0000-0000-0000E8130000}"/>
    <cellStyle name="Normal 4 2 3 2 2 2 2" xfId="1252" xr:uid="{00000000-0005-0000-0000-0000E9130000}"/>
    <cellStyle name="Normal 4 2 3 2 2 2 2 2" xfId="2673" xr:uid="{00000000-0005-0000-0000-0000EA130000}"/>
    <cellStyle name="Normal 4 2 3 2 2 2 2 2 2" xfId="7153" xr:uid="{00000000-0005-0000-0000-0000EB130000}"/>
    <cellStyle name="Normal 4 2 3 2 2 2 2 3" xfId="4317" xr:uid="{00000000-0005-0000-0000-0000EC130000}"/>
    <cellStyle name="Normal 4 2 3 2 2 2 2 3 2" xfId="8780" xr:uid="{00000000-0005-0000-0000-0000ED130000}"/>
    <cellStyle name="Normal 4 2 3 2 2 2 2 4" xfId="5529" xr:uid="{00000000-0005-0000-0000-0000EE130000}"/>
    <cellStyle name="Normal 4 2 3 2 2 2 3" xfId="2674" xr:uid="{00000000-0005-0000-0000-0000EF130000}"/>
    <cellStyle name="Normal 4 2 3 2 2 2 3 2" xfId="7154" xr:uid="{00000000-0005-0000-0000-0000F0130000}"/>
    <cellStyle name="Normal 4 2 3 2 2 2 4" xfId="3599" xr:uid="{00000000-0005-0000-0000-0000F1130000}"/>
    <cellStyle name="Normal 4 2 3 2 2 2 4 2" xfId="8065" xr:uid="{00000000-0005-0000-0000-0000F2130000}"/>
    <cellStyle name="Normal 4 2 3 2 2 2 5" xfId="4811" xr:uid="{00000000-0005-0000-0000-0000F3130000}"/>
    <cellStyle name="Normal 4 2 3 2 2 3" xfId="1253" xr:uid="{00000000-0005-0000-0000-0000F4130000}"/>
    <cellStyle name="Normal 4 2 3 2 2 3 2" xfId="1254" xr:uid="{00000000-0005-0000-0000-0000F5130000}"/>
    <cellStyle name="Normal 4 2 3 2 2 3 2 2" xfId="2675" xr:uid="{00000000-0005-0000-0000-0000F6130000}"/>
    <cellStyle name="Normal 4 2 3 2 2 3 2 2 2" xfId="7155" xr:uid="{00000000-0005-0000-0000-0000F7130000}"/>
    <cellStyle name="Normal 4 2 3 2 2 3 2 3" xfId="6157" xr:uid="{00000000-0005-0000-0000-0000F8130000}"/>
    <cellStyle name="Normal 4 2 3 2 2 3 3" xfId="2676" xr:uid="{00000000-0005-0000-0000-0000F9130000}"/>
    <cellStyle name="Normal 4 2 3 2 2 3 3 2" xfId="7156" xr:uid="{00000000-0005-0000-0000-0000FA130000}"/>
    <cellStyle name="Normal 4 2 3 2 2 3 4" xfId="3985" xr:uid="{00000000-0005-0000-0000-0000FB130000}"/>
    <cellStyle name="Normal 4 2 3 2 2 3 4 2" xfId="8451" xr:uid="{00000000-0005-0000-0000-0000FC130000}"/>
    <cellStyle name="Normal 4 2 3 2 2 3 5" xfId="5197" xr:uid="{00000000-0005-0000-0000-0000FD130000}"/>
    <cellStyle name="Normal 4 2 3 2 2 4" xfId="1255" xr:uid="{00000000-0005-0000-0000-0000FE130000}"/>
    <cellStyle name="Normal 4 2 3 2 2 4 2" xfId="2677" xr:uid="{00000000-0005-0000-0000-0000FF130000}"/>
    <cellStyle name="Normal 4 2 3 2 2 4 2 2" xfId="7157" xr:uid="{00000000-0005-0000-0000-000000140000}"/>
    <cellStyle name="Normal 4 2 3 2 2 4 3" xfId="6158" xr:uid="{00000000-0005-0000-0000-000001140000}"/>
    <cellStyle name="Normal 4 2 3 2 2 5" xfId="359" xr:uid="{00000000-0005-0000-0000-000002140000}"/>
    <cellStyle name="Normal 4 2 3 2 2 5 2" xfId="6105" xr:uid="{00000000-0005-0000-0000-000003140000}"/>
    <cellStyle name="Normal 4 2 3 2 2 6" xfId="3598" xr:uid="{00000000-0005-0000-0000-000004140000}"/>
    <cellStyle name="Normal 4 2 3 2 2 6 2" xfId="8064" xr:uid="{00000000-0005-0000-0000-000005140000}"/>
    <cellStyle name="Normal 4 2 3 2 2 7" xfId="4810" xr:uid="{00000000-0005-0000-0000-000006140000}"/>
    <cellStyle name="Normal 4 2 3 2 3" xfId="1256" xr:uid="{00000000-0005-0000-0000-000007140000}"/>
    <cellStyle name="Normal 4 2 3 2 3 2" xfId="1257" xr:uid="{00000000-0005-0000-0000-000008140000}"/>
    <cellStyle name="Normal 4 2 3 2 3 2 2" xfId="2678" xr:uid="{00000000-0005-0000-0000-000009140000}"/>
    <cellStyle name="Normal 4 2 3 2 3 2 2 2" xfId="7158" xr:uid="{00000000-0005-0000-0000-00000A140000}"/>
    <cellStyle name="Normal 4 2 3 2 3 2 3" xfId="4318" xr:uid="{00000000-0005-0000-0000-00000B140000}"/>
    <cellStyle name="Normal 4 2 3 2 3 2 3 2" xfId="8781" xr:uid="{00000000-0005-0000-0000-00000C140000}"/>
    <cellStyle name="Normal 4 2 3 2 3 2 4" xfId="5530" xr:uid="{00000000-0005-0000-0000-00000D140000}"/>
    <cellStyle name="Normal 4 2 3 2 3 3" xfId="2679" xr:uid="{00000000-0005-0000-0000-00000E140000}"/>
    <cellStyle name="Normal 4 2 3 2 3 3 2" xfId="7159" xr:uid="{00000000-0005-0000-0000-00000F140000}"/>
    <cellStyle name="Normal 4 2 3 2 3 4" xfId="3600" xr:uid="{00000000-0005-0000-0000-000010140000}"/>
    <cellStyle name="Normal 4 2 3 2 3 4 2" xfId="8066" xr:uid="{00000000-0005-0000-0000-000011140000}"/>
    <cellStyle name="Normal 4 2 3 2 3 5" xfId="4812" xr:uid="{00000000-0005-0000-0000-000012140000}"/>
    <cellStyle name="Normal 4 2 3 2 4" xfId="1258" xr:uid="{00000000-0005-0000-0000-000013140000}"/>
    <cellStyle name="Normal 4 2 3 2 4 2" xfId="1259" xr:uid="{00000000-0005-0000-0000-000014140000}"/>
    <cellStyle name="Normal 4 2 3 2 4 2 2" xfId="2680" xr:uid="{00000000-0005-0000-0000-000015140000}"/>
    <cellStyle name="Normal 4 2 3 2 4 2 2 2" xfId="7160" xr:uid="{00000000-0005-0000-0000-000016140000}"/>
    <cellStyle name="Normal 4 2 3 2 4 2 3" xfId="6159" xr:uid="{00000000-0005-0000-0000-000017140000}"/>
    <cellStyle name="Normal 4 2 3 2 4 3" xfId="2681" xr:uid="{00000000-0005-0000-0000-000018140000}"/>
    <cellStyle name="Normal 4 2 3 2 4 3 2" xfId="7161" xr:uid="{00000000-0005-0000-0000-000019140000}"/>
    <cellStyle name="Normal 4 2 3 2 4 4" xfId="3984" xr:uid="{00000000-0005-0000-0000-00001A140000}"/>
    <cellStyle name="Normal 4 2 3 2 4 4 2" xfId="8450" xr:uid="{00000000-0005-0000-0000-00001B140000}"/>
    <cellStyle name="Normal 4 2 3 2 4 5" xfId="5196" xr:uid="{00000000-0005-0000-0000-00001C140000}"/>
    <cellStyle name="Normal 4 2 3 2 5" xfId="1260" xr:uid="{00000000-0005-0000-0000-00001D140000}"/>
    <cellStyle name="Normal 4 2 3 2 5 2" xfId="2682" xr:uid="{00000000-0005-0000-0000-00001E140000}"/>
    <cellStyle name="Normal 4 2 3 2 5 2 2" xfId="7162" xr:uid="{00000000-0005-0000-0000-00001F140000}"/>
    <cellStyle name="Normal 4 2 3 2 5 3" xfId="6160" xr:uid="{00000000-0005-0000-0000-000020140000}"/>
    <cellStyle name="Normal 4 2 3 2 6" xfId="358" xr:uid="{00000000-0005-0000-0000-000021140000}"/>
    <cellStyle name="Normal 4 2 3 2 6 2" xfId="5974" xr:uid="{00000000-0005-0000-0000-000022140000}"/>
    <cellStyle name="Normal 4 2 3 2 7" xfId="3597" xr:uid="{00000000-0005-0000-0000-000023140000}"/>
    <cellStyle name="Normal 4 2 3 2 7 2" xfId="8063" xr:uid="{00000000-0005-0000-0000-000024140000}"/>
    <cellStyle name="Normal 4 2 3 2 8" xfId="4809" xr:uid="{00000000-0005-0000-0000-000025140000}"/>
    <cellStyle name="Normal 4 2 3 3" xfId="144" xr:uid="{00000000-0005-0000-0000-000026140000}"/>
    <cellStyle name="Normal 4 2 3 3 2" xfId="1261" xr:uid="{00000000-0005-0000-0000-000027140000}"/>
    <cellStyle name="Normal 4 2 3 3 2 2" xfId="1262" xr:uid="{00000000-0005-0000-0000-000028140000}"/>
    <cellStyle name="Normal 4 2 3 3 2 2 2" xfId="2683" xr:uid="{00000000-0005-0000-0000-000029140000}"/>
    <cellStyle name="Normal 4 2 3 3 2 2 2 2" xfId="7163" xr:uid="{00000000-0005-0000-0000-00002A140000}"/>
    <cellStyle name="Normal 4 2 3 3 2 2 3" xfId="4319" xr:uid="{00000000-0005-0000-0000-00002B140000}"/>
    <cellStyle name="Normal 4 2 3 3 2 2 3 2" xfId="8782" xr:uid="{00000000-0005-0000-0000-00002C140000}"/>
    <cellStyle name="Normal 4 2 3 3 2 2 4" xfId="5531" xr:uid="{00000000-0005-0000-0000-00002D140000}"/>
    <cellStyle name="Normal 4 2 3 3 2 3" xfId="2684" xr:uid="{00000000-0005-0000-0000-00002E140000}"/>
    <cellStyle name="Normal 4 2 3 3 2 3 2" xfId="7164" xr:uid="{00000000-0005-0000-0000-00002F140000}"/>
    <cellStyle name="Normal 4 2 3 3 2 4" xfId="3602" xr:uid="{00000000-0005-0000-0000-000030140000}"/>
    <cellStyle name="Normal 4 2 3 3 2 4 2" xfId="8068" xr:uid="{00000000-0005-0000-0000-000031140000}"/>
    <cellStyle name="Normal 4 2 3 3 2 5" xfId="4814" xr:uid="{00000000-0005-0000-0000-000032140000}"/>
    <cellStyle name="Normal 4 2 3 3 3" xfId="1263" xr:uid="{00000000-0005-0000-0000-000033140000}"/>
    <cellStyle name="Normal 4 2 3 3 3 2" xfId="1264" xr:uid="{00000000-0005-0000-0000-000034140000}"/>
    <cellStyle name="Normal 4 2 3 3 3 2 2" xfId="2685" xr:uid="{00000000-0005-0000-0000-000035140000}"/>
    <cellStyle name="Normal 4 2 3 3 3 2 2 2" xfId="7165" xr:uid="{00000000-0005-0000-0000-000036140000}"/>
    <cellStyle name="Normal 4 2 3 3 3 2 3" xfId="6161" xr:uid="{00000000-0005-0000-0000-000037140000}"/>
    <cellStyle name="Normal 4 2 3 3 3 3" xfId="2686" xr:uid="{00000000-0005-0000-0000-000038140000}"/>
    <cellStyle name="Normal 4 2 3 3 3 3 2" xfId="7166" xr:uid="{00000000-0005-0000-0000-000039140000}"/>
    <cellStyle name="Normal 4 2 3 3 3 4" xfId="3986" xr:uid="{00000000-0005-0000-0000-00003A140000}"/>
    <cellStyle name="Normal 4 2 3 3 3 4 2" xfId="8452" xr:uid="{00000000-0005-0000-0000-00003B140000}"/>
    <cellStyle name="Normal 4 2 3 3 3 5" xfId="5198" xr:uid="{00000000-0005-0000-0000-00003C140000}"/>
    <cellStyle name="Normal 4 2 3 3 4" xfId="1265" xr:uid="{00000000-0005-0000-0000-00003D140000}"/>
    <cellStyle name="Normal 4 2 3 3 4 2" xfId="2687" xr:uid="{00000000-0005-0000-0000-00003E140000}"/>
    <cellStyle name="Normal 4 2 3 3 4 2 2" xfId="7167" xr:uid="{00000000-0005-0000-0000-00003F140000}"/>
    <cellStyle name="Normal 4 2 3 3 4 3" xfId="6162" xr:uid="{00000000-0005-0000-0000-000040140000}"/>
    <cellStyle name="Normal 4 2 3 3 5" xfId="360" xr:uid="{00000000-0005-0000-0000-000041140000}"/>
    <cellStyle name="Normal 4 2 3 3 5 2" xfId="5852" xr:uid="{00000000-0005-0000-0000-000042140000}"/>
    <cellStyle name="Normal 4 2 3 3 6" xfId="3601" xr:uid="{00000000-0005-0000-0000-000043140000}"/>
    <cellStyle name="Normal 4 2 3 3 6 2" xfId="8067" xr:uid="{00000000-0005-0000-0000-000044140000}"/>
    <cellStyle name="Normal 4 2 3 3 7" xfId="4813" xr:uid="{00000000-0005-0000-0000-000045140000}"/>
    <cellStyle name="Normal 4 2 3 4" xfId="1266" xr:uid="{00000000-0005-0000-0000-000046140000}"/>
    <cellStyle name="Normal 4 2 3 4 2" xfId="1267" xr:uid="{00000000-0005-0000-0000-000047140000}"/>
    <cellStyle name="Normal 4 2 3 4 2 2" xfId="2688" xr:uid="{00000000-0005-0000-0000-000048140000}"/>
    <cellStyle name="Normal 4 2 3 4 2 2 2" xfId="7168" xr:uid="{00000000-0005-0000-0000-000049140000}"/>
    <cellStyle name="Normal 4 2 3 4 2 3" xfId="4320" xr:uid="{00000000-0005-0000-0000-00004A140000}"/>
    <cellStyle name="Normal 4 2 3 4 2 3 2" xfId="8783" xr:uid="{00000000-0005-0000-0000-00004B140000}"/>
    <cellStyle name="Normal 4 2 3 4 2 4" xfId="5532" xr:uid="{00000000-0005-0000-0000-00004C140000}"/>
    <cellStyle name="Normal 4 2 3 4 3" xfId="2689" xr:uid="{00000000-0005-0000-0000-00004D140000}"/>
    <cellStyle name="Normal 4 2 3 4 3 2" xfId="7169" xr:uid="{00000000-0005-0000-0000-00004E140000}"/>
    <cellStyle name="Normal 4 2 3 4 4" xfId="3603" xr:uid="{00000000-0005-0000-0000-00004F140000}"/>
    <cellStyle name="Normal 4 2 3 4 4 2" xfId="8069" xr:uid="{00000000-0005-0000-0000-000050140000}"/>
    <cellStyle name="Normal 4 2 3 4 5" xfId="4815" xr:uid="{00000000-0005-0000-0000-000051140000}"/>
    <cellStyle name="Normal 4 2 3 5" xfId="1268" xr:uid="{00000000-0005-0000-0000-000052140000}"/>
    <cellStyle name="Normal 4 2 3 5 2" xfId="1269" xr:uid="{00000000-0005-0000-0000-000053140000}"/>
    <cellStyle name="Normal 4 2 3 5 2 2" xfId="2690" xr:uid="{00000000-0005-0000-0000-000054140000}"/>
    <cellStyle name="Normal 4 2 3 5 2 2 2" xfId="7170" xr:uid="{00000000-0005-0000-0000-000055140000}"/>
    <cellStyle name="Normal 4 2 3 5 2 3" xfId="6163" xr:uid="{00000000-0005-0000-0000-000056140000}"/>
    <cellStyle name="Normal 4 2 3 5 3" xfId="2691" xr:uid="{00000000-0005-0000-0000-000057140000}"/>
    <cellStyle name="Normal 4 2 3 5 3 2" xfId="7171" xr:uid="{00000000-0005-0000-0000-000058140000}"/>
    <cellStyle name="Normal 4 2 3 5 4" xfId="3983" xr:uid="{00000000-0005-0000-0000-000059140000}"/>
    <cellStyle name="Normal 4 2 3 5 4 2" xfId="8449" xr:uid="{00000000-0005-0000-0000-00005A140000}"/>
    <cellStyle name="Normal 4 2 3 5 5" xfId="5195" xr:uid="{00000000-0005-0000-0000-00005B140000}"/>
    <cellStyle name="Normal 4 2 3 6" xfId="1270" xr:uid="{00000000-0005-0000-0000-00005C140000}"/>
    <cellStyle name="Normal 4 2 3 6 2" xfId="2692" xr:uid="{00000000-0005-0000-0000-00005D140000}"/>
    <cellStyle name="Normal 4 2 3 6 2 2" xfId="7172" xr:uid="{00000000-0005-0000-0000-00005E140000}"/>
    <cellStyle name="Normal 4 2 3 6 3" xfId="6164" xr:uid="{00000000-0005-0000-0000-00005F140000}"/>
    <cellStyle name="Normal 4 2 3 7" xfId="357" xr:uid="{00000000-0005-0000-0000-000060140000}"/>
    <cellStyle name="Normal 4 2 3 7 2" xfId="5853" xr:uid="{00000000-0005-0000-0000-000061140000}"/>
    <cellStyle name="Normal 4 2 3 8" xfId="3596" xr:uid="{00000000-0005-0000-0000-000062140000}"/>
    <cellStyle name="Normal 4 2 3 8 2" xfId="8062" xr:uid="{00000000-0005-0000-0000-000063140000}"/>
    <cellStyle name="Normal 4 2 3 9" xfId="4808" xr:uid="{00000000-0005-0000-0000-000064140000}"/>
    <cellStyle name="Normal 4 2 4" xfId="145" xr:uid="{00000000-0005-0000-0000-000065140000}"/>
    <cellStyle name="Normal 4 2 4 2" xfId="146" xr:uid="{00000000-0005-0000-0000-000066140000}"/>
    <cellStyle name="Normal 4 2 4 2 2" xfId="1271" xr:uid="{00000000-0005-0000-0000-000067140000}"/>
    <cellStyle name="Normal 4 2 4 2 2 2" xfId="1272" xr:uid="{00000000-0005-0000-0000-000068140000}"/>
    <cellStyle name="Normal 4 2 4 2 2 2 2" xfId="2693" xr:uid="{00000000-0005-0000-0000-000069140000}"/>
    <cellStyle name="Normal 4 2 4 2 2 2 2 2" xfId="7173" xr:uid="{00000000-0005-0000-0000-00006A140000}"/>
    <cellStyle name="Normal 4 2 4 2 2 2 3" xfId="4321" xr:uid="{00000000-0005-0000-0000-00006B140000}"/>
    <cellStyle name="Normal 4 2 4 2 2 2 3 2" xfId="8784" xr:uid="{00000000-0005-0000-0000-00006C140000}"/>
    <cellStyle name="Normal 4 2 4 2 2 2 4" xfId="5533" xr:uid="{00000000-0005-0000-0000-00006D140000}"/>
    <cellStyle name="Normal 4 2 4 2 2 3" xfId="2694" xr:uid="{00000000-0005-0000-0000-00006E140000}"/>
    <cellStyle name="Normal 4 2 4 2 2 3 2" xfId="7174" xr:uid="{00000000-0005-0000-0000-00006F140000}"/>
    <cellStyle name="Normal 4 2 4 2 2 4" xfId="3606" xr:uid="{00000000-0005-0000-0000-000070140000}"/>
    <cellStyle name="Normal 4 2 4 2 2 4 2" xfId="8072" xr:uid="{00000000-0005-0000-0000-000071140000}"/>
    <cellStyle name="Normal 4 2 4 2 2 5" xfId="4818" xr:uid="{00000000-0005-0000-0000-000072140000}"/>
    <cellStyle name="Normal 4 2 4 2 3" xfId="1273" xr:uid="{00000000-0005-0000-0000-000073140000}"/>
    <cellStyle name="Normal 4 2 4 2 3 2" xfId="1274" xr:uid="{00000000-0005-0000-0000-000074140000}"/>
    <cellStyle name="Normal 4 2 4 2 3 2 2" xfId="2695" xr:uid="{00000000-0005-0000-0000-000075140000}"/>
    <cellStyle name="Normal 4 2 4 2 3 2 2 2" xfId="7175" xr:uid="{00000000-0005-0000-0000-000076140000}"/>
    <cellStyle name="Normal 4 2 4 2 3 2 3" xfId="6165" xr:uid="{00000000-0005-0000-0000-000077140000}"/>
    <cellStyle name="Normal 4 2 4 2 3 3" xfId="2696" xr:uid="{00000000-0005-0000-0000-000078140000}"/>
    <cellStyle name="Normal 4 2 4 2 3 3 2" xfId="7176" xr:uid="{00000000-0005-0000-0000-000079140000}"/>
    <cellStyle name="Normal 4 2 4 2 3 4" xfId="3988" xr:uid="{00000000-0005-0000-0000-00007A140000}"/>
    <cellStyle name="Normal 4 2 4 2 3 4 2" xfId="8454" xr:uid="{00000000-0005-0000-0000-00007B140000}"/>
    <cellStyle name="Normal 4 2 4 2 3 5" xfId="5200" xr:uid="{00000000-0005-0000-0000-00007C140000}"/>
    <cellStyle name="Normal 4 2 4 2 4" xfId="1275" xr:uid="{00000000-0005-0000-0000-00007D140000}"/>
    <cellStyle name="Normal 4 2 4 2 4 2" xfId="2697" xr:uid="{00000000-0005-0000-0000-00007E140000}"/>
    <cellStyle name="Normal 4 2 4 2 4 2 2" xfId="7177" xr:uid="{00000000-0005-0000-0000-00007F140000}"/>
    <cellStyle name="Normal 4 2 4 2 4 3" xfId="6166" xr:uid="{00000000-0005-0000-0000-000080140000}"/>
    <cellStyle name="Normal 4 2 4 2 5" xfId="362" xr:uid="{00000000-0005-0000-0000-000081140000}"/>
    <cellStyle name="Normal 4 2 4 2 5 2" xfId="5850" xr:uid="{00000000-0005-0000-0000-000082140000}"/>
    <cellStyle name="Normal 4 2 4 2 6" xfId="3605" xr:uid="{00000000-0005-0000-0000-000083140000}"/>
    <cellStyle name="Normal 4 2 4 2 6 2" xfId="8071" xr:uid="{00000000-0005-0000-0000-000084140000}"/>
    <cellStyle name="Normal 4 2 4 2 7" xfId="4817" xr:uid="{00000000-0005-0000-0000-000085140000}"/>
    <cellStyle name="Normal 4 2 4 3" xfId="1276" xr:uid="{00000000-0005-0000-0000-000086140000}"/>
    <cellStyle name="Normal 4 2 4 3 2" xfId="1277" xr:uid="{00000000-0005-0000-0000-000087140000}"/>
    <cellStyle name="Normal 4 2 4 3 2 2" xfId="2698" xr:uid="{00000000-0005-0000-0000-000088140000}"/>
    <cellStyle name="Normal 4 2 4 3 2 2 2" xfId="7178" xr:uid="{00000000-0005-0000-0000-000089140000}"/>
    <cellStyle name="Normal 4 2 4 3 2 3" xfId="4322" xr:uid="{00000000-0005-0000-0000-00008A140000}"/>
    <cellStyle name="Normal 4 2 4 3 2 3 2" xfId="8785" xr:uid="{00000000-0005-0000-0000-00008B140000}"/>
    <cellStyle name="Normal 4 2 4 3 2 4" xfId="5534" xr:uid="{00000000-0005-0000-0000-00008C140000}"/>
    <cellStyle name="Normal 4 2 4 3 3" xfId="2699" xr:uid="{00000000-0005-0000-0000-00008D140000}"/>
    <cellStyle name="Normal 4 2 4 3 3 2" xfId="7179" xr:uid="{00000000-0005-0000-0000-00008E140000}"/>
    <cellStyle name="Normal 4 2 4 3 4" xfId="3607" xr:uid="{00000000-0005-0000-0000-00008F140000}"/>
    <cellStyle name="Normal 4 2 4 3 4 2" xfId="8073" xr:uid="{00000000-0005-0000-0000-000090140000}"/>
    <cellStyle name="Normal 4 2 4 3 5" xfId="4819" xr:uid="{00000000-0005-0000-0000-000091140000}"/>
    <cellStyle name="Normal 4 2 4 4" xfId="1278" xr:uid="{00000000-0005-0000-0000-000092140000}"/>
    <cellStyle name="Normal 4 2 4 4 2" xfId="1279" xr:uid="{00000000-0005-0000-0000-000093140000}"/>
    <cellStyle name="Normal 4 2 4 4 2 2" xfId="2700" xr:uid="{00000000-0005-0000-0000-000094140000}"/>
    <cellStyle name="Normal 4 2 4 4 2 2 2" xfId="7180" xr:uid="{00000000-0005-0000-0000-000095140000}"/>
    <cellStyle name="Normal 4 2 4 4 2 3" xfId="6167" xr:uid="{00000000-0005-0000-0000-000096140000}"/>
    <cellStyle name="Normal 4 2 4 4 3" xfId="2701" xr:uid="{00000000-0005-0000-0000-000097140000}"/>
    <cellStyle name="Normal 4 2 4 4 3 2" xfId="7181" xr:uid="{00000000-0005-0000-0000-000098140000}"/>
    <cellStyle name="Normal 4 2 4 4 4" xfId="3987" xr:uid="{00000000-0005-0000-0000-000099140000}"/>
    <cellStyle name="Normal 4 2 4 4 4 2" xfId="8453" xr:uid="{00000000-0005-0000-0000-00009A140000}"/>
    <cellStyle name="Normal 4 2 4 4 5" xfId="5199" xr:uid="{00000000-0005-0000-0000-00009B140000}"/>
    <cellStyle name="Normal 4 2 4 5" xfId="1280" xr:uid="{00000000-0005-0000-0000-00009C140000}"/>
    <cellStyle name="Normal 4 2 4 5 2" xfId="2702" xr:uid="{00000000-0005-0000-0000-00009D140000}"/>
    <cellStyle name="Normal 4 2 4 5 2 2" xfId="7182" xr:uid="{00000000-0005-0000-0000-00009E140000}"/>
    <cellStyle name="Normal 4 2 4 5 3" xfId="6168" xr:uid="{00000000-0005-0000-0000-00009F140000}"/>
    <cellStyle name="Normal 4 2 4 6" xfId="361" xr:uid="{00000000-0005-0000-0000-0000A0140000}"/>
    <cellStyle name="Normal 4 2 4 6 2" xfId="5851" xr:uid="{00000000-0005-0000-0000-0000A1140000}"/>
    <cellStyle name="Normal 4 2 4 7" xfId="3604" xr:uid="{00000000-0005-0000-0000-0000A2140000}"/>
    <cellStyle name="Normal 4 2 4 7 2" xfId="8070" xr:uid="{00000000-0005-0000-0000-0000A3140000}"/>
    <cellStyle name="Normal 4 2 4 8" xfId="4816" xr:uid="{00000000-0005-0000-0000-0000A4140000}"/>
    <cellStyle name="Normal 4 2 5" xfId="147" xr:uid="{00000000-0005-0000-0000-0000A5140000}"/>
    <cellStyle name="Normal 4 2 5 2" xfId="1281" xr:uid="{00000000-0005-0000-0000-0000A6140000}"/>
    <cellStyle name="Normal 4 2 5 2 2" xfId="1282" xr:uid="{00000000-0005-0000-0000-0000A7140000}"/>
    <cellStyle name="Normal 4 2 5 2 2 2" xfId="1283" xr:uid="{00000000-0005-0000-0000-0000A8140000}"/>
    <cellStyle name="Normal 4 2 5 2 2 2 2" xfId="2703" xr:uid="{00000000-0005-0000-0000-0000A9140000}"/>
    <cellStyle name="Normal 4 2 5 2 2 2 2 2" xfId="7183" xr:uid="{00000000-0005-0000-0000-0000AA140000}"/>
    <cellStyle name="Normal 4 2 5 2 2 2 3" xfId="4323" xr:uid="{00000000-0005-0000-0000-0000AB140000}"/>
    <cellStyle name="Normal 4 2 5 2 2 2 3 2" xfId="8786" xr:uid="{00000000-0005-0000-0000-0000AC140000}"/>
    <cellStyle name="Normal 4 2 5 2 2 2 4" xfId="5535" xr:uid="{00000000-0005-0000-0000-0000AD140000}"/>
    <cellStyle name="Normal 4 2 5 2 2 3" xfId="2704" xr:uid="{00000000-0005-0000-0000-0000AE140000}"/>
    <cellStyle name="Normal 4 2 5 2 2 3 2" xfId="7184" xr:uid="{00000000-0005-0000-0000-0000AF140000}"/>
    <cellStyle name="Normal 4 2 5 2 2 4" xfId="3610" xr:uid="{00000000-0005-0000-0000-0000B0140000}"/>
    <cellStyle name="Normal 4 2 5 2 2 4 2" xfId="8076" xr:uid="{00000000-0005-0000-0000-0000B1140000}"/>
    <cellStyle name="Normal 4 2 5 2 2 5" xfId="4822" xr:uid="{00000000-0005-0000-0000-0000B2140000}"/>
    <cellStyle name="Normal 4 2 5 2 3" xfId="1284" xr:uid="{00000000-0005-0000-0000-0000B3140000}"/>
    <cellStyle name="Normal 4 2 5 2 3 2" xfId="1285" xr:uid="{00000000-0005-0000-0000-0000B4140000}"/>
    <cellStyle name="Normal 4 2 5 2 3 2 2" xfId="2705" xr:uid="{00000000-0005-0000-0000-0000B5140000}"/>
    <cellStyle name="Normal 4 2 5 2 3 2 2 2" xfId="7185" xr:uid="{00000000-0005-0000-0000-0000B6140000}"/>
    <cellStyle name="Normal 4 2 5 2 3 2 3" xfId="6169" xr:uid="{00000000-0005-0000-0000-0000B7140000}"/>
    <cellStyle name="Normal 4 2 5 2 3 3" xfId="2706" xr:uid="{00000000-0005-0000-0000-0000B8140000}"/>
    <cellStyle name="Normal 4 2 5 2 3 3 2" xfId="7186" xr:uid="{00000000-0005-0000-0000-0000B9140000}"/>
    <cellStyle name="Normal 4 2 5 2 3 4" xfId="3990" xr:uid="{00000000-0005-0000-0000-0000BA140000}"/>
    <cellStyle name="Normal 4 2 5 2 3 4 2" xfId="8456" xr:uid="{00000000-0005-0000-0000-0000BB140000}"/>
    <cellStyle name="Normal 4 2 5 2 3 5" xfId="5202" xr:uid="{00000000-0005-0000-0000-0000BC140000}"/>
    <cellStyle name="Normal 4 2 5 2 4" xfId="1286" xr:uid="{00000000-0005-0000-0000-0000BD140000}"/>
    <cellStyle name="Normal 4 2 5 2 4 2" xfId="2707" xr:uid="{00000000-0005-0000-0000-0000BE140000}"/>
    <cellStyle name="Normal 4 2 5 2 4 2 2" xfId="7187" xr:uid="{00000000-0005-0000-0000-0000BF140000}"/>
    <cellStyle name="Normal 4 2 5 2 4 3" xfId="6170" xr:uid="{00000000-0005-0000-0000-0000C0140000}"/>
    <cellStyle name="Normal 4 2 5 2 5" xfId="2708" xr:uid="{00000000-0005-0000-0000-0000C1140000}"/>
    <cellStyle name="Normal 4 2 5 2 5 2" xfId="7188" xr:uid="{00000000-0005-0000-0000-0000C2140000}"/>
    <cellStyle name="Normal 4 2 5 2 6" xfId="3609" xr:uid="{00000000-0005-0000-0000-0000C3140000}"/>
    <cellStyle name="Normal 4 2 5 2 6 2" xfId="8075" xr:uid="{00000000-0005-0000-0000-0000C4140000}"/>
    <cellStyle name="Normal 4 2 5 2 7" xfId="4821" xr:uid="{00000000-0005-0000-0000-0000C5140000}"/>
    <cellStyle name="Normal 4 2 5 3" xfId="1287" xr:uid="{00000000-0005-0000-0000-0000C6140000}"/>
    <cellStyle name="Normal 4 2 5 3 2" xfId="1288" xr:uid="{00000000-0005-0000-0000-0000C7140000}"/>
    <cellStyle name="Normal 4 2 5 3 2 2" xfId="2709" xr:uid="{00000000-0005-0000-0000-0000C8140000}"/>
    <cellStyle name="Normal 4 2 5 3 2 2 2" xfId="7189" xr:uid="{00000000-0005-0000-0000-0000C9140000}"/>
    <cellStyle name="Normal 4 2 5 3 2 3" xfId="4324" xr:uid="{00000000-0005-0000-0000-0000CA140000}"/>
    <cellStyle name="Normal 4 2 5 3 2 3 2" xfId="8787" xr:uid="{00000000-0005-0000-0000-0000CB140000}"/>
    <cellStyle name="Normal 4 2 5 3 2 4" xfId="5536" xr:uid="{00000000-0005-0000-0000-0000CC140000}"/>
    <cellStyle name="Normal 4 2 5 3 3" xfId="2710" xr:uid="{00000000-0005-0000-0000-0000CD140000}"/>
    <cellStyle name="Normal 4 2 5 3 3 2" xfId="7190" xr:uid="{00000000-0005-0000-0000-0000CE140000}"/>
    <cellStyle name="Normal 4 2 5 3 4" xfId="3611" xr:uid="{00000000-0005-0000-0000-0000CF140000}"/>
    <cellStyle name="Normal 4 2 5 3 4 2" xfId="8077" xr:uid="{00000000-0005-0000-0000-0000D0140000}"/>
    <cellStyle name="Normal 4 2 5 3 5" xfId="4823" xr:uid="{00000000-0005-0000-0000-0000D1140000}"/>
    <cellStyle name="Normal 4 2 5 4" xfId="1289" xr:uid="{00000000-0005-0000-0000-0000D2140000}"/>
    <cellStyle name="Normal 4 2 5 4 2" xfId="1290" xr:uid="{00000000-0005-0000-0000-0000D3140000}"/>
    <cellStyle name="Normal 4 2 5 4 2 2" xfId="2711" xr:uid="{00000000-0005-0000-0000-0000D4140000}"/>
    <cellStyle name="Normal 4 2 5 4 2 2 2" xfId="7191" xr:uid="{00000000-0005-0000-0000-0000D5140000}"/>
    <cellStyle name="Normal 4 2 5 4 2 3" xfId="6171" xr:uid="{00000000-0005-0000-0000-0000D6140000}"/>
    <cellStyle name="Normal 4 2 5 4 3" xfId="2712" xr:uid="{00000000-0005-0000-0000-0000D7140000}"/>
    <cellStyle name="Normal 4 2 5 4 3 2" xfId="7192" xr:uid="{00000000-0005-0000-0000-0000D8140000}"/>
    <cellStyle name="Normal 4 2 5 4 4" xfId="3989" xr:uid="{00000000-0005-0000-0000-0000D9140000}"/>
    <cellStyle name="Normal 4 2 5 4 4 2" xfId="8455" xr:uid="{00000000-0005-0000-0000-0000DA140000}"/>
    <cellStyle name="Normal 4 2 5 4 5" xfId="5201" xr:uid="{00000000-0005-0000-0000-0000DB140000}"/>
    <cellStyle name="Normal 4 2 5 5" xfId="1291" xr:uid="{00000000-0005-0000-0000-0000DC140000}"/>
    <cellStyle name="Normal 4 2 5 5 2" xfId="2713" xr:uid="{00000000-0005-0000-0000-0000DD140000}"/>
    <cellStyle name="Normal 4 2 5 5 2 2" xfId="7193" xr:uid="{00000000-0005-0000-0000-0000DE140000}"/>
    <cellStyle name="Normal 4 2 5 5 3" xfId="6172" xr:uid="{00000000-0005-0000-0000-0000DF140000}"/>
    <cellStyle name="Normal 4 2 5 6" xfId="363" xr:uid="{00000000-0005-0000-0000-0000E0140000}"/>
    <cellStyle name="Normal 4 2 5 6 2" xfId="5971" xr:uid="{00000000-0005-0000-0000-0000E1140000}"/>
    <cellStyle name="Normal 4 2 5 7" xfId="3608" xr:uid="{00000000-0005-0000-0000-0000E2140000}"/>
    <cellStyle name="Normal 4 2 5 7 2" xfId="8074" xr:uid="{00000000-0005-0000-0000-0000E3140000}"/>
    <cellStyle name="Normal 4 2 5 8" xfId="4820" xr:uid="{00000000-0005-0000-0000-0000E4140000}"/>
    <cellStyle name="Normal 4 2 6" xfId="1292" xr:uid="{00000000-0005-0000-0000-0000E5140000}"/>
    <cellStyle name="Normal 4 2 6 2" xfId="1293" xr:uid="{00000000-0005-0000-0000-0000E6140000}"/>
    <cellStyle name="Normal 4 2 6 2 2" xfId="1294" xr:uid="{00000000-0005-0000-0000-0000E7140000}"/>
    <cellStyle name="Normal 4 2 6 2 2 2" xfId="2714" xr:uid="{00000000-0005-0000-0000-0000E8140000}"/>
    <cellStyle name="Normal 4 2 6 2 2 2 2" xfId="7194" xr:uid="{00000000-0005-0000-0000-0000E9140000}"/>
    <cellStyle name="Normal 4 2 6 2 2 3" xfId="4325" xr:uid="{00000000-0005-0000-0000-0000EA140000}"/>
    <cellStyle name="Normal 4 2 6 2 2 3 2" xfId="8788" xr:uid="{00000000-0005-0000-0000-0000EB140000}"/>
    <cellStyle name="Normal 4 2 6 2 2 4" xfId="5537" xr:uid="{00000000-0005-0000-0000-0000EC140000}"/>
    <cellStyle name="Normal 4 2 6 2 3" xfId="2715" xr:uid="{00000000-0005-0000-0000-0000ED140000}"/>
    <cellStyle name="Normal 4 2 6 2 3 2" xfId="7195" xr:uid="{00000000-0005-0000-0000-0000EE140000}"/>
    <cellStyle name="Normal 4 2 6 2 4" xfId="3613" xr:uid="{00000000-0005-0000-0000-0000EF140000}"/>
    <cellStyle name="Normal 4 2 6 2 4 2" xfId="8079" xr:uid="{00000000-0005-0000-0000-0000F0140000}"/>
    <cellStyle name="Normal 4 2 6 2 5" xfId="4825" xr:uid="{00000000-0005-0000-0000-0000F1140000}"/>
    <cellStyle name="Normal 4 2 6 3" xfId="1295" xr:uid="{00000000-0005-0000-0000-0000F2140000}"/>
    <cellStyle name="Normal 4 2 6 3 2" xfId="1296" xr:uid="{00000000-0005-0000-0000-0000F3140000}"/>
    <cellStyle name="Normal 4 2 6 3 2 2" xfId="2716" xr:uid="{00000000-0005-0000-0000-0000F4140000}"/>
    <cellStyle name="Normal 4 2 6 3 2 2 2" xfId="7196" xr:uid="{00000000-0005-0000-0000-0000F5140000}"/>
    <cellStyle name="Normal 4 2 6 3 2 3" xfId="6173" xr:uid="{00000000-0005-0000-0000-0000F6140000}"/>
    <cellStyle name="Normal 4 2 6 3 3" xfId="2717" xr:uid="{00000000-0005-0000-0000-0000F7140000}"/>
    <cellStyle name="Normal 4 2 6 3 3 2" xfId="7197" xr:uid="{00000000-0005-0000-0000-0000F8140000}"/>
    <cellStyle name="Normal 4 2 6 3 4" xfId="3991" xr:uid="{00000000-0005-0000-0000-0000F9140000}"/>
    <cellStyle name="Normal 4 2 6 3 4 2" xfId="8457" xr:uid="{00000000-0005-0000-0000-0000FA140000}"/>
    <cellStyle name="Normal 4 2 6 3 5" xfId="5203" xr:uid="{00000000-0005-0000-0000-0000FB140000}"/>
    <cellStyle name="Normal 4 2 6 4" xfId="1297" xr:uid="{00000000-0005-0000-0000-0000FC140000}"/>
    <cellStyle name="Normal 4 2 6 4 2" xfId="2718" xr:uid="{00000000-0005-0000-0000-0000FD140000}"/>
    <cellStyle name="Normal 4 2 6 4 2 2" xfId="7198" xr:uid="{00000000-0005-0000-0000-0000FE140000}"/>
    <cellStyle name="Normal 4 2 6 4 3" xfId="6174" xr:uid="{00000000-0005-0000-0000-0000FF140000}"/>
    <cellStyle name="Normal 4 2 6 5" xfId="2719" xr:uid="{00000000-0005-0000-0000-000000150000}"/>
    <cellStyle name="Normal 4 2 6 5 2" xfId="7199" xr:uid="{00000000-0005-0000-0000-000001150000}"/>
    <cellStyle name="Normal 4 2 6 6" xfId="3612" xr:uid="{00000000-0005-0000-0000-000002150000}"/>
    <cellStyle name="Normal 4 2 6 6 2" xfId="8078" xr:uid="{00000000-0005-0000-0000-000003150000}"/>
    <cellStyle name="Normal 4 2 6 7" xfId="4824" xr:uid="{00000000-0005-0000-0000-000004150000}"/>
    <cellStyle name="Normal 4 2 7" xfId="1298" xr:uid="{00000000-0005-0000-0000-000005150000}"/>
    <cellStyle name="Normal 4 2 7 2" xfId="1299" xr:uid="{00000000-0005-0000-0000-000006150000}"/>
    <cellStyle name="Normal 4 2 7 2 2" xfId="2720" xr:uid="{00000000-0005-0000-0000-000007150000}"/>
    <cellStyle name="Normal 4 2 7 2 2 2" xfId="7200" xr:uid="{00000000-0005-0000-0000-000008150000}"/>
    <cellStyle name="Normal 4 2 7 2 3" xfId="4327" xr:uid="{00000000-0005-0000-0000-000009150000}"/>
    <cellStyle name="Normal 4 2 7 2 3 2" xfId="8790" xr:uid="{00000000-0005-0000-0000-00000A150000}"/>
    <cellStyle name="Normal 4 2 7 2 4" xfId="5539" xr:uid="{00000000-0005-0000-0000-00000B150000}"/>
    <cellStyle name="Normal 4 2 7 3" xfId="2721" xr:uid="{00000000-0005-0000-0000-00000C150000}"/>
    <cellStyle name="Normal 4 2 7 3 2" xfId="4326" xr:uid="{00000000-0005-0000-0000-00000D150000}"/>
    <cellStyle name="Normal 4 2 7 3 2 2" xfId="8789" xr:uid="{00000000-0005-0000-0000-00000E150000}"/>
    <cellStyle name="Normal 4 2 7 3 3" xfId="5538" xr:uid="{00000000-0005-0000-0000-00000F150000}"/>
    <cellStyle name="Normal 4 2 7 4" xfId="3614" xr:uid="{00000000-0005-0000-0000-000010150000}"/>
    <cellStyle name="Normal 4 2 7 4 2" xfId="8080" xr:uid="{00000000-0005-0000-0000-000011150000}"/>
    <cellStyle name="Normal 4 2 7 5" xfId="4826" xr:uid="{00000000-0005-0000-0000-000012150000}"/>
    <cellStyle name="Normal 4 2 8" xfId="1300" xr:uid="{00000000-0005-0000-0000-000013150000}"/>
    <cellStyle name="Normal 4 2 8 2" xfId="1301" xr:uid="{00000000-0005-0000-0000-000014150000}"/>
    <cellStyle name="Normal 4 2 8 2 2" xfId="2722" xr:uid="{00000000-0005-0000-0000-000015150000}"/>
    <cellStyle name="Normal 4 2 8 2 2 2" xfId="7201" xr:uid="{00000000-0005-0000-0000-000016150000}"/>
    <cellStyle name="Normal 4 2 8 2 3" xfId="6175" xr:uid="{00000000-0005-0000-0000-000017150000}"/>
    <cellStyle name="Normal 4 2 8 3" xfId="2723" xr:uid="{00000000-0005-0000-0000-000018150000}"/>
    <cellStyle name="Normal 4 2 8 3 2" xfId="7202" xr:uid="{00000000-0005-0000-0000-000019150000}"/>
    <cellStyle name="Normal 4 2 8 4" xfId="4328" xr:uid="{00000000-0005-0000-0000-00001A150000}"/>
    <cellStyle name="Normal 4 2 8 4 2" xfId="8791" xr:uid="{00000000-0005-0000-0000-00001B150000}"/>
    <cellStyle name="Normal 4 2 8 5" xfId="5540" xr:uid="{00000000-0005-0000-0000-00001C150000}"/>
    <cellStyle name="Normal 4 2 9" xfId="1302" xr:uid="{00000000-0005-0000-0000-00001D150000}"/>
    <cellStyle name="Normal 4 2 9 2" xfId="2724" xr:uid="{00000000-0005-0000-0000-00001E150000}"/>
    <cellStyle name="Normal 4 2 9 2 2" xfId="7203" xr:uid="{00000000-0005-0000-0000-00001F150000}"/>
    <cellStyle name="Normal 4 2 9 3" xfId="4329" xr:uid="{00000000-0005-0000-0000-000020150000}"/>
    <cellStyle name="Normal 4 2 9 3 2" xfId="8792" xr:uid="{00000000-0005-0000-0000-000021150000}"/>
    <cellStyle name="Normal 4 2 9 4" xfId="5541" xr:uid="{00000000-0005-0000-0000-000022150000}"/>
    <cellStyle name="Normal 4 3" xfId="148" xr:uid="{00000000-0005-0000-0000-000023150000}"/>
    <cellStyle name="Normal 4 3 10" xfId="364" xr:uid="{00000000-0005-0000-0000-000024150000}"/>
    <cellStyle name="Normal 4 3 10 2" xfId="6104" xr:uid="{00000000-0005-0000-0000-000025150000}"/>
    <cellStyle name="Normal 4 3 11" xfId="3615" xr:uid="{00000000-0005-0000-0000-000026150000}"/>
    <cellStyle name="Normal 4 3 11 2" xfId="8081" xr:uid="{00000000-0005-0000-0000-000027150000}"/>
    <cellStyle name="Normal 4 3 12" xfId="4827" xr:uid="{00000000-0005-0000-0000-000028150000}"/>
    <cellStyle name="Normal 4 3 2" xfId="149" xr:uid="{00000000-0005-0000-0000-000029150000}"/>
    <cellStyle name="Normal 4 3 2 2" xfId="150" xr:uid="{00000000-0005-0000-0000-00002A150000}"/>
    <cellStyle name="Normal 4 3 2 2 2" xfId="151" xr:uid="{00000000-0005-0000-0000-00002B150000}"/>
    <cellStyle name="Normal 4 3 2 2 2 2" xfId="1303" xr:uid="{00000000-0005-0000-0000-00002C150000}"/>
    <cellStyle name="Normal 4 3 2 2 2 2 2" xfId="1304" xr:uid="{00000000-0005-0000-0000-00002D150000}"/>
    <cellStyle name="Normal 4 3 2 2 2 2 2 2" xfId="2725" xr:uid="{00000000-0005-0000-0000-00002E150000}"/>
    <cellStyle name="Normal 4 3 2 2 2 2 2 2 2" xfId="7204" xr:uid="{00000000-0005-0000-0000-00002F150000}"/>
    <cellStyle name="Normal 4 3 2 2 2 2 2 3" xfId="4330" xr:uid="{00000000-0005-0000-0000-000030150000}"/>
    <cellStyle name="Normal 4 3 2 2 2 2 2 3 2" xfId="8793" xr:uid="{00000000-0005-0000-0000-000031150000}"/>
    <cellStyle name="Normal 4 3 2 2 2 2 2 4" xfId="5542" xr:uid="{00000000-0005-0000-0000-000032150000}"/>
    <cellStyle name="Normal 4 3 2 2 2 2 3" xfId="2726" xr:uid="{00000000-0005-0000-0000-000033150000}"/>
    <cellStyle name="Normal 4 3 2 2 2 2 3 2" xfId="7205" xr:uid="{00000000-0005-0000-0000-000034150000}"/>
    <cellStyle name="Normal 4 3 2 2 2 2 4" xfId="3619" xr:uid="{00000000-0005-0000-0000-000035150000}"/>
    <cellStyle name="Normal 4 3 2 2 2 2 4 2" xfId="8085" xr:uid="{00000000-0005-0000-0000-000036150000}"/>
    <cellStyle name="Normal 4 3 2 2 2 2 5" xfId="4831" xr:uid="{00000000-0005-0000-0000-000037150000}"/>
    <cellStyle name="Normal 4 3 2 2 2 3" xfId="1305" xr:uid="{00000000-0005-0000-0000-000038150000}"/>
    <cellStyle name="Normal 4 3 2 2 2 3 2" xfId="1306" xr:uid="{00000000-0005-0000-0000-000039150000}"/>
    <cellStyle name="Normal 4 3 2 2 2 3 2 2" xfId="2727" xr:uid="{00000000-0005-0000-0000-00003A150000}"/>
    <cellStyle name="Normal 4 3 2 2 2 3 2 2 2" xfId="7206" xr:uid="{00000000-0005-0000-0000-00003B150000}"/>
    <cellStyle name="Normal 4 3 2 2 2 3 2 3" xfId="6176" xr:uid="{00000000-0005-0000-0000-00003C150000}"/>
    <cellStyle name="Normal 4 3 2 2 2 3 3" xfId="2728" xr:uid="{00000000-0005-0000-0000-00003D150000}"/>
    <cellStyle name="Normal 4 3 2 2 2 3 3 2" xfId="7207" xr:uid="{00000000-0005-0000-0000-00003E150000}"/>
    <cellStyle name="Normal 4 3 2 2 2 3 4" xfId="3995" xr:uid="{00000000-0005-0000-0000-00003F150000}"/>
    <cellStyle name="Normal 4 3 2 2 2 3 4 2" xfId="8461" xr:uid="{00000000-0005-0000-0000-000040150000}"/>
    <cellStyle name="Normal 4 3 2 2 2 3 5" xfId="5207" xr:uid="{00000000-0005-0000-0000-000041150000}"/>
    <cellStyle name="Normal 4 3 2 2 2 4" xfId="1307" xr:uid="{00000000-0005-0000-0000-000042150000}"/>
    <cellStyle name="Normal 4 3 2 2 2 4 2" xfId="2729" xr:uid="{00000000-0005-0000-0000-000043150000}"/>
    <cellStyle name="Normal 4 3 2 2 2 4 2 2" xfId="7208" xr:uid="{00000000-0005-0000-0000-000044150000}"/>
    <cellStyle name="Normal 4 3 2 2 2 4 3" xfId="6177" xr:uid="{00000000-0005-0000-0000-000045150000}"/>
    <cellStyle name="Normal 4 3 2 2 2 5" xfId="367" xr:uid="{00000000-0005-0000-0000-000046150000}"/>
    <cellStyle name="Normal 4 3 2 2 2 5 2" xfId="6103" xr:uid="{00000000-0005-0000-0000-000047150000}"/>
    <cellStyle name="Normal 4 3 2 2 2 6" xfId="3618" xr:uid="{00000000-0005-0000-0000-000048150000}"/>
    <cellStyle name="Normal 4 3 2 2 2 6 2" xfId="8084" xr:uid="{00000000-0005-0000-0000-000049150000}"/>
    <cellStyle name="Normal 4 3 2 2 2 7" xfId="4830" xr:uid="{00000000-0005-0000-0000-00004A150000}"/>
    <cellStyle name="Normal 4 3 2 2 3" xfId="1308" xr:uid="{00000000-0005-0000-0000-00004B150000}"/>
    <cellStyle name="Normal 4 3 2 2 3 2" xfId="1309" xr:uid="{00000000-0005-0000-0000-00004C150000}"/>
    <cellStyle name="Normal 4 3 2 2 3 2 2" xfId="2730" xr:uid="{00000000-0005-0000-0000-00004D150000}"/>
    <cellStyle name="Normal 4 3 2 2 3 2 2 2" xfId="7209" xr:uid="{00000000-0005-0000-0000-00004E150000}"/>
    <cellStyle name="Normal 4 3 2 2 3 2 3" xfId="4331" xr:uid="{00000000-0005-0000-0000-00004F150000}"/>
    <cellStyle name="Normal 4 3 2 2 3 2 3 2" xfId="8794" xr:uid="{00000000-0005-0000-0000-000050150000}"/>
    <cellStyle name="Normal 4 3 2 2 3 2 4" xfId="5543" xr:uid="{00000000-0005-0000-0000-000051150000}"/>
    <cellStyle name="Normal 4 3 2 2 3 3" xfId="2731" xr:uid="{00000000-0005-0000-0000-000052150000}"/>
    <cellStyle name="Normal 4 3 2 2 3 3 2" xfId="7210" xr:uid="{00000000-0005-0000-0000-000053150000}"/>
    <cellStyle name="Normal 4 3 2 2 3 4" xfId="3620" xr:uid="{00000000-0005-0000-0000-000054150000}"/>
    <cellStyle name="Normal 4 3 2 2 3 4 2" xfId="8086" xr:uid="{00000000-0005-0000-0000-000055150000}"/>
    <cellStyle name="Normal 4 3 2 2 3 5" xfId="4832" xr:uid="{00000000-0005-0000-0000-000056150000}"/>
    <cellStyle name="Normal 4 3 2 2 4" xfId="1310" xr:uid="{00000000-0005-0000-0000-000057150000}"/>
    <cellStyle name="Normal 4 3 2 2 4 2" xfId="1311" xr:uid="{00000000-0005-0000-0000-000058150000}"/>
    <cellStyle name="Normal 4 3 2 2 4 2 2" xfId="2732" xr:uid="{00000000-0005-0000-0000-000059150000}"/>
    <cellStyle name="Normal 4 3 2 2 4 2 2 2" xfId="7211" xr:uid="{00000000-0005-0000-0000-00005A150000}"/>
    <cellStyle name="Normal 4 3 2 2 4 2 3" xfId="6178" xr:uid="{00000000-0005-0000-0000-00005B150000}"/>
    <cellStyle name="Normal 4 3 2 2 4 3" xfId="2733" xr:uid="{00000000-0005-0000-0000-00005C150000}"/>
    <cellStyle name="Normal 4 3 2 2 4 3 2" xfId="7212" xr:uid="{00000000-0005-0000-0000-00005D150000}"/>
    <cellStyle name="Normal 4 3 2 2 4 4" xfId="3994" xr:uid="{00000000-0005-0000-0000-00005E150000}"/>
    <cellStyle name="Normal 4 3 2 2 4 4 2" xfId="8460" xr:uid="{00000000-0005-0000-0000-00005F150000}"/>
    <cellStyle name="Normal 4 3 2 2 4 5" xfId="5206" xr:uid="{00000000-0005-0000-0000-000060150000}"/>
    <cellStyle name="Normal 4 3 2 2 5" xfId="1312" xr:uid="{00000000-0005-0000-0000-000061150000}"/>
    <cellStyle name="Normal 4 3 2 2 5 2" xfId="2734" xr:uid="{00000000-0005-0000-0000-000062150000}"/>
    <cellStyle name="Normal 4 3 2 2 5 2 2" xfId="7213" xr:uid="{00000000-0005-0000-0000-000063150000}"/>
    <cellStyle name="Normal 4 3 2 2 5 3" xfId="6179" xr:uid="{00000000-0005-0000-0000-000064150000}"/>
    <cellStyle name="Normal 4 3 2 2 6" xfId="366" xr:uid="{00000000-0005-0000-0000-000065150000}"/>
    <cellStyle name="Normal 4 3 2 2 6 2" xfId="5972" xr:uid="{00000000-0005-0000-0000-000066150000}"/>
    <cellStyle name="Normal 4 3 2 2 7" xfId="3617" xr:uid="{00000000-0005-0000-0000-000067150000}"/>
    <cellStyle name="Normal 4 3 2 2 7 2" xfId="8083" xr:uid="{00000000-0005-0000-0000-000068150000}"/>
    <cellStyle name="Normal 4 3 2 2 8" xfId="4829" xr:uid="{00000000-0005-0000-0000-000069150000}"/>
    <cellStyle name="Normal 4 3 2 3" xfId="152" xr:uid="{00000000-0005-0000-0000-00006A150000}"/>
    <cellStyle name="Normal 4 3 2 3 2" xfId="1313" xr:uid="{00000000-0005-0000-0000-00006B150000}"/>
    <cellStyle name="Normal 4 3 2 3 2 2" xfId="1314" xr:uid="{00000000-0005-0000-0000-00006C150000}"/>
    <cellStyle name="Normal 4 3 2 3 2 2 2" xfId="2735" xr:uid="{00000000-0005-0000-0000-00006D150000}"/>
    <cellStyle name="Normal 4 3 2 3 2 2 2 2" xfId="7214" xr:uid="{00000000-0005-0000-0000-00006E150000}"/>
    <cellStyle name="Normal 4 3 2 3 2 2 3" xfId="4332" xr:uid="{00000000-0005-0000-0000-00006F150000}"/>
    <cellStyle name="Normal 4 3 2 3 2 2 3 2" xfId="8795" xr:uid="{00000000-0005-0000-0000-000070150000}"/>
    <cellStyle name="Normal 4 3 2 3 2 2 4" xfId="5544" xr:uid="{00000000-0005-0000-0000-000071150000}"/>
    <cellStyle name="Normal 4 3 2 3 2 3" xfId="2736" xr:uid="{00000000-0005-0000-0000-000072150000}"/>
    <cellStyle name="Normal 4 3 2 3 2 3 2" xfId="7215" xr:uid="{00000000-0005-0000-0000-000073150000}"/>
    <cellStyle name="Normal 4 3 2 3 2 4" xfId="3622" xr:uid="{00000000-0005-0000-0000-000074150000}"/>
    <cellStyle name="Normal 4 3 2 3 2 4 2" xfId="8088" xr:uid="{00000000-0005-0000-0000-000075150000}"/>
    <cellStyle name="Normal 4 3 2 3 2 5" xfId="4834" xr:uid="{00000000-0005-0000-0000-000076150000}"/>
    <cellStyle name="Normal 4 3 2 3 3" xfId="1315" xr:uid="{00000000-0005-0000-0000-000077150000}"/>
    <cellStyle name="Normal 4 3 2 3 3 2" xfId="1316" xr:uid="{00000000-0005-0000-0000-000078150000}"/>
    <cellStyle name="Normal 4 3 2 3 3 2 2" xfId="2737" xr:uid="{00000000-0005-0000-0000-000079150000}"/>
    <cellStyle name="Normal 4 3 2 3 3 2 2 2" xfId="7216" xr:uid="{00000000-0005-0000-0000-00007A150000}"/>
    <cellStyle name="Normal 4 3 2 3 3 2 3" xfId="6180" xr:uid="{00000000-0005-0000-0000-00007B150000}"/>
    <cellStyle name="Normal 4 3 2 3 3 3" xfId="2738" xr:uid="{00000000-0005-0000-0000-00007C150000}"/>
    <cellStyle name="Normal 4 3 2 3 3 3 2" xfId="7217" xr:uid="{00000000-0005-0000-0000-00007D150000}"/>
    <cellStyle name="Normal 4 3 2 3 3 4" xfId="3996" xr:uid="{00000000-0005-0000-0000-00007E150000}"/>
    <cellStyle name="Normal 4 3 2 3 3 4 2" xfId="8462" xr:uid="{00000000-0005-0000-0000-00007F150000}"/>
    <cellStyle name="Normal 4 3 2 3 3 5" xfId="5208" xr:uid="{00000000-0005-0000-0000-000080150000}"/>
    <cellStyle name="Normal 4 3 2 3 4" xfId="1317" xr:uid="{00000000-0005-0000-0000-000081150000}"/>
    <cellStyle name="Normal 4 3 2 3 4 2" xfId="2739" xr:uid="{00000000-0005-0000-0000-000082150000}"/>
    <cellStyle name="Normal 4 3 2 3 4 2 2" xfId="7218" xr:uid="{00000000-0005-0000-0000-000083150000}"/>
    <cellStyle name="Normal 4 3 2 3 4 3" xfId="6181" xr:uid="{00000000-0005-0000-0000-000084150000}"/>
    <cellStyle name="Normal 4 3 2 3 5" xfId="368" xr:uid="{00000000-0005-0000-0000-000085150000}"/>
    <cellStyle name="Normal 4 3 2 3 5 2" xfId="5848" xr:uid="{00000000-0005-0000-0000-000086150000}"/>
    <cellStyle name="Normal 4 3 2 3 6" xfId="3621" xr:uid="{00000000-0005-0000-0000-000087150000}"/>
    <cellStyle name="Normal 4 3 2 3 6 2" xfId="8087" xr:uid="{00000000-0005-0000-0000-000088150000}"/>
    <cellStyle name="Normal 4 3 2 3 7" xfId="4833" xr:uid="{00000000-0005-0000-0000-000089150000}"/>
    <cellStyle name="Normal 4 3 2 4" xfId="1318" xr:uid="{00000000-0005-0000-0000-00008A150000}"/>
    <cellStyle name="Normal 4 3 2 4 2" xfId="1319" xr:uid="{00000000-0005-0000-0000-00008B150000}"/>
    <cellStyle name="Normal 4 3 2 4 2 2" xfId="2740" xr:uid="{00000000-0005-0000-0000-00008C150000}"/>
    <cellStyle name="Normal 4 3 2 4 2 2 2" xfId="7219" xr:uid="{00000000-0005-0000-0000-00008D150000}"/>
    <cellStyle name="Normal 4 3 2 4 2 3" xfId="4333" xr:uid="{00000000-0005-0000-0000-00008E150000}"/>
    <cellStyle name="Normal 4 3 2 4 2 3 2" xfId="8796" xr:uid="{00000000-0005-0000-0000-00008F150000}"/>
    <cellStyle name="Normal 4 3 2 4 2 4" xfId="5545" xr:uid="{00000000-0005-0000-0000-000090150000}"/>
    <cellStyle name="Normal 4 3 2 4 3" xfId="2741" xr:uid="{00000000-0005-0000-0000-000091150000}"/>
    <cellStyle name="Normal 4 3 2 4 3 2" xfId="7220" xr:uid="{00000000-0005-0000-0000-000092150000}"/>
    <cellStyle name="Normal 4 3 2 4 4" xfId="3623" xr:uid="{00000000-0005-0000-0000-000093150000}"/>
    <cellStyle name="Normal 4 3 2 4 4 2" xfId="8089" xr:uid="{00000000-0005-0000-0000-000094150000}"/>
    <cellStyle name="Normal 4 3 2 4 5" xfId="4835" xr:uid="{00000000-0005-0000-0000-000095150000}"/>
    <cellStyle name="Normal 4 3 2 5" xfId="1320" xr:uid="{00000000-0005-0000-0000-000096150000}"/>
    <cellStyle name="Normal 4 3 2 5 2" xfId="1321" xr:uid="{00000000-0005-0000-0000-000097150000}"/>
    <cellStyle name="Normal 4 3 2 5 2 2" xfId="2742" xr:uid="{00000000-0005-0000-0000-000098150000}"/>
    <cellStyle name="Normal 4 3 2 5 2 2 2" xfId="7221" xr:uid="{00000000-0005-0000-0000-000099150000}"/>
    <cellStyle name="Normal 4 3 2 5 2 3" xfId="6182" xr:uid="{00000000-0005-0000-0000-00009A150000}"/>
    <cellStyle name="Normal 4 3 2 5 3" xfId="2743" xr:uid="{00000000-0005-0000-0000-00009B150000}"/>
    <cellStyle name="Normal 4 3 2 5 3 2" xfId="7222" xr:uid="{00000000-0005-0000-0000-00009C150000}"/>
    <cellStyle name="Normal 4 3 2 5 4" xfId="3993" xr:uid="{00000000-0005-0000-0000-00009D150000}"/>
    <cellStyle name="Normal 4 3 2 5 4 2" xfId="8459" xr:uid="{00000000-0005-0000-0000-00009E150000}"/>
    <cellStyle name="Normal 4 3 2 5 5" xfId="5205" xr:uid="{00000000-0005-0000-0000-00009F150000}"/>
    <cellStyle name="Normal 4 3 2 6" xfId="1322" xr:uid="{00000000-0005-0000-0000-0000A0150000}"/>
    <cellStyle name="Normal 4 3 2 6 2" xfId="2744" xr:uid="{00000000-0005-0000-0000-0000A1150000}"/>
    <cellStyle name="Normal 4 3 2 6 2 2" xfId="7223" xr:uid="{00000000-0005-0000-0000-0000A2150000}"/>
    <cellStyle name="Normal 4 3 2 6 3" xfId="6183" xr:uid="{00000000-0005-0000-0000-0000A3150000}"/>
    <cellStyle name="Normal 4 3 2 7" xfId="365" xr:uid="{00000000-0005-0000-0000-0000A4150000}"/>
    <cellStyle name="Normal 4 3 2 7 2" xfId="5849" xr:uid="{00000000-0005-0000-0000-0000A5150000}"/>
    <cellStyle name="Normal 4 3 2 8" xfId="3616" xr:uid="{00000000-0005-0000-0000-0000A6150000}"/>
    <cellStyle name="Normal 4 3 2 8 2" xfId="8082" xr:uid="{00000000-0005-0000-0000-0000A7150000}"/>
    <cellStyle name="Normal 4 3 2 9" xfId="4828" xr:uid="{00000000-0005-0000-0000-0000A8150000}"/>
    <cellStyle name="Normal 4 3 3" xfId="153" xr:uid="{00000000-0005-0000-0000-0000A9150000}"/>
    <cellStyle name="Normal 4 3 3 2" xfId="154" xr:uid="{00000000-0005-0000-0000-0000AA150000}"/>
    <cellStyle name="Normal 4 3 3 2 2" xfId="1323" xr:uid="{00000000-0005-0000-0000-0000AB150000}"/>
    <cellStyle name="Normal 4 3 3 2 2 2" xfId="1324" xr:uid="{00000000-0005-0000-0000-0000AC150000}"/>
    <cellStyle name="Normal 4 3 3 2 2 2 2" xfId="2745" xr:uid="{00000000-0005-0000-0000-0000AD150000}"/>
    <cellStyle name="Normal 4 3 3 2 2 2 2 2" xfId="7224" xr:uid="{00000000-0005-0000-0000-0000AE150000}"/>
    <cellStyle name="Normal 4 3 3 2 2 2 3" xfId="4334" xr:uid="{00000000-0005-0000-0000-0000AF150000}"/>
    <cellStyle name="Normal 4 3 3 2 2 2 3 2" xfId="8797" xr:uid="{00000000-0005-0000-0000-0000B0150000}"/>
    <cellStyle name="Normal 4 3 3 2 2 2 4" xfId="5546" xr:uid="{00000000-0005-0000-0000-0000B1150000}"/>
    <cellStyle name="Normal 4 3 3 2 2 3" xfId="2746" xr:uid="{00000000-0005-0000-0000-0000B2150000}"/>
    <cellStyle name="Normal 4 3 3 2 2 3 2" xfId="7225" xr:uid="{00000000-0005-0000-0000-0000B3150000}"/>
    <cellStyle name="Normal 4 3 3 2 2 4" xfId="3626" xr:uid="{00000000-0005-0000-0000-0000B4150000}"/>
    <cellStyle name="Normal 4 3 3 2 2 4 2" xfId="8092" xr:uid="{00000000-0005-0000-0000-0000B5150000}"/>
    <cellStyle name="Normal 4 3 3 2 2 5" xfId="4838" xr:uid="{00000000-0005-0000-0000-0000B6150000}"/>
    <cellStyle name="Normal 4 3 3 2 3" xfId="1325" xr:uid="{00000000-0005-0000-0000-0000B7150000}"/>
    <cellStyle name="Normal 4 3 3 2 3 2" xfId="1326" xr:uid="{00000000-0005-0000-0000-0000B8150000}"/>
    <cellStyle name="Normal 4 3 3 2 3 2 2" xfId="2747" xr:uid="{00000000-0005-0000-0000-0000B9150000}"/>
    <cellStyle name="Normal 4 3 3 2 3 2 2 2" xfId="7226" xr:uid="{00000000-0005-0000-0000-0000BA150000}"/>
    <cellStyle name="Normal 4 3 3 2 3 2 3" xfId="6184" xr:uid="{00000000-0005-0000-0000-0000BB150000}"/>
    <cellStyle name="Normal 4 3 3 2 3 3" xfId="2748" xr:uid="{00000000-0005-0000-0000-0000BC150000}"/>
    <cellStyle name="Normal 4 3 3 2 3 3 2" xfId="7227" xr:uid="{00000000-0005-0000-0000-0000BD150000}"/>
    <cellStyle name="Normal 4 3 3 2 3 4" xfId="3998" xr:uid="{00000000-0005-0000-0000-0000BE150000}"/>
    <cellStyle name="Normal 4 3 3 2 3 4 2" xfId="8464" xr:uid="{00000000-0005-0000-0000-0000BF150000}"/>
    <cellStyle name="Normal 4 3 3 2 3 5" xfId="5210" xr:uid="{00000000-0005-0000-0000-0000C0150000}"/>
    <cellStyle name="Normal 4 3 3 2 4" xfId="1327" xr:uid="{00000000-0005-0000-0000-0000C1150000}"/>
    <cellStyle name="Normal 4 3 3 2 4 2" xfId="2749" xr:uid="{00000000-0005-0000-0000-0000C2150000}"/>
    <cellStyle name="Normal 4 3 3 2 4 2 2" xfId="7228" xr:uid="{00000000-0005-0000-0000-0000C3150000}"/>
    <cellStyle name="Normal 4 3 3 2 4 3" xfId="6185" xr:uid="{00000000-0005-0000-0000-0000C4150000}"/>
    <cellStyle name="Normal 4 3 3 2 5" xfId="370" xr:uid="{00000000-0005-0000-0000-0000C5150000}"/>
    <cellStyle name="Normal 4 3 3 2 5 2" xfId="5846" xr:uid="{00000000-0005-0000-0000-0000C6150000}"/>
    <cellStyle name="Normal 4 3 3 2 6" xfId="3625" xr:uid="{00000000-0005-0000-0000-0000C7150000}"/>
    <cellStyle name="Normal 4 3 3 2 6 2" xfId="8091" xr:uid="{00000000-0005-0000-0000-0000C8150000}"/>
    <cellStyle name="Normal 4 3 3 2 7" xfId="4837" xr:uid="{00000000-0005-0000-0000-0000C9150000}"/>
    <cellStyle name="Normal 4 3 3 3" xfId="1328" xr:uid="{00000000-0005-0000-0000-0000CA150000}"/>
    <cellStyle name="Normal 4 3 3 3 2" xfId="1329" xr:uid="{00000000-0005-0000-0000-0000CB150000}"/>
    <cellStyle name="Normal 4 3 3 3 2 2" xfId="2750" xr:uid="{00000000-0005-0000-0000-0000CC150000}"/>
    <cellStyle name="Normal 4 3 3 3 2 2 2" xfId="7229" xr:uid="{00000000-0005-0000-0000-0000CD150000}"/>
    <cellStyle name="Normal 4 3 3 3 2 3" xfId="4335" xr:uid="{00000000-0005-0000-0000-0000CE150000}"/>
    <cellStyle name="Normal 4 3 3 3 2 3 2" xfId="8798" xr:uid="{00000000-0005-0000-0000-0000CF150000}"/>
    <cellStyle name="Normal 4 3 3 3 2 4" xfId="5547" xr:uid="{00000000-0005-0000-0000-0000D0150000}"/>
    <cellStyle name="Normal 4 3 3 3 3" xfId="2751" xr:uid="{00000000-0005-0000-0000-0000D1150000}"/>
    <cellStyle name="Normal 4 3 3 3 3 2" xfId="7230" xr:uid="{00000000-0005-0000-0000-0000D2150000}"/>
    <cellStyle name="Normal 4 3 3 3 4" xfId="3627" xr:uid="{00000000-0005-0000-0000-0000D3150000}"/>
    <cellStyle name="Normal 4 3 3 3 4 2" xfId="8093" xr:uid="{00000000-0005-0000-0000-0000D4150000}"/>
    <cellStyle name="Normal 4 3 3 3 5" xfId="4839" xr:uid="{00000000-0005-0000-0000-0000D5150000}"/>
    <cellStyle name="Normal 4 3 3 4" xfId="1330" xr:uid="{00000000-0005-0000-0000-0000D6150000}"/>
    <cellStyle name="Normal 4 3 3 4 2" xfId="1331" xr:uid="{00000000-0005-0000-0000-0000D7150000}"/>
    <cellStyle name="Normal 4 3 3 4 2 2" xfId="2752" xr:uid="{00000000-0005-0000-0000-0000D8150000}"/>
    <cellStyle name="Normal 4 3 3 4 2 2 2" xfId="7231" xr:uid="{00000000-0005-0000-0000-0000D9150000}"/>
    <cellStyle name="Normal 4 3 3 4 2 3" xfId="6186" xr:uid="{00000000-0005-0000-0000-0000DA150000}"/>
    <cellStyle name="Normal 4 3 3 4 3" xfId="2753" xr:uid="{00000000-0005-0000-0000-0000DB150000}"/>
    <cellStyle name="Normal 4 3 3 4 3 2" xfId="7232" xr:uid="{00000000-0005-0000-0000-0000DC150000}"/>
    <cellStyle name="Normal 4 3 3 4 4" xfId="3997" xr:uid="{00000000-0005-0000-0000-0000DD150000}"/>
    <cellStyle name="Normal 4 3 3 4 4 2" xfId="8463" xr:uid="{00000000-0005-0000-0000-0000DE150000}"/>
    <cellStyle name="Normal 4 3 3 4 5" xfId="5209" xr:uid="{00000000-0005-0000-0000-0000DF150000}"/>
    <cellStyle name="Normal 4 3 3 5" xfId="1332" xr:uid="{00000000-0005-0000-0000-0000E0150000}"/>
    <cellStyle name="Normal 4 3 3 5 2" xfId="2754" xr:uid="{00000000-0005-0000-0000-0000E1150000}"/>
    <cellStyle name="Normal 4 3 3 5 2 2" xfId="7233" xr:uid="{00000000-0005-0000-0000-0000E2150000}"/>
    <cellStyle name="Normal 4 3 3 5 3" xfId="6187" xr:uid="{00000000-0005-0000-0000-0000E3150000}"/>
    <cellStyle name="Normal 4 3 3 6" xfId="369" xr:uid="{00000000-0005-0000-0000-0000E4150000}"/>
    <cellStyle name="Normal 4 3 3 6 2" xfId="5847" xr:uid="{00000000-0005-0000-0000-0000E5150000}"/>
    <cellStyle name="Normal 4 3 3 7" xfId="3624" xr:uid="{00000000-0005-0000-0000-0000E6150000}"/>
    <cellStyle name="Normal 4 3 3 7 2" xfId="8090" xr:uid="{00000000-0005-0000-0000-0000E7150000}"/>
    <cellStyle name="Normal 4 3 3 8" xfId="4836" xr:uid="{00000000-0005-0000-0000-0000E8150000}"/>
    <cellStyle name="Normal 4 3 4" xfId="155" xr:uid="{00000000-0005-0000-0000-0000E9150000}"/>
    <cellStyle name="Normal 4 3 4 2" xfId="1333" xr:uid="{00000000-0005-0000-0000-0000EA150000}"/>
    <cellStyle name="Normal 4 3 4 2 2" xfId="1334" xr:uid="{00000000-0005-0000-0000-0000EB150000}"/>
    <cellStyle name="Normal 4 3 4 2 2 2" xfId="1335" xr:uid="{00000000-0005-0000-0000-0000EC150000}"/>
    <cellStyle name="Normal 4 3 4 2 2 2 2" xfId="2755" xr:uid="{00000000-0005-0000-0000-0000ED150000}"/>
    <cellStyle name="Normal 4 3 4 2 2 2 2 2" xfId="7234" xr:uid="{00000000-0005-0000-0000-0000EE150000}"/>
    <cellStyle name="Normal 4 3 4 2 2 2 3" xfId="4336" xr:uid="{00000000-0005-0000-0000-0000EF150000}"/>
    <cellStyle name="Normal 4 3 4 2 2 2 3 2" xfId="8799" xr:uid="{00000000-0005-0000-0000-0000F0150000}"/>
    <cellStyle name="Normal 4 3 4 2 2 2 4" xfId="5548" xr:uid="{00000000-0005-0000-0000-0000F1150000}"/>
    <cellStyle name="Normal 4 3 4 2 2 3" xfId="2756" xr:uid="{00000000-0005-0000-0000-0000F2150000}"/>
    <cellStyle name="Normal 4 3 4 2 2 3 2" xfId="7235" xr:uid="{00000000-0005-0000-0000-0000F3150000}"/>
    <cellStyle name="Normal 4 3 4 2 2 4" xfId="3630" xr:uid="{00000000-0005-0000-0000-0000F4150000}"/>
    <cellStyle name="Normal 4 3 4 2 2 4 2" xfId="8096" xr:uid="{00000000-0005-0000-0000-0000F5150000}"/>
    <cellStyle name="Normal 4 3 4 2 2 5" xfId="4842" xr:uid="{00000000-0005-0000-0000-0000F6150000}"/>
    <cellStyle name="Normal 4 3 4 2 3" xfId="1336" xr:uid="{00000000-0005-0000-0000-0000F7150000}"/>
    <cellStyle name="Normal 4 3 4 2 3 2" xfId="1337" xr:uid="{00000000-0005-0000-0000-0000F8150000}"/>
    <cellStyle name="Normal 4 3 4 2 3 2 2" xfId="2757" xr:uid="{00000000-0005-0000-0000-0000F9150000}"/>
    <cellStyle name="Normal 4 3 4 2 3 2 2 2" xfId="7236" xr:uid="{00000000-0005-0000-0000-0000FA150000}"/>
    <cellStyle name="Normal 4 3 4 2 3 2 3" xfId="6188" xr:uid="{00000000-0005-0000-0000-0000FB150000}"/>
    <cellStyle name="Normal 4 3 4 2 3 3" xfId="2758" xr:uid="{00000000-0005-0000-0000-0000FC150000}"/>
    <cellStyle name="Normal 4 3 4 2 3 3 2" xfId="7237" xr:uid="{00000000-0005-0000-0000-0000FD150000}"/>
    <cellStyle name="Normal 4 3 4 2 3 4" xfId="4000" xr:uid="{00000000-0005-0000-0000-0000FE150000}"/>
    <cellStyle name="Normal 4 3 4 2 3 4 2" xfId="8466" xr:uid="{00000000-0005-0000-0000-0000FF150000}"/>
    <cellStyle name="Normal 4 3 4 2 3 5" xfId="5212" xr:uid="{00000000-0005-0000-0000-000000160000}"/>
    <cellStyle name="Normal 4 3 4 2 4" xfId="1338" xr:uid="{00000000-0005-0000-0000-000001160000}"/>
    <cellStyle name="Normal 4 3 4 2 4 2" xfId="2759" xr:uid="{00000000-0005-0000-0000-000002160000}"/>
    <cellStyle name="Normal 4 3 4 2 4 2 2" xfId="7238" xr:uid="{00000000-0005-0000-0000-000003160000}"/>
    <cellStyle name="Normal 4 3 4 2 4 3" xfId="6189" xr:uid="{00000000-0005-0000-0000-000004160000}"/>
    <cellStyle name="Normal 4 3 4 2 5" xfId="2760" xr:uid="{00000000-0005-0000-0000-000005160000}"/>
    <cellStyle name="Normal 4 3 4 2 5 2" xfId="7239" xr:uid="{00000000-0005-0000-0000-000006160000}"/>
    <cellStyle name="Normal 4 3 4 2 6" xfId="3629" xr:uid="{00000000-0005-0000-0000-000007160000}"/>
    <cellStyle name="Normal 4 3 4 2 6 2" xfId="8095" xr:uid="{00000000-0005-0000-0000-000008160000}"/>
    <cellStyle name="Normal 4 3 4 2 7" xfId="4841" xr:uid="{00000000-0005-0000-0000-000009160000}"/>
    <cellStyle name="Normal 4 3 4 3" xfId="1339" xr:uid="{00000000-0005-0000-0000-00000A160000}"/>
    <cellStyle name="Normal 4 3 4 3 2" xfId="1340" xr:uid="{00000000-0005-0000-0000-00000B160000}"/>
    <cellStyle name="Normal 4 3 4 3 2 2" xfId="2761" xr:uid="{00000000-0005-0000-0000-00000C160000}"/>
    <cellStyle name="Normal 4 3 4 3 2 2 2" xfId="7240" xr:uid="{00000000-0005-0000-0000-00000D160000}"/>
    <cellStyle name="Normal 4 3 4 3 2 3" xfId="4337" xr:uid="{00000000-0005-0000-0000-00000E160000}"/>
    <cellStyle name="Normal 4 3 4 3 2 3 2" xfId="8800" xr:uid="{00000000-0005-0000-0000-00000F160000}"/>
    <cellStyle name="Normal 4 3 4 3 2 4" xfId="5549" xr:uid="{00000000-0005-0000-0000-000010160000}"/>
    <cellStyle name="Normal 4 3 4 3 3" xfId="2762" xr:uid="{00000000-0005-0000-0000-000011160000}"/>
    <cellStyle name="Normal 4 3 4 3 3 2" xfId="7241" xr:uid="{00000000-0005-0000-0000-000012160000}"/>
    <cellStyle name="Normal 4 3 4 3 4" xfId="3631" xr:uid="{00000000-0005-0000-0000-000013160000}"/>
    <cellStyle name="Normal 4 3 4 3 4 2" xfId="8097" xr:uid="{00000000-0005-0000-0000-000014160000}"/>
    <cellStyle name="Normal 4 3 4 3 5" xfId="4843" xr:uid="{00000000-0005-0000-0000-000015160000}"/>
    <cellStyle name="Normal 4 3 4 4" xfId="1341" xr:uid="{00000000-0005-0000-0000-000016160000}"/>
    <cellStyle name="Normal 4 3 4 4 2" xfId="1342" xr:uid="{00000000-0005-0000-0000-000017160000}"/>
    <cellStyle name="Normal 4 3 4 4 2 2" xfId="2763" xr:uid="{00000000-0005-0000-0000-000018160000}"/>
    <cellStyle name="Normal 4 3 4 4 2 2 2" xfId="7242" xr:uid="{00000000-0005-0000-0000-000019160000}"/>
    <cellStyle name="Normal 4 3 4 4 2 3" xfId="6190" xr:uid="{00000000-0005-0000-0000-00001A160000}"/>
    <cellStyle name="Normal 4 3 4 4 3" xfId="2764" xr:uid="{00000000-0005-0000-0000-00001B160000}"/>
    <cellStyle name="Normal 4 3 4 4 3 2" xfId="7243" xr:uid="{00000000-0005-0000-0000-00001C160000}"/>
    <cellStyle name="Normal 4 3 4 4 4" xfId="3999" xr:uid="{00000000-0005-0000-0000-00001D160000}"/>
    <cellStyle name="Normal 4 3 4 4 4 2" xfId="8465" xr:uid="{00000000-0005-0000-0000-00001E160000}"/>
    <cellStyle name="Normal 4 3 4 4 5" xfId="5211" xr:uid="{00000000-0005-0000-0000-00001F160000}"/>
    <cellStyle name="Normal 4 3 4 5" xfId="1343" xr:uid="{00000000-0005-0000-0000-000020160000}"/>
    <cellStyle name="Normal 4 3 4 5 2" xfId="2765" xr:uid="{00000000-0005-0000-0000-000021160000}"/>
    <cellStyle name="Normal 4 3 4 5 2 2" xfId="7244" xr:uid="{00000000-0005-0000-0000-000022160000}"/>
    <cellStyle name="Normal 4 3 4 5 3" xfId="6191" xr:uid="{00000000-0005-0000-0000-000023160000}"/>
    <cellStyle name="Normal 4 3 4 6" xfId="371" xr:uid="{00000000-0005-0000-0000-000024160000}"/>
    <cellStyle name="Normal 4 3 4 6 2" xfId="5967" xr:uid="{00000000-0005-0000-0000-000025160000}"/>
    <cellStyle name="Normal 4 3 4 7" xfId="3628" xr:uid="{00000000-0005-0000-0000-000026160000}"/>
    <cellStyle name="Normal 4 3 4 7 2" xfId="8094" xr:uid="{00000000-0005-0000-0000-000027160000}"/>
    <cellStyle name="Normal 4 3 4 8" xfId="4840" xr:uid="{00000000-0005-0000-0000-000028160000}"/>
    <cellStyle name="Normal 4 3 5" xfId="1344" xr:uid="{00000000-0005-0000-0000-000029160000}"/>
    <cellStyle name="Normal 4 3 5 2" xfId="1345" xr:uid="{00000000-0005-0000-0000-00002A160000}"/>
    <cellStyle name="Normal 4 3 5 2 2" xfId="1346" xr:uid="{00000000-0005-0000-0000-00002B160000}"/>
    <cellStyle name="Normal 4 3 5 2 2 2" xfId="2766" xr:uid="{00000000-0005-0000-0000-00002C160000}"/>
    <cellStyle name="Normal 4 3 5 2 2 2 2" xfId="7245" xr:uid="{00000000-0005-0000-0000-00002D160000}"/>
    <cellStyle name="Normal 4 3 5 2 2 3" xfId="4338" xr:uid="{00000000-0005-0000-0000-00002E160000}"/>
    <cellStyle name="Normal 4 3 5 2 2 3 2" xfId="8801" xr:uid="{00000000-0005-0000-0000-00002F160000}"/>
    <cellStyle name="Normal 4 3 5 2 2 4" xfId="5550" xr:uid="{00000000-0005-0000-0000-000030160000}"/>
    <cellStyle name="Normal 4 3 5 2 3" xfId="2767" xr:uid="{00000000-0005-0000-0000-000031160000}"/>
    <cellStyle name="Normal 4 3 5 2 3 2" xfId="7246" xr:uid="{00000000-0005-0000-0000-000032160000}"/>
    <cellStyle name="Normal 4 3 5 2 4" xfId="3633" xr:uid="{00000000-0005-0000-0000-000033160000}"/>
    <cellStyle name="Normal 4 3 5 2 4 2" xfId="8099" xr:uid="{00000000-0005-0000-0000-000034160000}"/>
    <cellStyle name="Normal 4 3 5 2 5" xfId="4845" xr:uid="{00000000-0005-0000-0000-000035160000}"/>
    <cellStyle name="Normal 4 3 5 3" xfId="1347" xr:uid="{00000000-0005-0000-0000-000036160000}"/>
    <cellStyle name="Normal 4 3 5 3 2" xfId="1348" xr:uid="{00000000-0005-0000-0000-000037160000}"/>
    <cellStyle name="Normal 4 3 5 3 2 2" xfId="2768" xr:uid="{00000000-0005-0000-0000-000038160000}"/>
    <cellStyle name="Normal 4 3 5 3 2 2 2" xfId="7247" xr:uid="{00000000-0005-0000-0000-000039160000}"/>
    <cellStyle name="Normal 4 3 5 3 2 3" xfId="6192" xr:uid="{00000000-0005-0000-0000-00003A160000}"/>
    <cellStyle name="Normal 4 3 5 3 3" xfId="2769" xr:uid="{00000000-0005-0000-0000-00003B160000}"/>
    <cellStyle name="Normal 4 3 5 3 3 2" xfId="7248" xr:uid="{00000000-0005-0000-0000-00003C160000}"/>
    <cellStyle name="Normal 4 3 5 3 4" xfId="4001" xr:uid="{00000000-0005-0000-0000-00003D160000}"/>
    <cellStyle name="Normal 4 3 5 3 4 2" xfId="8467" xr:uid="{00000000-0005-0000-0000-00003E160000}"/>
    <cellStyle name="Normal 4 3 5 3 5" xfId="5213" xr:uid="{00000000-0005-0000-0000-00003F160000}"/>
    <cellStyle name="Normal 4 3 5 4" xfId="1349" xr:uid="{00000000-0005-0000-0000-000040160000}"/>
    <cellStyle name="Normal 4 3 5 4 2" xfId="2770" xr:uid="{00000000-0005-0000-0000-000041160000}"/>
    <cellStyle name="Normal 4 3 5 4 2 2" xfId="7249" xr:uid="{00000000-0005-0000-0000-000042160000}"/>
    <cellStyle name="Normal 4 3 5 4 3" xfId="6193" xr:uid="{00000000-0005-0000-0000-000043160000}"/>
    <cellStyle name="Normal 4 3 5 5" xfId="2771" xr:uid="{00000000-0005-0000-0000-000044160000}"/>
    <cellStyle name="Normal 4 3 5 5 2" xfId="7250" xr:uid="{00000000-0005-0000-0000-000045160000}"/>
    <cellStyle name="Normal 4 3 5 6" xfId="3632" xr:uid="{00000000-0005-0000-0000-000046160000}"/>
    <cellStyle name="Normal 4 3 5 6 2" xfId="8098" xr:uid="{00000000-0005-0000-0000-000047160000}"/>
    <cellStyle name="Normal 4 3 5 7" xfId="4844" xr:uid="{00000000-0005-0000-0000-000048160000}"/>
    <cellStyle name="Normal 4 3 6" xfId="1350" xr:uid="{00000000-0005-0000-0000-000049160000}"/>
    <cellStyle name="Normal 4 3 6 2" xfId="1351" xr:uid="{00000000-0005-0000-0000-00004A160000}"/>
    <cellStyle name="Normal 4 3 6 2 2" xfId="2772" xr:uid="{00000000-0005-0000-0000-00004B160000}"/>
    <cellStyle name="Normal 4 3 6 2 2 2" xfId="7251" xr:uid="{00000000-0005-0000-0000-00004C160000}"/>
    <cellStyle name="Normal 4 3 6 2 3" xfId="4340" xr:uid="{00000000-0005-0000-0000-00004D160000}"/>
    <cellStyle name="Normal 4 3 6 2 3 2" xfId="8803" xr:uid="{00000000-0005-0000-0000-00004E160000}"/>
    <cellStyle name="Normal 4 3 6 2 4" xfId="5552" xr:uid="{00000000-0005-0000-0000-00004F160000}"/>
    <cellStyle name="Normal 4 3 6 3" xfId="2773" xr:uid="{00000000-0005-0000-0000-000050160000}"/>
    <cellStyle name="Normal 4 3 6 3 2" xfId="4339" xr:uid="{00000000-0005-0000-0000-000051160000}"/>
    <cellStyle name="Normal 4 3 6 3 2 2" xfId="8802" xr:uid="{00000000-0005-0000-0000-000052160000}"/>
    <cellStyle name="Normal 4 3 6 3 3" xfId="5551" xr:uid="{00000000-0005-0000-0000-000053160000}"/>
    <cellStyle name="Normal 4 3 6 4" xfId="3634" xr:uid="{00000000-0005-0000-0000-000054160000}"/>
    <cellStyle name="Normal 4 3 6 4 2" xfId="8100" xr:uid="{00000000-0005-0000-0000-000055160000}"/>
    <cellStyle name="Normal 4 3 6 5" xfId="4846" xr:uid="{00000000-0005-0000-0000-000056160000}"/>
    <cellStyle name="Normal 4 3 7" xfId="1352" xr:uid="{00000000-0005-0000-0000-000057160000}"/>
    <cellStyle name="Normal 4 3 7 2" xfId="1353" xr:uid="{00000000-0005-0000-0000-000058160000}"/>
    <cellStyle name="Normal 4 3 7 2 2" xfId="2774" xr:uid="{00000000-0005-0000-0000-000059160000}"/>
    <cellStyle name="Normal 4 3 7 2 2 2" xfId="7252" xr:uid="{00000000-0005-0000-0000-00005A160000}"/>
    <cellStyle name="Normal 4 3 7 2 3" xfId="6194" xr:uid="{00000000-0005-0000-0000-00005B160000}"/>
    <cellStyle name="Normal 4 3 7 3" xfId="2775" xr:uid="{00000000-0005-0000-0000-00005C160000}"/>
    <cellStyle name="Normal 4 3 7 3 2" xfId="7253" xr:uid="{00000000-0005-0000-0000-00005D160000}"/>
    <cellStyle name="Normal 4 3 7 4" xfId="4341" xr:uid="{00000000-0005-0000-0000-00005E160000}"/>
    <cellStyle name="Normal 4 3 7 4 2" xfId="8804" xr:uid="{00000000-0005-0000-0000-00005F160000}"/>
    <cellStyle name="Normal 4 3 7 5" xfId="5553" xr:uid="{00000000-0005-0000-0000-000060160000}"/>
    <cellStyle name="Normal 4 3 8" xfId="1354" xr:uid="{00000000-0005-0000-0000-000061160000}"/>
    <cellStyle name="Normal 4 3 8 2" xfId="2776" xr:uid="{00000000-0005-0000-0000-000062160000}"/>
    <cellStyle name="Normal 4 3 8 2 2" xfId="7254" xr:uid="{00000000-0005-0000-0000-000063160000}"/>
    <cellStyle name="Normal 4 3 8 3" xfId="4342" xr:uid="{00000000-0005-0000-0000-000064160000}"/>
    <cellStyle name="Normal 4 3 8 3 2" xfId="8805" xr:uid="{00000000-0005-0000-0000-000065160000}"/>
    <cellStyle name="Normal 4 3 8 4" xfId="5554" xr:uid="{00000000-0005-0000-0000-000066160000}"/>
    <cellStyle name="Normal 4 3 9" xfId="1876" xr:uid="{00000000-0005-0000-0000-000067160000}"/>
    <cellStyle name="Normal 4 3 9 2" xfId="3992" xr:uid="{00000000-0005-0000-0000-000068160000}"/>
    <cellStyle name="Normal 4 3 9 2 2" xfId="8458" xr:uid="{00000000-0005-0000-0000-000069160000}"/>
    <cellStyle name="Normal 4 3 9 3" xfId="5204" xr:uid="{00000000-0005-0000-0000-00006A160000}"/>
    <cellStyle name="Normal 4 4" xfId="156" xr:uid="{00000000-0005-0000-0000-00006B160000}"/>
    <cellStyle name="Normal 4 4 10" xfId="4847" xr:uid="{00000000-0005-0000-0000-00006C160000}"/>
    <cellStyle name="Normal 4 4 2" xfId="157" xr:uid="{00000000-0005-0000-0000-00006D160000}"/>
    <cellStyle name="Normal 4 4 2 2" xfId="158" xr:uid="{00000000-0005-0000-0000-00006E160000}"/>
    <cellStyle name="Normal 4 4 2 2 2" xfId="1355" xr:uid="{00000000-0005-0000-0000-00006F160000}"/>
    <cellStyle name="Normal 4 4 2 2 2 2" xfId="1356" xr:uid="{00000000-0005-0000-0000-000070160000}"/>
    <cellStyle name="Normal 4 4 2 2 2 2 2" xfId="2777" xr:uid="{00000000-0005-0000-0000-000071160000}"/>
    <cellStyle name="Normal 4 4 2 2 2 2 2 2" xfId="7255" xr:uid="{00000000-0005-0000-0000-000072160000}"/>
    <cellStyle name="Normal 4 4 2 2 2 2 3" xfId="4343" xr:uid="{00000000-0005-0000-0000-000073160000}"/>
    <cellStyle name="Normal 4 4 2 2 2 2 3 2" xfId="8806" xr:uid="{00000000-0005-0000-0000-000074160000}"/>
    <cellStyle name="Normal 4 4 2 2 2 2 4" xfId="5555" xr:uid="{00000000-0005-0000-0000-000075160000}"/>
    <cellStyle name="Normal 4 4 2 2 2 3" xfId="2778" xr:uid="{00000000-0005-0000-0000-000076160000}"/>
    <cellStyle name="Normal 4 4 2 2 2 3 2" xfId="7256" xr:uid="{00000000-0005-0000-0000-000077160000}"/>
    <cellStyle name="Normal 4 4 2 2 2 4" xfId="3638" xr:uid="{00000000-0005-0000-0000-000078160000}"/>
    <cellStyle name="Normal 4 4 2 2 2 4 2" xfId="8104" xr:uid="{00000000-0005-0000-0000-000079160000}"/>
    <cellStyle name="Normal 4 4 2 2 2 5" xfId="4850" xr:uid="{00000000-0005-0000-0000-00007A160000}"/>
    <cellStyle name="Normal 4 4 2 2 3" xfId="1357" xr:uid="{00000000-0005-0000-0000-00007B160000}"/>
    <cellStyle name="Normal 4 4 2 2 3 2" xfId="1358" xr:uid="{00000000-0005-0000-0000-00007C160000}"/>
    <cellStyle name="Normal 4 4 2 2 3 2 2" xfId="2779" xr:uid="{00000000-0005-0000-0000-00007D160000}"/>
    <cellStyle name="Normal 4 4 2 2 3 2 2 2" xfId="7257" xr:uid="{00000000-0005-0000-0000-00007E160000}"/>
    <cellStyle name="Normal 4 4 2 2 3 2 3" xfId="6195" xr:uid="{00000000-0005-0000-0000-00007F160000}"/>
    <cellStyle name="Normal 4 4 2 2 3 3" xfId="2780" xr:uid="{00000000-0005-0000-0000-000080160000}"/>
    <cellStyle name="Normal 4 4 2 2 3 3 2" xfId="7258" xr:uid="{00000000-0005-0000-0000-000081160000}"/>
    <cellStyle name="Normal 4 4 2 2 3 4" xfId="4004" xr:uid="{00000000-0005-0000-0000-000082160000}"/>
    <cellStyle name="Normal 4 4 2 2 3 4 2" xfId="8470" xr:uid="{00000000-0005-0000-0000-000083160000}"/>
    <cellStyle name="Normal 4 4 2 2 3 5" xfId="5216" xr:uid="{00000000-0005-0000-0000-000084160000}"/>
    <cellStyle name="Normal 4 4 2 2 4" xfId="1359" xr:uid="{00000000-0005-0000-0000-000085160000}"/>
    <cellStyle name="Normal 4 4 2 2 4 2" xfId="2781" xr:uid="{00000000-0005-0000-0000-000086160000}"/>
    <cellStyle name="Normal 4 4 2 2 4 2 2" xfId="7259" xr:uid="{00000000-0005-0000-0000-000087160000}"/>
    <cellStyle name="Normal 4 4 2 2 4 3" xfId="6196" xr:uid="{00000000-0005-0000-0000-000088160000}"/>
    <cellStyle name="Normal 4 4 2 2 5" xfId="374" xr:uid="{00000000-0005-0000-0000-000089160000}"/>
    <cellStyle name="Normal 4 4 2 2 5 2" xfId="6099" xr:uid="{00000000-0005-0000-0000-00008A160000}"/>
    <cellStyle name="Normal 4 4 2 2 6" xfId="3637" xr:uid="{00000000-0005-0000-0000-00008B160000}"/>
    <cellStyle name="Normal 4 4 2 2 6 2" xfId="8103" xr:uid="{00000000-0005-0000-0000-00008C160000}"/>
    <cellStyle name="Normal 4 4 2 2 7" xfId="4849" xr:uid="{00000000-0005-0000-0000-00008D160000}"/>
    <cellStyle name="Normal 4 4 2 3" xfId="1360" xr:uid="{00000000-0005-0000-0000-00008E160000}"/>
    <cellStyle name="Normal 4 4 2 3 2" xfId="1361" xr:uid="{00000000-0005-0000-0000-00008F160000}"/>
    <cellStyle name="Normal 4 4 2 3 2 2" xfId="2782" xr:uid="{00000000-0005-0000-0000-000090160000}"/>
    <cellStyle name="Normal 4 4 2 3 2 2 2" xfId="7260" xr:uid="{00000000-0005-0000-0000-000091160000}"/>
    <cellStyle name="Normal 4 4 2 3 2 3" xfId="4344" xr:uid="{00000000-0005-0000-0000-000092160000}"/>
    <cellStyle name="Normal 4 4 2 3 2 3 2" xfId="8807" xr:uid="{00000000-0005-0000-0000-000093160000}"/>
    <cellStyle name="Normal 4 4 2 3 2 4" xfId="5556" xr:uid="{00000000-0005-0000-0000-000094160000}"/>
    <cellStyle name="Normal 4 4 2 3 3" xfId="2783" xr:uid="{00000000-0005-0000-0000-000095160000}"/>
    <cellStyle name="Normal 4 4 2 3 3 2" xfId="7261" xr:uid="{00000000-0005-0000-0000-000096160000}"/>
    <cellStyle name="Normal 4 4 2 3 4" xfId="3639" xr:uid="{00000000-0005-0000-0000-000097160000}"/>
    <cellStyle name="Normal 4 4 2 3 4 2" xfId="8105" xr:uid="{00000000-0005-0000-0000-000098160000}"/>
    <cellStyle name="Normal 4 4 2 3 5" xfId="4851" xr:uid="{00000000-0005-0000-0000-000099160000}"/>
    <cellStyle name="Normal 4 4 2 4" xfId="1362" xr:uid="{00000000-0005-0000-0000-00009A160000}"/>
    <cellStyle name="Normal 4 4 2 4 2" xfId="1363" xr:uid="{00000000-0005-0000-0000-00009B160000}"/>
    <cellStyle name="Normal 4 4 2 4 2 2" xfId="2784" xr:uid="{00000000-0005-0000-0000-00009C160000}"/>
    <cellStyle name="Normal 4 4 2 4 2 2 2" xfId="7262" xr:uid="{00000000-0005-0000-0000-00009D160000}"/>
    <cellStyle name="Normal 4 4 2 4 2 3" xfId="6197" xr:uid="{00000000-0005-0000-0000-00009E160000}"/>
    <cellStyle name="Normal 4 4 2 4 3" xfId="2785" xr:uid="{00000000-0005-0000-0000-00009F160000}"/>
    <cellStyle name="Normal 4 4 2 4 3 2" xfId="7263" xr:uid="{00000000-0005-0000-0000-0000A0160000}"/>
    <cellStyle name="Normal 4 4 2 4 4" xfId="4003" xr:uid="{00000000-0005-0000-0000-0000A1160000}"/>
    <cellStyle name="Normal 4 4 2 4 4 2" xfId="8469" xr:uid="{00000000-0005-0000-0000-0000A2160000}"/>
    <cellStyle name="Normal 4 4 2 4 5" xfId="5215" xr:uid="{00000000-0005-0000-0000-0000A3160000}"/>
    <cellStyle name="Normal 4 4 2 5" xfId="1364" xr:uid="{00000000-0005-0000-0000-0000A4160000}"/>
    <cellStyle name="Normal 4 4 2 5 2" xfId="2786" xr:uid="{00000000-0005-0000-0000-0000A5160000}"/>
    <cellStyle name="Normal 4 4 2 5 2 2" xfId="7264" xr:uid="{00000000-0005-0000-0000-0000A6160000}"/>
    <cellStyle name="Normal 4 4 2 5 3" xfId="6198" xr:uid="{00000000-0005-0000-0000-0000A7160000}"/>
    <cellStyle name="Normal 4 4 2 6" xfId="373" xr:uid="{00000000-0005-0000-0000-0000A8160000}"/>
    <cellStyle name="Normal 4 4 2 6 2" xfId="6101" xr:uid="{00000000-0005-0000-0000-0000A9160000}"/>
    <cellStyle name="Normal 4 4 2 7" xfId="3636" xr:uid="{00000000-0005-0000-0000-0000AA160000}"/>
    <cellStyle name="Normal 4 4 2 7 2" xfId="8102" xr:uid="{00000000-0005-0000-0000-0000AB160000}"/>
    <cellStyle name="Normal 4 4 2 8" xfId="4848" xr:uid="{00000000-0005-0000-0000-0000AC160000}"/>
    <cellStyle name="Normal 4 4 3" xfId="159" xr:uid="{00000000-0005-0000-0000-0000AD160000}"/>
    <cellStyle name="Normal 4 4 3 2" xfId="1365" xr:uid="{00000000-0005-0000-0000-0000AE160000}"/>
    <cellStyle name="Normal 4 4 3 2 2" xfId="1366" xr:uid="{00000000-0005-0000-0000-0000AF160000}"/>
    <cellStyle name="Normal 4 4 3 2 2 2" xfId="2787" xr:uid="{00000000-0005-0000-0000-0000B0160000}"/>
    <cellStyle name="Normal 4 4 3 2 2 2 2" xfId="7265" xr:uid="{00000000-0005-0000-0000-0000B1160000}"/>
    <cellStyle name="Normal 4 4 3 2 2 3" xfId="4345" xr:uid="{00000000-0005-0000-0000-0000B2160000}"/>
    <cellStyle name="Normal 4 4 3 2 2 3 2" xfId="8808" xr:uid="{00000000-0005-0000-0000-0000B3160000}"/>
    <cellStyle name="Normal 4 4 3 2 2 4" xfId="5557" xr:uid="{00000000-0005-0000-0000-0000B4160000}"/>
    <cellStyle name="Normal 4 4 3 2 3" xfId="2788" xr:uid="{00000000-0005-0000-0000-0000B5160000}"/>
    <cellStyle name="Normal 4 4 3 2 3 2" xfId="7266" xr:uid="{00000000-0005-0000-0000-0000B6160000}"/>
    <cellStyle name="Normal 4 4 3 2 4" xfId="3641" xr:uid="{00000000-0005-0000-0000-0000B7160000}"/>
    <cellStyle name="Normal 4 4 3 2 4 2" xfId="8107" xr:uid="{00000000-0005-0000-0000-0000B8160000}"/>
    <cellStyle name="Normal 4 4 3 2 5" xfId="4853" xr:uid="{00000000-0005-0000-0000-0000B9160000}"/>
    <cellStyle name="Normal 4 4 3 3" xfId="1367" xr:uid="{00000000-0005-0000-0000-0000BA160000}"/>
    <cellStyle name="Normal 4 4 3 3 2" xfId="1368" xr:uid="{00000000-0005-0000-0000-0000BB160000}"/>
    <cellStyle name="Normal 4 4 3 3 2 2" xfId="2789" xr:uid="{00000000-0005-0000-0000-0000BC160000}"/>
    <cellStyle name="Normal 4 4 3 3 2 2 2" xfId="7267" xr:uid="{00000000-0005-0000-0000-0000BD160000}"/>
    <cellStyle name="Normal 4 4 3 3 2 3" xfId="6199" xr:uid="{00000000-0005-0000-0000-0000BE160000}"/>
    <cellStyle name="Normal 4 4 3 3 3" xfId="2790" xr:uid="{00000000-0005-0000-0000-0000BF160000}"/>
    <cellStyle name="Normal 4 4 3 3 3 2" xfId="7268" xr:uid="{00000000-0005-0000-0000-0000C0160000}"/>
    <cellStyle name="Normal 4 4 3 3 4" xfId="4005" xr:uid="{00000000-0005-0000-0000-0000C1160000}"/>
    <cellStyle name="Normal 4 4 3 3 4 2" xfId="8471" xr:uid="{00000000-0005-0000-0000-0000C2160000}"/>
    <cellStyle name="Normal 4 4 3 3 5" xfId="5217" xr:uid="{00000000-0005-0000-0000-0000C3160000}"/>
    <cellStyle name="Normal 4 4 3 4" xfId="1369" xr:uid="{00000000-0005-0000-0000-0000C4160000}"/>
    <cellStyle name="Normal 4 4 3 4 2" xfId="2791" xr:uid="{00000000-0005-0000-0000-0000C5160000}"/>
    <cellStyle name="Normal 4 4 3 4 2 2" xfId="7269" xr:uid="{00000000-0005-0000-0000-0000C6160000}"/>
    <cellStyle name="Normal 4 4 3 4 3" xfId="6200" xr:uid="{00000000-0005-0000-0000-0000C7160000}"/>
    <cellStyle name="Normal 4 4 3 5" xfId="375" xr:uid="{00000000-0005-0000-0000-0000C8160000}"/>
    <cellStyle name="Normal 4 4 3 5 2" xfId="6100" xr:uid="{00000000-0005-0000-0000-0000C9160000}"/>
    <cellStyle name="Normal 4 4 3 6" xfId="3640" xr:uid="{00000000-0005-0000-0000-0000CA160000}"/>
    <cellStyle name="Normal 4 4 3 6 2" xfId="8106" xr:uid="{00000000-0005-0000-0000-0000CB160000}"/>
    <cellStyle name="Normal 4 4 3 7" xfId="4852" xr:uid="{00000000-0005-0000-0000-0000CC160000}"/>
    <cellStyle name="Normal 4 4 4" xfId="1370" xr:uid="{00000000-0005-0000-0000-0000CD160000}"/>
    <cellStyle name="Normal 4 4 4 2" xfId="1371" xr:uid="{00000000-0005-0000-0000-0000CE160000}"/>
    <cellStyle name="Normal 4 4 4 2 2" xfId="2792" xr:uid="{00000000-0005-0000-0000-0000CF160000}"/>
    <cellStyle name="Normal 4 4 4 2 2 2" xfId="7270" xr:uid="{00000000-0005-0000-0000-0000D0160000}"/>
    <cellStyle name="Normal 4 4 4 2 3" xfId="4347" xr:uid="{00000000-0005-0000-0000-0000D1160000}"/>
    <cellStyle name="Normal 4 4 4 2 3 2" xfId="8810" xr:uid="{00000000-0005-0000-0000-0000D2160000}"/>
    <cellStyle name="Normal 4 4 4 2 4" xfId="5559" xr:uid="{00000000-0005-0000-0000-0000D3160000}"/>
    <cellStyle name="Normal 4 4 4 3" xfId="2793" xr:uid="{00000000-0005-0000-0000-0000D4160000}"/>
    <cellStyle name="Normal 4 4 4 3 2" xfId="4346" xr:uid="{00000000-0005-0000-0000-0000D5160000}"/>
    <cellStyle name="Normal 4 4 4 3 2 2" xfId="8809" xr:uid="{00000000-0005-0000-0000-0000D6160000}"/>
    <cellStyle name="Normal 4 4 4 3 3" xfId="5558" xr:uid="{00000000-0005-0000-0000-0000D7160000}"/>
    <cellStyle name="Normal 4 4 4 4" xfId="3642" xr:uid="{00000000-0005-0000-0000-0000D8160000}"/>
    <cellStyle name="Normal 4 4 4 4 2" xfId="8108" xr:uid="{00000000-0005-0000-0000-0000D9160000}"/>
    <cellStyle name="Normal 4 4 4 5" xfId="4854" xr:uid="{00000000-0005-0000-0000-0000DA160000}"/>
    <cellStyle name="Normal 4 4 5" xfId="1372" xr:uid="{00000000-0005-0000-0000-0000DB160000}"/>
    <cellStyle name="Normal 4 4 5 2" xfId="1373" xr:uid="{00000000-0005-0000-0000-0000DC160000}"/>
    <cellStyle name="Normal 4 4 5 2 2" xfId="2794" xr:uid="{00000000-0005-0000-0000-0000DD160000}"/>
    <cellStyle name="Normal 4 4 5 2 2 2" xfId="7271" xr:uid="{00000000-0005-0000-0000-0000DE160000}"/>
    <cellStyle name="Normal 4 4 5 2 3" xfId="6201" xr:uid="{00000000-0005-0000-0000-0000DF160000}"/>
    <cellStyle name="Normal 4 4 5 3" xfId="2795" xr:uid="{00000000-0005-0000-0000-0000E0160000}"/>
    <cellStyle name="Normal 4 4 5 3 2" xfId="7272" xr:uid="{00000000-0005-0000-0000-0000E1160000}"/>
    <cellStyle name="Normal 4 4 5 4" xfId="4348" xr:uid="{00000000-0005-0000-0000-0000E2160000}"/>
    <cellStyle name="Normal 4 4 5 4 2" xfId="8811" xr:uid="{00000000-0005-0000-0000-0000E3160000}"/>
    <cellStyle name="Normal 4 4 5 5" xfId="5560" xr:uid="{00000000-0005-0000-0000-0000E4160000}"/>
    <cellStyle name="Normal 4 4 6" xfId="1374" xr:uid="{00000000-0005-0000-0000-0000E5160000}"/>
    <cellStyle name="Normal 4 4 6 2" xfId="2796" xr:uid="{00000000-0005-0000-0000-0000E6160000}"/>
    <cellStyle name="Normal 4 4 6 2 2" xfId="7273" xr:uid="{00000000-0005-0000-0000-0000E7160000}"/>
    <cellStyle name="Normal 4 4 6 3" xfId="4349" xr:uid="{00000000-0005-0000-0000-0000E8160000}"/>
    <cellStyle name="Normal 4 4 6 3 2" xfId="8812" xr:uid="{00000000-0005-0000-0000-0000E9160000}"/>
    <cellStyle name="Normal 4 4 6 4" xfId="5561" xr:uid="{00000000-0005-0000-0000-0000EA160000}"/>
    <cellStyle name="Normal 4 4 7" xfId="1879" xr:uid="{00000000-0005-0000-0000-0000EB160000}"/>
    <cellStyle name="Normal 4 4 7 2" xfId="4002" xr:uid="{00000000-0005-0000-0000-0000EC160000}"/>
    <cellStyle name="Normal 4 4 7 2 2" xfId="8468" xr:uid="{00000000-0005-0000-0000-0000ED160000}"/>
    <cellStyle name="Normal 4 4 7 3" xfId="5214" xr:uid="{00000000-0005-0000-0000-0000EE160000}"/>
    <cellStyle name="Normal 4 4 8" xfId="372" xr:uid="{00000000-0005-0000-0000-0000EF160000}"/>
    <cellStyle name="Normal 4 4 8 2" xfId="6102" xr:uid="{00000000-0005-0000-0000-0000F0160000}"/>
    <cellStyle name="Normal 4 4 9" xfId="3635" xr:uid="{00000000-0005-0000-0000-0000F1160000}"/>
    <cellStyle name="Normal 4 4 9 2" xfId="8101" xr:uid="{00000000-0005-0000-0000-0000F2160000}"/>
    <cellStyle name="Normal 4 5" xfId="160" xr:uid="{00000000-0005-0000-0000-0000F3160000}"/>
    <cellStyle name="Normal 4 5 2" xfId="161" xr:uid="{00000000-0005-0000-0000-0000F4160000}"/>
    <cellStyle name="Normal 4 5 2 2" xfId="1375" xr:uid="{00000000-0005-0000-0000-0000F5160000}"/>
    <cellStyle name="Normal 4 5 2 2 2" xfId="1376" xr:uid="{00000000-0005-0000-0000-0000F6160000}"/>
    <cellStyle name="Normal 4 5 2 2 2 2" xfId="2797" xr:uid="{00000000-0005-0000-0000-0000F7160000}"/>
    <cellStyle name="Normal 4 5 2 2 2 2 2" xfId="7274" xr:uid="{00000000-0005-0000-0000-0000F8160000}"/>
    <cellStyle name="Normal 4 5 2 2 2 3" xfId="4350" xr:uid="{00000000-0005-0000-0000-0000F9160000}"/>
    <cellStyle name="Normal 4 5 2 2 2 3 2" xfId="8813" xr:uid="{00000000-0005-0000-0000-0000FA160000}"/>
    <cellStyle name="Normal 4 5 2 2 2 4" xfId="5562" xr:uid="{00000000-0005-0000-0000-0000FB160000}"/>
    <cellStyle name="Normal 4 5 2 2 3" xfId="2798" xr:uid="{00000000-0005-0000-0000-0000FC160000}"/>
    <cellStyle name="Normal 4 5 2 2 3 2" xfId="7275" xr:uid="{00000000-0005-0000-0000-0000FD160000}"/>
    <cellStyle name="Normal 4 5 2 2 4" xfId="3645" xr:uid="{00000000-0005-0000-0000-0000FE160000}"/>
    <cellStyle name="Normal 4 5 2 2 4 2" xfId="8111" xr:uid="{00000000-0005-0000-0000-0000FF160000}"/>
    <cellStyle name="Normal 4 5 2 2 5" xfId="4857" xr:uid="{00000000-0005-0000-0000-000000170000}"/>
    <cellStyle name="Normal 4 5 2 3" xfId="1377" xr:uid="{00000000-0005-0000-0000-000001170000}"/>
    <cellStyle name="Normal 4 5 2 3 2" xfId="1378" xr:uid="{00000000-0005-0000-0000-000002170000}"/>
    <cellStyle name="Normal 4 5 2 3 2 2" xfId="2799" xr:uid="{00000000-0005-0000-0000-000003170000}"/>
    <cellStyle name="Normal 4 5 2 3 2 2 2" xfId="7276" xr:uid="{00000000-0005-0000-0000-000004170000}"/>
    <cellStyle name="Normal 4 5 2 3 2 3" xfId="6202" xr:uid="{00000000-0005-0000-0000-000005170000}"/>
    <cellStyle name="Normal 4 5 2 3 3" xfId="2800" xr:uid="{00000000-0005-0000-0000-000006170000}"/>
    <cellStyle name="Normal 4 5 2 3 3 2" xfId="7277" xr:uid="{00000000-0005-0000-0000-000007170000}"/>
    <cellStyle name="Normal 4 5 2 3 4" xfId="4007" xr:uid="{00000000-0005-0000-0000-000008170000}"/>
    <cellStyle name="Normal 4 5 2 3 4 2" xfId="8473" xr:uid="{00000000-0005-0000-0000-000009170000}"/>
    <cellStyle name="Normal 4 5 2 3 5" xfId="5219" xr:uid="{00000000-0005-0000-0000-00000A170000}"/>
    <cellStyle name="Normal 4 5 2 4" xfId="1379" xr:uid="{00000000-0005-0000-0000-00000B170000}"/>
    <cellStyle name="Normal 4 5 2 4 2" xfId="2801" xr:uid="{00000000-0005-0000-0000-00000C170000}"/>
    <cellStyle name="Normal 4 5 2 4 2 2" xfId="7278" xr:uid="{00000000-0005-0000-0000-00000D170000}"/>
    <cellStyle name="Normal 4 5 2 4 3" xfId="6203" xr:uid="{00000000-0005-0000-0000-00000E170000}"/>
    <cellStyle name="Normal 4 5 2 5" xfId="377" xr:uid="{00000000-0005-0000-0000-00000F170000}"/>
    <cellStyle name="Normal 4 5 2 5 2" xfId="5970" xr:uid="{00000000-0005-0000-0000-000010170000}"/>
    <cellStyle name="Normal 4 5 2 6" xfId="3644" xr:uid="{00000000-0005-0000-0000-000011170000}"/>
    <cellStyle name="Normal 4 5 2 6 2" xfId="8110" xr:uid="{00000000-0005-0000-0000-000012170000}"/>
    <cellStyle name="Normal 4 5 2 7" xfId="4856" xr:uid="{00000000-0005-0000-0000-000013170000}"/>
    <cellStyle name="Normal 4 5 3" xfId="1380" xr:uid="{00000000-0005-0000-0000-000014170000}"/>
    <cellStyle name="Normal 4 5 3 2" xfId="1381" xr:uid="{00000000-0005-0000-0000-000015170000}"/>
    <cellStyle name="Normal 4 5 3 2 2" xfId="2802" xr:uid="{00000000-0005-0000-0000-000016170000}"/>
    <cellStyle name="Normal 4 5 3 2 2 2" xfId="7279" xr:uid="{00000000-0005-0000-0000-000017170000}"/>
    <cellStyle name="Normal 4 5 3 2 3" xfId="4351" xr:uid="{00000000-0005-0000-0000-000018170000}"/>
    <cellStyle name="Normal 4 5 3 2 3 2" xfId="8814" xr:uid="{00000000-0005-0000-0000-000019170000}"/>
    <cellStyle name="Normal 4 5 3 2 4" xfId="5563" xr:uid="{00000000-0005-0000-0000-00001A170000}"/>
    <cellStyle name="Normal 4 5 3 3" xfId="2803" xr:uid="{00000000-0005-0000-0000-00001B170000}"/>
    <cellStyle name="Normal 4 5 3 3 2" xfId="7280" xr:uid="{00000000-0005-0000-0000-00001C170000}"/>
    <cellStyle name="Normal 4 5 3 4" xfId="3646" xr:uid="{00000000-0005-0000-0000-00001D170000}"/>
    <cellStyle name="Normal 4 5 3 4 2" xfId="8112" xr:uid="{00000000-0005-0000-0000-00001E170000}"/>
    <cellStyle name="Normal 4 5 3 5" xfId="4858" xr:uid="{00000000-0005-0000-0000-00001F170000}"/>
    <cellStyle name="Normal 4 5 4" xfId="1382" xr:uid="{00000000-0005-0000-0000-000020170000}"/>
    <cellStyle name="Normal 4 5 4 2" xfId="1383" xr:uid="{00000000-0005-0000-0000-000021170000}"/>
    <cellStyle name="Normal 4 5 4 2 2" xfId="2804" xr:uid="{00000000-0005-0000-0000-000022170000}"/>
    <cellStyle name="Normal 4 5 4 2 2 2" xfId="7281" xr:uid="{00000000-0005-0000-0000-000023170000}"/>
    <cellStyle name="Normal 4 5 4 2 3" xfId="6204" xr:uid="{00000000-0005-0000-0000-000024170000}"/>
    <cellStyle name="Normal 4 5 4 3" xfId="2805" xr:uid="{00000000-0005-0000-0000-000025170000}"/>
    <cellStyle name="Normal 4 5 4 3 2" xfId="7282" xr:uid="{00000000-0005-0000-0000-000026170000}"/>
    <cellStyle name="Normal 4 5 4 4" xfId="4006" xr:uid="{00000000-0005-0000-0000-000027170000}"/>
    <cellStyle name="Normal 4 5 4 4 2" xfId="8472" xr:uid="{00000000-0005-0000-0000-000028170000}"/>
    <cellStyle name="Normal 4 5 4 5" xfId="5218" xr:uid="{00000000-0005-0000-0000-000029170000}"/>
    <cellStyle name="Normal 4 5 5" xfId="1384" xr:uid="{00000000-0005-0000-0000-00002A170000}"/>
    <cellStyle name="Normal 4 5 5 2" xfId="2806" xr:uid="{00000000-0005-0000-0000-00002B170000}"/>
    <cellStyle name="Normal 4 5 5 2 2" xfId="7283" xr:uid="{00000000-0005-0000-0000-00002C170000}"/>
    <cellStyle name="Normal 4 5 5 3" xfId="6205" xr:uid="{00000000-0005-0000-0000-00002D170000}"/>
    <cellStyle name="Normal 4 5 6" xfId="376" xr:uid="{00000000-0005-0000-0000-00002E170000}"/>
    <cellStyle name="Normal 4 5 6 2" xfId="5845" xr:uid="{00000000-0005-0000-0000-00002F170000}"/>
    <cellStyle name="Normal 4 5 7" xfId="3643" xr:uid="{00000000-0005-0000-0000-000030170000}"/>
    <cellStyle name="Normal 4 5 7 2" xfId="8109" xr:uid="{00000000-0005-0000-0000-000031170000}"/>
    <cellStyle name="Normal 4 5 8" xfId="4855" xr:uid="{00000000-0005-0000-0000-000032170000}"/>
    <cellStyle name="Normal 4 6" xfId="162" xr:uid="{00000000-0005-0000-0000-000033170000}"/>
    <cellStyle name="Normal 4 6 2" xfId="1385" xr:uid="{00000000-0005-0000-0000-000034170000}"/>
    <cellStyle name="Normal 4 6 2 2" xfId="1386" xr:uid="{00000000-0005-0000-0000-000035170000}"/>
    <cellStyle name="Normal 4 6 2 2 2" xfId="1387" xr:uid="{00000000-0005-0000-0000-000036170000}"/>
    <cellStyle name="Normal 4 6 2 2 2 2" xfId="2807" xr:uid="{00000000-0005-0000-0000-000037170000}"/>
    <cellStyle name="Normal 4 6 2 2 2 2 2" xfId="7284" xr:uid="{00000000-0005-0000-0000-000038170000}"/>
    <cellStyle name="Normal 4 6 2 2 2 3" xfId="4352" xr:uid="{00000000-0005-0000-0000-000039170000}"/>
    <cellStyle name="Normal 4 6 2 2 2 3 2" xfId="8815" xr:uid="{00000000-0005-0000-0000-00003A170000}"/>
    <cellStyle name="Normal 4 6 2 2 2 4" xfId="5564" xr:uid="{00000000-0005-0000-0000-00003B170000}"/>
    <cellStyle name="Normal 4 6 2 2 3" xfId="2808" xr:uid="{00000000-0005-0000-0000-00003C170000}"/>
    <cellStyle name="Normal 4 6 2 2 3 2" xfId="7285" xr:uid="{00000000-0005-0000-0000-00003D170000}"/>
    <cellStyle name="Normal 4 6 2 2 4" xfId="3649" xr:uid="{00000000-0005-0000-0000-00003E170000}"/>
    <cellStyle name="Normal 4 6 2 2 4 2" xfId="8115" xr:uid="{00000000-0005-0000-0000-00003F170000}"/>
    <cellStyle name="Normal 4 6 2 2 5" xfId="4861" xr:uid="{00000000-0005-0000-0000-000040170000}"/>
    <cellStyle name="Normal 4 6 2 3" xfId="1388" xr:uid="{00000000-0005-0000-0000-000041170000}"/>
    <cellStyle name="Normal 4 6 2 3 2" xfId="1389" xr:uid="{00000000-0005-0000-0000-000042170000}"/>
    <cellStyle name="Normal 4 6 2 3 2 2" xfId="2809" xr:uid="{00000000-0005-0000-0000-000043170000}"/>
    <cellStyle name="Normal 4 6 2 3 2 2 2" xfId="7286" xr:uid="{00000000-0005-0000-0000-000044170000}"/>
    <cellStyle name="Normal 4 6 2 3 2 3" xfId="6206" xr:uid="{00000000-0005-0000-0000-000045170000}"/>
    <cellStyle name="Normal 4 6 2 3 3" xfId="2810" xr:uid="{00000000-0005-0000-0000-000046170000}"/>
    <cellStyle name="Normal 4 6 2 3 3 2" xfId="7287" xr:uid="{00000000-0005-0000-0000-000047170000}"/>
    <cellStyle name="Normal 4 6 2 3 4" xfId="4009" xr:uid="{00000000-0005-0000-0000-000048170000}"/>
    <cellStyle name="Normal 4 6 2 3 4 2" xfId="8475" xr:uid="{00000000-0005-0000-0000-000049170000}"/>
    <cellStyle name="Normal 4 6 2 3 5" xfId="5221" xr:uid="{00000000-0005-0000-0000-00004A170000}"/>
    <cellStyle name="Normal 4 6 2 4" xfId="1390" xr:uid="{00000000-0005-0000-0000-00004B170000}"/>
    <cellStyle name="Normal 4 6 2 4 2" xfId="2811" xr:uid="{00000000-0005-0000-0000-00004C170000}"/>
    <cellStyle name="Normal 4 6 2 4 2 2" xfId="7288" xr:uid="{00000000-0005-0000-0000-00004D170000}"/>
    <cellStyle name="Normal 4 6 2 4 3" xfId="6207" xr:uid="{00000000-0005-0000-0000-00004E170000}"/>
    <cellStyle name="Normal 4 6 2 5" xfId="2812" xr:uid="{00000000-0005-0000-0000-00004F170000}"/>
    <cellStyle name="Normal 4 6 2 5 2" xfId="7289" xr:uid="{00000000-0005-0000-0000-000050170000}"/>
    <cellStyle name="Normal 4 6 2 6" xfId="3648" xr:uid="{00000000-0005-0000-0000-000051170000}"/>
    <cellStyle name="Normal 4 6 2 6 2" xfId="8114" xr:uid="{00000000-0005-0000-0000-000052170000}"/>
    <cellStyle name="Normal 4 6 2 7" xfId="4860" xr:uid="{00000000-0005-0000-0000-000053170000}"/>
    <cellStyle name="Normal 4 6 3" xfId="1391" xr:uid="{00000000-0005-0000-0000-000054170000}"/>
    <cellStyle name="Normal 4 6 3 2" xfId="1392" xr:uid="{00000000-0005-0000-0000-000055170000}"/>
    <cellStyle name="Normal 4 6 3 2 2" xfId="2813" xr:uid="{00000000-0005-0000-0000-000056170000}"/>
    <cellStyle name="Normal 4 6 3 2 2 2" xfId="7290" xr:uid="{00000000-0005-0000-0000-000057170000}"/>
    <cellStyle name="Normal 4 6 3 2 3" xfId="4353" xr:uid="{00000000-0005-0000-0000-000058170000}"/>
    <cellStyle name="Normal 4 6 3 2 3 2" xfId="8816" xr:uid="{00000000-0005-0000-0000-000059170000}"/>
    <cellStyle name="Normal 4 6 3 2 4" xfId="5565" xr:uid="{00000000-0005-0000-0000-00005A170000}"/>
    <cellStyle name="Normal 4 6 3 3" xfId="2814" xr:uid="{00000000-0005-0000-0000-00005B170000}"/>
    <cellStyle name="Normal 4 6 3 3 2" xfId="7291" xr:uid="{00000000-0005-0000-0000-00005C170000}"/>
    <cellStyle name="Normal 4 6 3 4" xfId="3650" xr:uid="{00000000-0005-0000-0000-00005D170000}"/>
    <cellStyle name="Normal 4 6 3 4 2" xfId="8116" xr:uid="{00000000-0005-0000-0000-00005E170000}"/>
    <cellStyle name="Normal 4 6 3 5" xfId="4862" xr:uid="{00000000-0005-0000-0000-00005F170000}"/>
    <cellStyle name="Normal 4 6 4" xfId="1393" xr:uid="{00000000-0005-0000-0000-000060170000}"/>
    <cellStyle name="Normal 4 6 4 2" xfId="1394" xr:uid="{00000000-0005-0000-0000-000061170000}"/>
    <cellStyle name="Normal 4 6 4 2 2" xfId="2815" xr:uid="{00000000-0005-0000-0000-000062170000}"/>
    <cellStyle name="Normal 4 6 4 2 2 2" xfId="7292" xr:uid="{00000000-0005-0000-0000-000063170000}"/>
    <cellStyle name="Normal 4 6 4 2 3" xfId="6208" xr:uid="{00000000-0005-0000-0000-000064170000}"/>
    <cellStyle name="Normal 4 6 4 3" xfId="2816" xr:uid="{00000000-0005-0000-0000-000065170000}"/>
    <cellStyle name="Normal 4 6 4 3 2" xfId="7293" xr:uid="{00000000-0005-0000-0000-000066170000}"/>
    <cellStyle name="Normal 4 6 4 4" xfId="4008" xr:uid="{00000000-0005-0000-0000-000067170000}"/>
    <cellStyle name="Normal 4 6 4 4 2" xfId="8474" xr:uid="{00000000-0005-0000-0000-000068170000}"/>
    <cellStyle name="Normal 4 6 4 5" xfId="5220" xr:uid="{00000000-0005-0000-0000-000069170000}"/>
    <cellStyle name="Normal 4 6 5" xfId="1395" xr:uid="{00000000-0005-0000-0000-00006A170000}"/>
    <cellStyle name="Normal 4 6 5 2" xfId="2817" xr:uid="{00000000-0005-0000-0000-00006B170000}"/>
    <cellStyle name="Normal 4 6 5 2 2" xfId="7294" xr:uid="{00000000-0005-0000-0000-00006C170000}"/>
    <cellStyle name="Normal 4 6 5 3" xfId="6209" xr:uid="{00000000-0005-0000-0000-00006D170000}"/>
    <cellStyle name="Normal 4 6 6" xfId="378" xr:uid="{00000000-0005-0000-0000-00006E170000}"/>
    <cellStyle name="Normal 4 6 6 2" xfId="6098" xr:uid="{00000000-0005-0000-0000-00006F170000}"/>
    <cellStyle name="Normal 4 6 7" xfId="3647" xr:uid="{00000000-0005-0000-0000-000070170000}"/>
    <cellStyle name="Normal 4 6 7 2" xfId="8113" xr:uid="{00000000-0005-0000-0000-000071170000}"/>
    <cellStyle name="Normal 4 6 8" xfId="4859" xr:uid="{00000000-0005-0000-0000-000072170000}"/>
    <cellStyle name="Normal 4 7" xfId="1396" xr:uid="{00000000-0005-0000-0000-000073170000}"/>
    <cellStyle name="Normal 4 7 2" xfId="1397" xr:uid="{00000000-0005-0000-0000-000074170000}"/>
    <cellStyle name="Normal 4 7 2 2" xfId="1398" xr:uid="{00000000-0005-0000-0000-000075170000}"/>
    <cellStyle name="Normal 4 7 2 2 2" xfId="2818" xr:uid="{00000000-0005-0000-0000-000076170000}"/>
    <cellStyle name="Normal 4 7 2 2 2 2" xfId="7295" xr:uid="{00000000-0005-0000-0000-000077170000}"/>
    <cellStyle name="Normal 4 7 2 2 3" xfId="4354" xr:uid="{00000000-0005-0000-0000-000078170000}"/>
    <cellStyle name="Normal 4 7 2 2 3 2" xfId="8817" xr:uid="{00000000-0005-0000-0000-000079170000}"/>
    <cellStyle name="Normal 4 7 2 2 4" xfId="5566" xr:uid="{00000000-0005-0000-0000-00007A170000}"/>
    <cellStyle name="Normal 4 7 2 3" xfId="2819" xr:uid="{00000000-0005-0000-0000-00007B170000}"/>
    <cellStyle name="Normal 4 7 2 3 2" xfId="7296" xr:uid="{00000000-0005-0000-0000-00007C170000}"/>
    <cellStyle name="Normal 4 7 2 4" xfId="3652" xr:uid="{00000000-0005-0000-0000-00007D170000}"/>
    <cellStyle name="Normal 4 7 2 4 2" xfId="8118" xr:uid="{00000000-0005-0000-0000-00007E170000}"/>
    <cellStyle name="Normal 4 7 2 5" xfId="4864" xr:uid="{00000000-0005-0000-0000-00007F170000}"/>
    <cellStyle name="Normal 4 7 3" xfId="1399" xr:uid="{00000000-0005-0000-0000-000080170000}"/>
    <cellStyle name="Normal 4 7 3 2" xfId="1400" xr:uid="{00000000-0005-0000-0000-000081170000}"/>
    <cellStyle name="Normal 4 7 3 2 2" xfId="2820" xr:uid="{00000000-0005-0000-0000-000082170000}"/>
    <cellStyle name="Normal 4 7 3 2 2 2" xfId="7297" xr:uid="{00000000-0005-0000-0000-000083170000}"/>
    <cellStyle name="Normal 4 7 3 2 3" xfId="6210" xr:uid="{00000000-0005-0000-0000-000084170000}"/>
    <cellStyle name="Normal 4 7 3 3" xfId="2821" xr:uid="{00000000-0005-0000-0000-000085170000}"/>
    <cellStyle name="Normal 4 7 3 3 2" xfId="7298" xr:uid="{00000000-0005-0000-0000-000086170000}"/>
    <cellStyle name="Normal 4 7 3 4" xfId="4010" xr:uid="{00000000-0005-0000-0000-000087170000}"/>
    <cellStyle name="Normal 4 7 3 4 2" xfId="8476" xr:uid="{00000000-0005-0000-0000-000088170000}"/>
    <cellStyle name="Normal 4 7 3 5" xfId="5222" xr:uid="{00000000-0005-0000-0000-000089170000}"/>
    <cellStyle name="Normal 4 7 4" xfId="1401" xr:uid="{00000000-0005-0000-0000-00008A170000}"/>
    <cellStyle name="Normal 4 7 4 2" xfId="2822" xr:uid="{00000000-0005-0000-0000-00008B170000}"/>
    <cellStyle name="Normal 4 7 4 2 2" xfId="7299" xr:uid="{00000000-0005-0000-0000-00008C170000}"/>
    <cellStyle name="Normal 4 7 4 3" xfId="6211" xr:uid="{00000000-0005-0000-0000-00008D170000}"/>
    <cellStyle name="Normal 4 7 5" xfId="2823" xr:uid="{00000000-0005-0000-0000-00008E170000}"/>
    <cellStyle name="Normal 4 7 5 2" xfId="7300" xr:uid="{00000000-0005-0000-0000-00008F170000}"/>
    <cellStyle name="Normal 4 7 6" xfId="3651" xr:uid="{00000000-0005-0000-0000-000090170000}"/>
    <cellStyle name="Normal 4 7 6 2" xfId="8117" xr:uid="{00000000-0005-0000-0000-000091170000}"/>
    <cellStyle name="Normal 4 7 7" xfId="4863" xr:uid="{00000000-0005-0000-0000-000092170000}"/>
    <cellStyle name="Normal 4 8" xfId="1402" xr:uid="{00000000-0005-0000-0000-000093170000}"/>
    <cellStyle name="Normal 4 8 2" xfId="1403" xr:uid="{00000000-0005-0000-0000-000094170000}"/>
    <cellStyle name="Normal 4 8 2 2" xfId="2824" xr:uid="{00000000-0005-0000-0000-000095170000}"/>
    <cellStyle name="Normal 4 8 2 2 2" xfId="7301" xr:uid="{00000000-0005-0000-0000-000096170000}"/>
    <cellStyle name="Normal 4 8 2 3" xfId="4356" xr:uid="{00000000-0005-0000-0000-000097170000}"/>
    <cellStyle name="Normal 4 8 2 3 2" xfId="8819" xr:uid="{00000000-0005-0000-0000-000098170000}"/>
    <cellStyle name="Normal 4 8 2 4" xfId="5568" xr:uid="{00000000-0005-0000-0000-000099170000}"/>
    <cellStyle name="Normal 4 8 3" xfId="2825" xr:uid="{00000000-0005-0000-0000-00009A170000}"/>
    <cellStyle name="Normal 4 8 3 2" xfId="4355" xr:uid="{00000000-0005-0000-0000-00009B170000}"/>
    <cellStyle name="Normal 4 8 3 2 2" xfId="8818" xr:uid="{00000000-0005-0000-0000-00009C170000}"/>
    <cellStyle name="Normal 4 8 3 3" xfId="5567" xr:uid="{00000000-0005-0000-0000-00009D170000}"/>
    <cellStyle name="Normal 4 8 4" xfId="3653" xr:uid="{00000000-0005-0000-0000-00009E170000}"/>
    <cellStyle name="Normal 4 8 4 2" xfId="8119" xr:uid="{00000000-0005-0000-0000-00009F170000}"/>
    <cellStyle name="Normal 4 8 5" xfId="4865" xr:uid="{00000000-0005-0000-0000-0000A0170000}"/>
    <cellStyle name="Normal 4 9" xfId="1404" xr:uid="{00000000-0005-0000-0000-0000A1170000}"/>
    <cellStyle name="Normal 4 9 2" xfId="1405" xr:uid="{00000000-0005-0000-0000-0000A2170000}"/>
    <cellStyle name="Normal 4 9 2 2" xfId="2826" xr:uid="{00000000-0005-0000-0000-0000A3170000}"/>
    <cellStyle name="Normal 4 9 2 2 2" xfId="7302" xr:uid="{00000000-0005-0000-0000-0000A4170000}"/>
    <cellStyle name="Normal 4 9 2 3" xfId="6212" xr:uid="{00000000-0005-0000-0000-0000A5170000}"/>
    <cellStyle name="Normal 4 9 3" xfId="2827" xr:uid="{00000000-0005-0000-0000-0000A6170000}"/>
    <cellStyle name="Normal 4 9 3 2" xfId="7303" xr:uid="{00000000-0005-0000-0000-0000A7170000}"/>
    <cellStyle name="Normal 4 9 4" xfId="4357" xr:uid="{00000000-0005-0000-0000-0000A8170000}"/>
    <cellStyle name="Normal 4 9 4 2" xfId="8820" xr:uid="{00000000-0005-0000-0000-0000A9170000}"/>
    <cellStyle name="Normal 4 9 5" xfId="5569" xr:uid="{00000000-0005-0000-0000-0000AA170000}"/>
    <cellStyle name="Normal 5" xfId="17" xr:uid="{00000000-0005-0000-0000-0000AB170000}"/>
    <cellStyle name="Normal 5 10" xfId="1869" xr:uid="{00000000-0005-0000-0000-0000AC170000}"/>
    <cellStyle name="Normal 5 10 2" xfId="3831" xr:uid="{00000000-0005-0000-0000-0000AD170000}"/>
    <cellStyle name="Normal 5 10 2 2" xfId="8297" xr:uid="{00000000-0005-0000-0000-0000AE170000}"/>
    <cellStyle name="Normal 5 10 3" xfId="5043" xr:uid="{00000000-0005-0000-0000-0000AF170000}"/>
    <cellStyle name="Normal 5 11" xfId="235" xr:uid="{00000000-0005-0000-0000-0000B0170000}"/>
    <cellStyle name="Normal 5 11 2" xfId="6139" xr:uid="{00000000-0005-0000-0000-0000B1170000}"/>
    <cellStyle name="Normal 5 12" xfId="3292" xr:uid="{00000000-0005-0000-0000-0000B2170000}"/>
    <cellStyle name="Normal 5 12 2" xfId="7758" xr:uid="{00000000-0005-0000-0000-0000B3170000}"/>
    <cellStyle name="Normal 5 13" xfId="4501" xr:uid="{00000000-0005-0000-0000-0000B4170000}"/>
    <cellStyle name="Normal 5 2" xfId="163" xr:uid="{00000000-0005-0000-0000-0000B5170000}"/>
    <cellStyle name="Normal 5 2 10" xfId="3654" xr:uid="{00000000-0005-0000-0000-0000B6170000}"/>
    <cellStyle name="Normal 5 2 10 2" xfId="8120" xr:uid="{00000000-0005-0000-0000-0000B7170000}"/>
    <cellStyle name="Normal 5 2 11" xfId="4866" xr:uid="{00000000-0005-0000-0000-0000B8170000}"/>
    <cellStyle name="Normal 5 2 2" xfId="164" xr:uid="{00000000-0005-0000-0000-0000B9170000}"/>
    <cellStyle name="Normal 5 2 2 2" xfId="165" xr:uid="{00000000-0005-0000-0000-0000BA170000}"/>
    <cellStyle name="Normal 5 2 2 2 2" xfId="166" xr:uid="{00000000-0005-0000-0000-0000BB170000}"/>
    <cellStyle name="Normal 5 2 2 2 2 2" xfId="1406" xr:uid="{00000000-0005-0000-0000-0000BC170000}"/>
    <cellStyle name="Normal 5 2 2 2 2 2 2" xfId="1407" xr:uid="{00000000-0005-0000-0000-0000BD170000}"/>
    <cellStyle name="Normal 5 2 2 2 2 2 2 2" xfId="2828" xr:uid="{00000000-0005-0000-0000-0000BE170000}"/>
    <cellStyle name="Normal 5 2 2 2 2 2 2 2 2" xfId="7304" xr:uid="{00000000-0005-0000-0000-0000BF170000}"/>
    <cellStyle name="Normal 5 2 2 2 2 2 2 3" xfId="4358" xr:uid="{00000000-0005-0000-0000-0000C0170000}"/>
    <cellStyle name="Normal 5 2 2 2 2 2 2 3 2" xfId="8821" xr:uid="{00000000-0005-0000-0000-0000C1170000}"/>
    <cellStyle name="Normal 5 2 2 2 2 2 2 4" xfId="5570" xr:uid="{00000000-0005-0000-0000-0000C2170000}"/>
    <cellStyle name="Normal 5 2 2 2 2 2 3" xfId="2829" xr:uid="{00000000-0005-0000-0000-0000C3170000}"/>
    <cellStyle name="Normal 5 2 2 2 2 2 3 2" xfId="7305" xr:uid="{00000000-0005-0000-0000-0000C4170000}"/>
    <cellStyle name="Normal 5 2 2 2 2 2 4" xfId="3658" xr:uid="{00000000-0005-0000-0000-0000C5170000}"/>
    <cellStyle name="Normal 5 2 2 2 2 2 4 2" xfId="8124" xr:uid="{00000000-0005-0000-0000-0000C6170000}"/>
    <cellStyle name="Normal 5 2 2 2 2 2 5" xfId="4870" xr:uid="{00000000-0005-0000-0000-0000C7170000}"/>
    <cellStyle name="Normal 5 2 2 2 2 3" xfId="1408" xr:uid="{00000000-0005-0000-0000-0000C8170000}"/>
    <cellStyle name="Normal 5 2 2 2 2 3 2" xfId="1409" xr:uid="{00000000-0005-0000-0000-0000C9170000}"/>
    <cellStyle name="Normal 5 2 2 2 2 3 2 2" xfId="2830" xr:uid="{00000000-0005-0000-0000-0000CA170000}"/>
    <cellStyle name="Normal 5 2 2 2 2 3 2 2 2" xfId="7306" xr:uid="{00000000-0005-0000-0000-0000CB170000}"/>
    <cellStyle name="Normal 5 2 2 2 2 3 2 3" xfId="6213" xr:uid="{00000000-0005-0000-0000-0000CC170000}"/>
    <cellStyle name="Normal 5 2 2 2 2 3 3" xfId="2831" xr:uid="{00000000-0005-0000-0000-0000CD170000}"/>
    <cellStyle name="Normal 5 2 2 2 2 3 3 2" xfId="7307" xr:uid="{00000000-0005-0000-0000-0000CE170000}"/>
    <cellStyle name="Normal 5 2 2 2 2 3 4" xfId="4014" xr:uid="{00000000-0005-0000-0000-0000CF170000}"/>
    <cellStyle name="Normal 5 2 2 2 2 3 4 2" xfId="8480" xr:uid="{00000000-0005-0000-0000-0000D0170000}"/>
    <cellStyle name="Normal 5 2 2 2 2 3 5" xfId="5226" xr:uid="{00000000-0005-0000-0000-0000D1170000}"/>
    <cellStyle name="Normal 5 2 2 2 2 4" xfId="1410" xr:uid="{00000000-0005-0000-0000-0000D2170000}"/>
    <cellStyle name="Normal 5 2 2 2 2 4 2" xfId="2832" xr:uid="{00000000-0005-0000-0000-0000D3170000}"/>
    <cellStyle name="Normal 5 2 2 2 2 4 2 2" xfId="7308" xr:uid="{00000000-0005-0000-0000-0000D4170000}"/>
    <cellStyle name="Normal 5 2 2 2 2 4 3" xfId="6214" xr:uid="{00000000-0005-0000-0000-0000D5170000}"/>
    <cellStyle name="Normal 5 2 2 2 2 5" xfId="382" xr:uid="{00000000-0005-0000-0000-0000D6170000}"/>
    <cellStyle name="Normal 5 2 2 2 2 5 2" xfId="6097" xr:uid="{00000000-0005-0000-0000-0000D7170000}"/>
    <cellStyle name="Normal 5 2 2 2 2 6" xfId="3657" xr:uid="{00000000-0005-0000-0000-0000D8170000}"/>
    <cellStyle name="Normal 5 2 2 2 2 6 2" xfId="8123" xr:uid="{00000000-0005-0000-0000-0000D9170000}"/>
    <cellStyle name="Normal 5 2 2 2 2 7" xfId="4869" xr:uid="{00000000-0005-0000-0000-0000DA170000}"/>
    <cellStyle name="Normal 5 2 2 2 3" xfId="1411" xr:uid="{00000000-0005-0000-0000-0000DB170000}"/>
    <cellStyle name="Normal 5 2 2 2 3 2" xfId="1412" xr:uid="{00000000-0005-0000-0000-0000DC170000}"/>
    <cellStyle name="Normal 5 2 2 2 3 2 2" xfId="2833" xr:uid="{00000000-0005-0000-0000-0000DD170000}"/>
    <cellStyle name="Normal 5 2 2 2 3 2 2 2" xfId="7309" xr:uid="{00000000-0005-0000-0000-0000DE170000}"/>
    <cellStyle name="Normal 5 2 2 2 3 2 3" xfId="4359" xr:uid="{00000000-0005-0000-0000-0000DF170000}"/>
    <cellStyle name="Normal 5 2 2 2 3 2 3 2" xfId="8822" xr:uid="{00000000-0005-0000-0000-0000E0170000}"/>
    <cellStyle name="Normal 5 2 2 2 3 2 4" xfId="5571" xr:uid="{00000000-0005-0000-0000-0000E1170000}"/>
    <cellStyle name="Normal 5 2 2 2 3 3" xfId="2834" xr:uid="{00000000-0005-0000-0000-0000E2170000}"/>
    <cellStyle name="Normal 5 2 2 2 3 3 2" xfId="7310" xr:uid="{00000000-0005-0000-0000-0000E3170000}"/>
    <cellStyle name="Normal 5 2 2 2 3 4" xfId="3659" xr:uid="{00000000-0005-0000-0000-0000E4170000}"/>
    <cellStyle name="Normal 5 2 2 2 3 4 2" xfId="8125" xr:uid="{00000000-0005-0000-0000-0000E5170000}"/>
    <cellStyle name="Normal 5 2 2 2 3 5" xfId="4871" xr:uid="{00000000-0005-0000-0000-0000E6170000}"/>
    <cellStyle name="Normal 5 2 2 2 4" xfId="1413" xr:uid="{00000000-0005-0000-0000-0000E7170000}"/>
    <cellStyle name="Normal 5 2 2 2 4 2" xfId="1414" xr:uid="{00000000-0005-0000-0000-0000E8170000}"/>
    <cellStyle name="Normal 5 2 2 2 4 2 2" xfId="2835" xr:uid="{00000000-0005-0000-0000-0000E9170000}"/>
    <cellStyle name="Normal 5 2 2 2 4 2 2 2" xfId="7311" xr:uid="{00000000-0005-0000-0000-0000EA170000}"/>
    <cellStyle name="Normal 5 2 2 2 4 2 3" xfId="6215" xr:uid="{00000000-0005-0000-0000-0000EB170000}"/>
    <cellStyle name="Normal 5 2 2 2 4 3" xfId="2836" xr:uid="{00000000-0005-0000-0000-0000EC170000}"/>
    <cellStyle name="Normal 5 2 2 2 4 3 2" xfId="7312" xr:uid="{00000000-0005-0000-0000-0000ED170000}"/>
    <cellStyle name="Normal 5 2 2 2 4 4" xfId="4013" xr:uid="{00000000-0005-0000-0000-0000EE170000}"/>
    <cellStyle name="Normal 5 2 2 2 4 4 2" xfId="8479" xr:uid="{00000000-0005-0000-0000-0000EF170000}"/>
    <cellStyle name="Normal 5 2 2 2 4 5" xfId="5225" xr:uid="{00000000-0005-0000-0000-0000F0170000}"/>
    <cellStyle name="Normal 5 2 2 2 5" xfId="1415" xr:uid="{00000000-0005-0000-0000-0000F1170000}"/>
    <cellStyle name="Normal 5 2 2 2 5 2" xfId="2837" xr:uid="{00000000-0005-0000-0000-0000F2170000}"/>
    <cellStyle name="Normal 5 2 2 2 5 2 2" xfId="7313" xr:uid="{00000000-0005-0000-0000-0000F3170000}"/>
    <cellStyle name="Normal 5 2 2 2 5 3" xfId="6216" xr:uid="{00000000-0005-0000-0000-0000F4170000}"/>
    <cellStyle name="Normal 5 2 2 2 6" xfId="381" xr:uid="{00000000-0005-0000-0000-0000F5170000}"/>
    <cellStyle name="Normal 5 2 2 2 6 2" xfId="5968" xr:uid="{00000000-0005-0000-0000-0000F6170000}"/>
    <cellStyle name="Normal 5 2 2 2 7" xfId="3656" xr:uid="{00000000-0005-0000-0000-0000F7170000}"/>
    <cellStyle name="Normal 5 2 2 2 7 2" xfId="8122" xr:uid="{00000000-0005-0000-0000-0000F8170000}"/>
    <cellStyle name="Normal 5 2 2 2 8" xfId="4868" xr:uid="{00000000-0005-0000-0000-0000F9170000}"/>
    <cellStyle name="Normal 5 2 2 3" xfId="167" xr:uid="{00000000-0005-0000-0000-0000FA170000}"/>
    <cellStyle name="Normal 5 2 2 3 2" xfId="1416" xr:uid="{00000000-0005-0000-0000-0000FB170000}"/>
    <cellStyle name="Normal 5 2 2 3 2 2" xfId="1417" xr:uid="{00000000-0005-0000-0000-0000FC170000}"/>
    <cellStyle name="Normal 5 2 2 3 2 2 2" xfId="2838" xr:uid="{00000000-0005-0000-0000-0000FD170000}"/>
    <cellStyle name="Normal 5 2 2 3 2 2 2 2" xfId="7314" xr:uid="{00000000-0005-0000-0000-0000FE170000}"/>
    <cellStyle name="Normal 5 2 2 3 2 2 3" xfId="4360" xr:uid="{00000000-0005-0000-0000-0000FF170000}"/>
    <cellStyle name="Normal 5 2 2 3 2 2 3 2" xfId="8823" xr:uid="{00000000-0005-0000-0000-000000180000}"/>
    <cellStyle name="Normal 5 2 2 3 2 2 4" xfId="5572" xr:uid="{00000000-0005-0000-0000-000001180000}"/>
    <cellStyle name="Normal 5 2 2 3 2 3" xfId="2839" xr:uid="{00000000-0005-0000-0000-000002180000}"/>
    <cellStyle name="Normal 5 2 2 3 2 3 2" xfId="7315" xr:uid="{00000000-0005-0000-0000-000003180000}"/>
    <cellStyle name="Normal 5 2 2 3 2 4" xfId="3661" xr:uid="{00000000-0005-0000-0000-000004180000}"/>
    <cellStyle name="Normal 5 2 2 3 2 4 2" xfId="8127" xr:uid="{00000000-0005-0000-0000-000005180000}"/>
    <cellStyle name="Normal 5 2 2 3 2 5" xfId="4873" xr:uid="{00000000-0005-0000-0000-000006180000}"/>
    <cellStyle name="Normal 5 2 2 3 3" xfId="1418" xr:uid="{00000000-0005-0000-0000-000007180000}"/>
    <cellStyle name="Normal 5 2 2 3 3 2" xfId="1419" xr:uid="{00000000-0005-0000-0000-000008180000}"/>
    <cellStyle name="Normal 5 2 2 3 3 2 2" xfId="2840" xr:uid="{00000000-0005-0000-0000-000009180000}"/>
    <cellStyle name="Normal 5 2 2 3 3 2 2 2" xfId="7316" xr:uid="{00000000-0005-0000-0000-00000A180000}"/>
    <cellStyle name="Normal 5 2 2 3 3 2 3" xfId="6217" xr:uid="{00000000-0005-0000-0000-00000B180000}"/>
    <cellStyle name="Normal 5 2 2 3 3 3" xfId="2841" xr:uid="{00000000-0005-0000-0000-00000C180000}"/>
    <cellStyle name="Normal 5 2 2 3 3 3 2" xfId="7317" xr:uid="{00000000-0005-0000-0000-00000D180000}"/>
    <cellStyle name="Normal 5 2 2 3 3 4" xfId="4015" xr:uid="{00000000-0005-0000-0000-00000E180000}"/>
    <cellStyle name="Normal 5 2 2 3 3 4 2" xfId="8481" xr:uid="{00000000-0005-0000-0000-00000F180000}"/>
    <cellStyle name="Normal 5 2 2 3 3 5" xfId="5227" xr:uid="{00000000-0005-0000-0000-000010180000}"/>
    <cellStyle name="Normal 5 2 2 3 4" xfId="1420" xr:uid="{00000000-0005-0000-0000-000011180000}"/>
    <cellStyle name="Normal 5 2 2 3 4 2" xfId="2842" xr:uid="{00000000-0005-0000-0000-000012180000}"/>
    <cellStyle name="Normal 5 2 2 3 4 2 2" xfId="7318" xr:uid="{00000000-0005-0000-0000-000013180000}"/>
    <cellStyle name="Normal 5 2 2 3 4 3" xfId="6218" xr:uid="{00000000-0005-0000-0000-000014180000}"/>
    <cellStyle name="Normal 5 2 2 3 5" xfId="383" xr:uid="{00000000-0005-0000-0000-000015180000}"/>
    <cellStyle name="Normal 5 2 2 3 5 2" xfId="5844" xr:uid="{00000000-0005-0000-0000-000016180000}"/>
    <cellStyle name="Normal 5 2 2 3 6" xfId="3660" xr:uid="{00000000-0005-0000-0000-000017180000}"/>
    <cellStyle name="Normal 5 2 2 3 6 2" xfId="8126" xr:uid="{00000000-0005-0000-0000-000018180000}"/>
    <cellStyle name="Normal 5 2 2 3 7" xfId="4872" xr:uid="{00000000-0005-0000-0000-000019180000}"/>
    <cellStyle name="Normal 5 2 2 4" xfId="1421" xr:uid="{00000000-0005-0000-0000-00001A180000}"/>
    <cellStyle name="Normal 5 2 2 4 2" xfId="1422" xr:uid="{00000000-0005-0000-0000-00001B180000}"/>
    <cellStyle name="Normal 5 2 2 4 2 2" xfId="2843" xr:uid="{00000000-0005-0000-0000-00001C180000}"/>
    <cellStyle name="Normal 5 2 2 4 2 2 2" xfId="7319" xr:uid="{00000000-0005-0000-0000-00001D180000}"/>
    <cellStyle name="Normal 5 2 2 4 2 3" xfId="4362" xr:uid="{00000000-0005-0000-0000-00001E180000}"/>
    <cellStyle name="Normal 5 2 2 4 2 3 2" xfId="8825" xr:uid="{00000000-0005-0000-0000-00001F180000}"/>
    <cellStyle name="Normal 5 2 2 4 2 4" xfId="5574" xr:uid="{00000000-0005-0000-0000-000020180000}"/>
    <cellStyle name="Normal 5 2 2 4 3" xfId="2844" xr:uid="{00000000-0005-0000-0000-000021180000}"/>
    <cellStyle name="Normal 5 2 2 4 3 2" xfId="4361" xr:uid="{00000000-0005-0000-0000-000022180000}"/>
    <cellStyle name="Normal 5 2 2 4 3 2 2" xfId="8824" xr:uid="{00000000-0005-0000-0000-000023180000}"/>
    <cellStyle name="Normal 5 2 2 4 3 3" xfId="5573" xr:uid="{00000000-0005-0000-0000-000024180000}"/>
    <cellStyle name="Normal 5 2 2 4 4" xfId="3662" xr:uid="{00000000-0005-0000-0000-000025180000}"/>
    <cellStyle name="Normal 5 2 2 4 4 2" xfId="8128" xr:uid="{00000000-0005-0000-0000-000026180000}"/>
    <cellStyle name="Normal 5 2 2 4 5" xfId="4874" xr:uid="{00000000-0005-0000-0000-000027180000}"/>
    <cellStyle name="Normal 5 2 2 5" xfId="1423" xr:uid="{00000000-0005-0000-0000-000028180000}"/>
    <cellStyle name="Normal 5 2 2 5 2" xfId="1424" xr:uid="{00000000-0005-0000-0000-000029180000}"/>
    <cellStyle name="Normal 5 2 2 5 2 2" xfId="2845" xr:uid="{00000000-0005-0000-0000-00002A180000}"/>
    <cellStyle name="Normal 5 2 2 5 2 2 2" xfId="7320" xr:uid="{00000000-0005-0000-0000-00002B180000}"/>
    <cellStyle name="Normal 5 2 2 5 2 3" xfId="6219" xr:uid="{00000000-0005-0000-0000-00002C180000}"/>
    <cellStyle name="Normal 5 2 2 5 3" xfId="2846" xr:uid="{00000000-0005-0000-0000-00002D180000}"/>
    <cellStyle name="Normal 5 2 2 5 3 2" xfId="7321" xr:uid="{00000000-0005-0000-0000-00002E180000}"/>
    <cellStyle name="Normal 5 2 2 5 4" xfId="4363" xr:uid="{00000000-0005-0000-0000-00002F180000}"/>
    <cellStyle name="Normal 5 2 2 5 4 2" xfId="8826" xr:uid="{00000000-0005-0000-0000-000030180000}"/>
    <cellStyle name="Normal 5 2 2 5 5" xfId="5575" xr:uid="{00000000-0005-0000-0000-000031180000}"/>
    <cellStyle name="Normal 5 2 2 6" xfId="1425" xr:uid="{00000000-0005-0000-0000-000032180000}"/>
    <cellStyle name="Normal 5 2 2 6 2" xfId="2847" xr:uid="{00000000-0005-0000-0000-000033180000}"/>
    <cellStyle name="Normal 5 2 2 6 2 2" xfId="7322" xr:uid="{00000000-0005-0000-0000-000034180000}"/>
    <cellStyle name="Normal 5 2 2 6 3" xfId="4364" xr:uid="{00000000-0005-0000-0000-000035180000}"/>
    <cellStyle name="Normal 5 2 2 6 3 2" xfId="8827" xr:uid="{00000000-0005-0000-0000-000036180000}"/>
    <cellStyle name="Normal 5 2 2 6 4" xfId="5576" xr:uid="{00000000-0005-0000-0000-000037180000}"/>
    <cellStyle name="Normal 5 2 2 7" xfId="380" xr:uid="{00000000-0005-0000-0000-000038180000}"/>
    <cellStyle name="Normal 5 2 2 7 2" xfId="4012" xr:uid="{00000000-0005-0000-0000-000039180000}"/>
    <cellStyle name="Normal 5 2 2 7 2 2" xfId="8478" xr:uid="{00000000-0005-0000-0000-00003A180000}"/>
    <cellStyle name="Normal 5 2 2 7 3" xfId="5224" xr:uid="{00000000-0005-0000-0000-00003B180000}"/>
    <cellStyle name="Normal 5 2 2 8" xfId="3655" xr:uid="{00000000-0005-0000-0000-00003C180000}"/>
    <cellStyle name="Normal 5 2 2 8 2" xfId="8121" xr:uid="{00000000-0005-0000-0000-00003D180000}"/>
    <cellStyle name="Normal 5 2 2 9" xfId="4867" xr:uid="{00000000-0005-0000-0000-00003E180000}"/>
    <cellStyle name="Normal 5 2 3" xfId="168" xr:uid="{00000000-0005-0000-0000-00003F180000}"/>
    <cellStyle name="Normal 5 2 3 2" xfId="169" xr:uid="{00000000-0005-0000-0000-000040180000}"/>
    <cellStyle name="Normal 5 2 3 2 2" xfId="1426" xr:uid="{00000000-0005-0000-0000-000041180000}"/>
    <cellStyle name="Normal 5 2 3 2 2 2" xfId="1427" xr:uid="{00000000-0005-0000-0000-000042180000}"/>
    <cellStyle name="Normal 5 2 3 2 2 2 2" xfId="2848" xr:uid="{00000000-0005-0000-0000-000043180000}"/>
    <cellStyle name="Normal 5 2 3 2 2 2 2 2" xfId="7323" xr:uid="{00000000-0005-0000-0000-000044180000}"/>
    <cellStyle name="Normal 5 2 3 2 2 2 3" xfId="4365" xr:uid="{00000000-0005-0000-0000-000045180000}"/>
    <cellStyle name="Normal 5 2 3 2 2 2 3 2" xfId="8828" xr:uid="{00000000-0005-0000-0000-000046180000}"/>
    <cellStyle name="Normal 5 2 3 2 2 2 4" xfId="5577" xr:uid="{00000000-0005-0000-0000-000047180000}"/>
    <cellStyle name="Normal 5 2 3 2 2 3" xfId="2849" xr:uid="{00000000-0005-0000-0000-000048180000}"/>
    <cellStyle name="Normal 5 2 3 2 2 3 2" xfId="7324" xr:uid="{00000000-0005-0000-0000-000049180000}"/>
    <cellStyle name="Normal 5 2 3 2 2 4" xfId="3665" xr:uid="{00000000-0005-0000-0000-00004A180000}"/>
    <cellStyle name="Normal 5 2 3 2 2 4 2" xfId="8131" xr:uid="{00000000-0005-0000-0000-00004B180000}"/>
    <cellStyle name="Normal 5 2 3 2 2 5" xfId="4877" xr:uid="{00000000-0005-0000-0000-00004C180000}"/>
    <cellStyle name="Normal 5 2 3 2 3" xfId="1428" xr:uid="{00000000-0005-0000-0000-00004D180000}"/>
    <cellStyle name="Normal 5 2 3 2 3 2" xfId="1429" xr:uid="{00000000-0005-0000-0000-00004E180000}"/>
    <cellStyle name="Normal 5 2 3 2 3 2 2" xfId="2850" xr:uid="{00000000-0005-0000-0000-00004F180000}"/>
    <cellStyle name="Normal 5 2 3 2 3 2 2 2" xfId="7325" xr:uid="{00000000-0005-0000-0000-000050180000}"/>
    <cellStyle name="Normal 5 2 3 2 3 2 3" xfId="6220" xr:uid="{00000000-0005-0000-0000-000051180000}"/>
    <cellStyle name="Normal 5 2 3 2 3 3" xfId="2851" xr:uid="{00000000-0005-0000-0000-000052180000}"/>
    <cellStyle name="Normal 5 2 3 2 3 3 2" xfId="7326" xr:uid="{00000000-0005-0000-0000-000053180000}"/>
    <cellStyle name="Normal 5 2 3 2 3 4" xfId="4017" xr:uid="{00000000-0005-0000-0000-000054180000}"/>
    <cellStyle name="Normal 5 2 3 2 3 4 2" xfId="8483" xr:uid="{00000000-0005-0000-0000-000055180000}"/>
    <cellStyle name="Normal 5 2 3 2 3 5" xfId="5229" xr:uid="{00000000-0005-0000-0000-000056180000}"/>
    <cellStyle name="Normal 5 2 3 2 4" xfId="1430" xr:uid="{00000000-0005-0000-0000-000057180000}"/>
    <cellStyle name="Normal 5 2 3 2 4 2" xfId="2852" xr:uid="{00000000-0005-0000-0000-000058180000}"/>
    <cellStyle name="Normal 5 2 3 2 4 2 2" xfId="7327" xr:uid="{00000000-0005-0000-0000-000059180000}"/>
    <cellStyle name="Normal 5 2 3 2 4 3" xfId="6221" xr:uid="{00000000-0005-0000-0000-00005A180000}"/>
    <cellStyle name="Normal 5 2 3 2 5" xfId="385" xr:uid="{00000000-0005-0000-0000-00005B180000}"/>
    <cellStyle name="Normal 5 2 3 2 5 2" xfId="6096" xr:uid="{00000000-0005-0000-0000-00005C180000}"/>
    <cellStyle name="Normal 5 2 3 2 6" xfId="3664" xr:uid="{00000000-0005-0000-0000-00005D180000}"/>
    <cellStyle name="Normal 5 2 3 2 6 2" xfId="8130" xr:uid="{00000000-0005-0000-0000-00005E180000}"/>
    <cellStyle name="Normal 5 2 3 2 7" xfId="4876" xr:uid="{00000000-0005-0000-0000-00005F180000}"/>
    <cellStyle name="Normal 5 2 3 3" xfId="1431" xr:uid="{00000000-0005-0000-0000-000060180000}"/>
    <cellStyle name="Normal 5 2 3 3 2" xfId="1432" xr:uid="{00000000-0005-0000-0000-000061180000}"/>
    <cellStyle name="Normal 5 2 3 3 2 2" xfId="2853" xr:uid="{00000000-0005-0000-0000-000062180000}"/>
    <cellStyle name="Normal 5 2 3 3 2 2 2" xfId="7328" xr:uid="{00000000-0005-0000-0000-000063180000}"/>
    <cellStyle name="Normal 5 2 3 3 2 3" xfId="4366" xr:uid="{00000000-0005-0000-0000-000064180000}"/>
    <cellStyle name="Normal 5 2 3 3 2 3 2" xfId="8829" xr:uid="{00000000-0005-0000-0000-000065180000}"/>
    <cellStyle name="Normal 5 2 3 3 2 4" xfId="5578" xr:uid="{00000000-0005-0000-0000-000066180000}"/>
    <cellStyle name="Normal 5 2 3 3 3" xfId="2854" xr:uid="{00000000-0005-0000-0000-000067180000}"/>
    <cellStyle name="Normal 5 2 3 3 3 2" xfId="7329" xr:uid="{00000000-0005-0000-0000-000068180000}"/>
    <cellStyle name="Normal 5 2 3 3 4" xfId="3666" xr:uid="{00000000-0005-0000-0000-000069180000}"/>
    <cellStyle name="Normal 5 2 3 3 4 2" xfId="8132" xr:uid="{00000000-0005-0000-0000-00006A180000}"/>
    <cellStyle name="Normal 5 2 3 3 5" xfId="4878" xr:uid="{00000000-0005-0000-0000-00006B180000}"/>
    <cellStyle name="Normal 5 2 3 4" xfId="1433" xr:uid="{00000000-0005-0000-0000-00006C180000}"/>
    <cellStyle name="Normal 5 2 3 4 2" xfId="1434" xr:uid="{00000000-0005-0000-0000-00006D180000}"/>
    <cellStyle name="Normal 5 2 3 4 2 2" xfId="2855" xr:uid="{00000000-0005-0000-0000-00006E180000}"/>
    <cellStyle name="Normal 5 2 3 4 2 2 2" xfId="7330" xr:uid="{00000000-0005-0000-0000-00006F180000}"/>
    <cellStyle name="Normal 5 2 3 4 2 3" xfId="6222" xr:uid="{00000000-0005-0000-0000-000070180000}"/>
    <cellStyle name="Normal 5 2 3 4 3" xfId="2856" xr:uid="{00000000-0005-0000-0000-000071180000}"/>
    <cellStyle name="Normal 5 2 3 4 3 2" xfId="7331" xr:uid="{00000000-0005-0000-0000-000072180000}"/>
    <cellStyle name="Normal 5 2 3 4 4" xfId="4016" xr:uid="{00000000-0005-0000-0000-000073180000}"/>
    <cellStyle name="Normal 5 2 3 4 4 2" xfId="8482" xr:uid="{00000000-0005-0000-0000-000074180000}"/>
    <cellStyle name="Normal 5 2 3 4 5" xfId="5228" xr:uid="{00000000-0005-0000-0000-000075180000}"/>
    <cellStyle name="Normal 5 2 3 5" xfId="1435" xr:uid="{00000000-0005-0000-0000-000076180000}"/>
    <cellStyle name="Normal 5 2 3 5 2" xfId="2857" xr:uid="{00000000-0005-0000-0000-000077180000}"/>
    <cellStyle name="Normal 5 2 3 5 2 2" xfId="7332" xr:uid="{00000000-0005-0000-0000-000078180000}"/>
    <cellStyle name="Normal 5 2 3 5 3" xfId="6223" xr:uid="{00000000-0005-0000-0000-000079180000}"/>
    <cellStyle name="Normal 5 2 3 6" xfId="384" xr:uid="{00000000-0005-0000-0000-00007A180000}"/>
    <cellStyle name="Normal 5 2 3 6 2" xfId="5969" xr:uid="{00000000-0005-0000-0000-00007B180000}"/>
    <cellStyle name="Normal 5 2 3 7" xfId="3663" xr:uid="{00000000-0005-0000-0000-00007C180000}"/>
    <cellStyle name="Normal 5 2 3 7 2" xfId="8129" xr:uid="{00000000-0005-0000-0000-00007D180000}"/>
    <cellStyle name="Normal 5 2 3 8" xfId="4875" xr:uid="{00000000-0005-0000-0000-00007E180000}"/>
    <cellStyle name="Normal 5 2 4" xfId="170" xr:uid="{00000000-0005-0000-0000-00007F180000}"/>
    <cellStyle name="Normal 5 2 4 2" xfId="1436" xr:uid="{00000000-0005-0000-0000-000080180000}"/>
    <cellStyle name="Normal 5 2 4 2 2" xfId="1437" xr:uid="{00000000-0005-0000-0000-000081180000}"/>
    <cellStyle name="Normal 5 2 4 2 2 2" xfId="1438" xr:uid="{00000000-0005-0000-0000-000082180000}"/>
    <cellStyle name="Normal 5 2 4 2 2 2 2" xfId="2858" xr:uid="{00000000-0005-0000-0000-000083180000}"/>
    <cellStyle name="Normal 5 2 4 2 2 2 2 2" xfId="7333" xr:uid="{00000000-0005-0000-0000-000084180000}"/>
    <cellStyle name="Normal 5 2 4 2 2 2 3" xfId="4367" xr:uid="{00000000-0005-0000-0000-000085180000}"/>
    <cellStyle name="Normal 5 2 4 2 2 2 3 2" xfId="8830" xr:uid="{00000000-0005-0000-0000-000086180000}"/>
    <cellStyle name="Normal 5 2 4 2 2 2 4" xfId="5579" xr:uid="{00000000-0005-0000-0000-000087180000}"/>
    <cellStyle name="Normal 5 2 4 2 2 3" xfId="2859" xr:uid="{00000000-0005-0000-0000-000088180000}"/>
    <cellStyle name="Normal 5 2 4 2 2 3 2" xfId="7334" xr:uid="{00000000-0005-0000-0000-000089180000}"/>
    <cellStyle name="Normal 5 2 4 2 2 4" xfId="3669" xr:uid="{00000000-0005-0000-0000-00008A180000}"/>
    <cellStyle name="Normal 5 2 4 2 2 4 2" xfId="8135" xr:uid="{00000000-0005-0000-0000-00008B180000}"/>
    <cellStyle name="Normal 5 2 4 2 2 5" xfId="4881" xr:uid="{00000000-0005-0000-0000-00008C180000}"/>
    <cellStyle name="Normal 5 2 4 2 3" xfId="1439" xr:uid="{00000000-0005-0000-0000-00008D180000}"/>
    <cellStyle name="Normal 5 2 4 2 3 2" xfId="1440" xr:uid="{00000000-0005-0000-0000-00008E180000}"/>
    <cellStyle name="Normal 5 2 4 2 3 2 2" xfId="2860" xr:uid="{00000000-0005-0000-0000-00008F180000}"/>
    <cellStyle name="Normal 5 2 4 2 3 2 2 2" xfId="7335" xr:uid="{00000000-0005-0000-0000-000090180000}"/>
    <cellStyle name="Normal 5 2 4 2 3 2 3" xfId="6224" xr:uid="{00000000-0005-0000-0000-000091180000}"/>
    <cellStyle name="Normal 5 2 4 2 3 3" xfId="2861" xr:uid="{00000000-0005-0000-0000-000092180000}"/>
    <cellStyle name="Normal 5 2 4 2 3 3 2" xfId="7336" xr:uid="{00000000-0005-0000-0000-000093180000}"/>
    <cellStyle name="Normal 5 2 4 2 3 4" xfId="4019" xr:uid="{00000000-0005-0000-0000-000094180000}"/>
    <cellStyle name="Normal 5 2 4 2 3 4 2" xfId="8485" xr:uid="{00000000-0005-0000-0000-000095180000}"/>
    <cellStyle name="Normal 5 2 4 2 3 5" xfId="5231" xr:uid="{00000000-0005-0000-0000-000096180000}"/>
    <cellStyle name="Normal 5 2 4 2 4" xfId="1441" xr:uid="{00000000-0005-0000-0000-000097180000}"/>
    <cellStyle name="Normal 5 2 4 2 4 2" xfId="2862" xr:uid="{00000000-0005-0000-0000-000098180000}"/>
    <cellStyle name="Normal 5 2 4 2 4 2 2" xfId="7337" xr:uid="{00000000-0005-0000-0000-000099180000}"/>
    <cellStyle name="Normal 5 2 4 2 4 3" xfId="6225" xr:uid="{00000000-0005-0000-0000-00009A180000}"/>
    <cellStyle name="Normal 5 2 4 2 5" xfId="2863" xr:uid="{00000000-0005-0000-0000-00009B180000}"/>
    <cellStyle name="Normal 5 2 4 2 5 2" xfId="7338" xr:uid="{00000000-0005-0000-0000-00009C180000}"/>
    <cellStyle name="Normal 5 2 4 2 6" xfId="3668" xr:uid="{00000000-0005-0000-0000-00009D180000}"/>
    <cellStyle name="Normal 5 2 4 2 6 2" xfId="8134" xr:uid="{00000000-0005-0000-0000-00009E180000}"/>
    <cellStyle name="Normal 5 2 4 2 7" xfId="4880" xr:uid="{00000000-0005-0000-0000-00009F180000}"/>
    <cellStyle name="Normal 5 2 4 3" xfId="1442" xr:uid="{00000000-0005-0000-0000-0000A0180000}"/>
    <cellStyle name="Normal 5 2 4 3 2" xfId="1443" xr:uid="{00000000-0005-0000-0000-0000A1180000}"/>
    <cellStyle name="Normal 5 2 4 3 2 2" xfId="2864" xr:uid="{00000000-0005-0000-0000-0000A2180000}"/>
    <cellStyle name="Normal 5 2 4 3 2 2 2" xfId="7339" xr:uid="{00000000-0005-0000-0000-0000A3180000}"/>
    <cellStyle name="Normal 5 2 4 3 2 3" xfId="4368" xr:uid="{00000000-0005-0000-0000-0000A4180000}"/>
    <cellStyle name="Normal 5 2 4 3 2 3 2" xfId="8831" xr:uid="{00000000-0005-0000-0000-0000A5180000}"/>
    <cellStyle name="Normal 5 2 4 3 2 4" xfId="5580" xr:uid="{00000000-0005-0000-0000-0000A6180000}"/>
    <cellStyle name="Normal 5 2 4 3 3" xfId="2865" xr:uid="{00000000-0005-0000-0000-0000A7180000}"/>
    <cellStyle name="Normal 5 2 4 3 3 2" xfId="7340" xr:uid="{00000000-0005-0000-0000-0000A8180000}"/>
    <cellStyle name="Normal 5 2 4 3 4" xfId="3670" xr:uid="{00000000-0005-0000-0000-0000A9180000}"/>
    <cellStyle name="Normal 5 2 4 3 4 2" xfId="8136" xr:uid="{00000000-0005-0000-0000-0000AA180000}"/>
    <cellStyle name="Normal 5 2 4 3 5" xfId="4882" xr:uid="{00000000-0005-0000-0000-0000AB180000}"/>
    <cellStyle name="Normal 5 2 4 4" xfId="1444" xr:uid="{00000000-0005-0000-0000-0000AC180000}"/>
    <cellStyle name="Normal 5 2 4 4 2" xfId="1445" xr:uid="{00000000-0005-0000-0000-0000AD180000}"/>
    <cellStyle name="Normal 5 2 4 4 2 2" xfId="2866" xr:uid="{00000000-0005-0000-0000-0000AE180000}"/>
    <cellStyle name="Normal 5 2 4 4 2 2 2" xfId="7341" xr:uid="{00000000-0005-0000-0000-0000AF180000}"/>
    <cellStyle name="Normal 5 2 4 4 2 3" xfId="6226" xr:uid="{00000000-0005-0000-0000-0000B0180000}"/>
    <cellStyle name="Normal 5 2 4 4 3" xfId="2867" xr:uid="{00000000-0005-0000-0000-0000B1180000}"/>
    <cellStyle name="Normal 5 2 4 4 3 2" xfId="7342" xr:uid="{00000000-0005-0000-0000-0000B2180000}"/>
    <cellStyle name="Normal 5 2 4 4 4" xfId="4018" xr:uid="{00000000-0005-0000-0000-0000B3180000}"/>
    <cellStyle name="Normal 5 2 4 4 4 2" xfId="8484" xr:uid="{00000000-0005-0000-0000-0000B4180000}"/>
    <cellStyle name="Normal 5 2 4 4 5" xfId="5230" xr:uid="{00000000-0005-0000-0000-0000B5180000}"/>
    <cellStyle name="Normal 5 2 4 5" xfId="1446" xr:uid="{00000000-0005-0000-0000-0000B6180000}"/>
    <cellStyle name="Normal 5 2 4 5 2" xfId="2868" xr:uid="{00000000-0005-0000-0000-0000B7180000}"/>
    <cellStyle name="Normal 5 2 4 5 2 2" xfId="7343" xr:uid="{00000000-0005-0000-0000-0000B8180000}"/>
    <cellStyle name="Normal 5 2 4 5 3" xfId="6227" xr:uid="{00000000-0005-0000-0000-0000B9180000}"/>
    <cellStyle name="Normal 5 2 4 6" xfId="386" xr:uid="{00000000-0005-0000-0000-0000BA180000}"/>
    <cellStyle name="Normal 5 2 4 6 2" xfId="5843" xr:uid="{00000000-0005-0000-0000-0000BB180000}"/>
    <cellStyle name="Normal 5 2 4 7" xfId="3667" xr:uid="{00000000-0005-0000-0000-0000BC180000}"/>
    <cellStyle name="Normal 5 2 4 7 2" xfId="8133" xr:uid="{00000000-0005-0000-0000-0000BD180000}"/>
    <cellStyle name="Normal 5 2 4 8" xfId="4879" xr:uid="{00000000-0005-0000-0000-0000BE180000}"/>
    <cellStyle name="Normal 5 2 5" xfId="1447" xr:uid="{00000000-0005-0000-0000-0000BF180000}"/>
    <cellStyle name="Normal 5 2 5 2" xfId="1448" xr:uid="{00000000-0005-0000-0000-0000C0180000}"/>
    <cellStyle name="Normal 5 2 5 2 2" xfId="1449" xr:uid="{00000000-0005-0000-0000-0000C1180000}"/>
    <cellStyle name="Normal 5 2 5 2 2 2" xfId="2869" xr:uid="{00000000-0005-0000-0000-0000C2180000}"/>
    <cellStyle name="Normal 5 2 5 2 2 2 2" xfId="7344" xr:uid="{00000000-0005-0000-0000-0000C3180000}"/>
    <cellStyle name="Normal 5 2 5 2 2 3" xfId="4369" xr:uid="{00000000-0005-0000-0000-0000C4180000}"/>
    <cellStyle name="Normal 5 2 5 2 2 3 2" xfId="8832" xr:uid="{00000000-0005-0000-0000-0000C5180000}"/>
    <cellStyle name="Normal 5 2 5 2 2 4" xfId="5581" xr:uid="{00000000-0005-0000-0000-0000C6180000}"/>
    <cellStyle name="Normal 5 2 5 2 3" xfId="2870" xr:uid="{00000000-0005-0000-0000-0000C7180000}"/>
    <cellStyle name="Normal 5 2 5 2 3 2" xfId="7345" xr:uid="{00000000-0005-0000-0000-0000C8180000}"/>
    <cellStyle name="Normal 5 2 5 2 4" xfId="3672" xr:uid="{00000000-0005-0000-0000-0000C9180000}"/>
    <cellStyle name="Normal 5 2 5 2 4 2" xfId="8138" xr:uid="{00000000-0005-0000-0000-0000CA180000}"/>
    <cellStyle name="Normal 5 2 5 2 5" xfId="4884" xr:uid="{00000000-0005-0000-0000-0000CB180000}"/>
    <cellStyle name="Normal 5 2 5 3" xfId="1450" xr:uid="{00000000-0005-0000-0000-0000CC180000}"/>
    <cellStyle name="Normal 5 2 5 3 2" xfId="1451" xr:uid="{00000000-0005-0000-0000-0000CD180000}"/>
    <cellStyle name="Normal 5 2 5 3 2 2" xfId="2871" xr:uid="{00000000-0005-0000-0000-0000CE180000}"/>
    <cellStyle name="Normal 5 2 5 3 2 2 2" xfId="7346" xr:uid="{00000000-0005-0000-0000-0000CF180000}"/>
    <cellStyle name="Normal 5 2 5 3 2 3" xfId="6228" xr:uid="{00000000-0005-0000-0000-0000D0180000}"/>
    <cellStyle name="Normal 5 2 5 3 3" xfId="2872" xr:uid="{00000000-0005-0000-0000-0000D1180000}"/>
    <cellStyle name="Normal 5 2 5 3 3 2" xfId="7347" xr:uid="{00000000-0005-0000-0000-0000D2180000}"/>
    <cellStyle name="Normal 5 2 5 3 4" xfId="4020" xr:uid="{00000000-0005-0000-0000-0000D3180000}"/>
    <cellStyle name="Normal 5 2 5 3 4 2" xfId="8486" xr:uid="{00000000-0005-0000-0000-0000D4180000}"/>
    <cellStyle name="Normal 5 2 5 3 5" xfId="5232" xr:uid="{00000000-0005-0000-0000-0000D5180000}"/>
    <cellStyle name="Normal 5 2 5 4" xfId="1452" xr:uid="{00000000-0005-0000-0000-0000D6180000}"/>
    <cellStyle name="Normal 5 2 5 4 2" xfId="2873" xr:uid="{00000000-0005-0000-0000-0000D7180000}"/>
    <cellStyle name="Normal 5 2 5 4 2 2" xfId="7348" xr:uid="{00000000-0005-0000-0000-0000D8180000}"/>
    <cellStyle name="Normal 5 2 5 4 3" xfId="6229" xr:uid="{00000000-0005-0000-0000-0000D9180000}"/>
    <cellStyle name="Normal 5 2 5 5" xfId="2874" xr:uid="{00000000-0005-0000-0000-0000DA180000}"/>
    <cellStyle name="Normal 5 2 5 5 2" xfId="7349" xr:uid="{00000000-0005-0000-0000-0000DB180000}"/>
    <cellStyle name="Normal 5 2 5 6" xfId="3671" xr:uid="{00000000-0005-0000-0000-0000DC180000}"/>
    <cellStyle name="Normal 5 2 5 6 2" xfId="8137" xr:uid="{00000000-0005-0000-0000-0000DD180000}"/>
    <cellStyle name="Normal 5 2 5 7" xfId="4883" xr:uid="{00000000-0005-0000-0000-0000DE180000}"/>
    <cellStyle name="Normal 5 2 6" xfId="1453" xr:uid="{00000000-0005-0000-0000-0000DF180000}"/>
    <cellStyle name="Normal 5 2 6 2" xfId="1454" xr:uid="{00000000-0005-0000-0000-0000E0180000}"/>
    <cellStyle name="Normal 5 2 6 2 2" xfId="2875" xr:uid="{00000000-0005-0000-0000-0000E1180000}"/>
    <cellStyle name="Normal 5 2 6 2 2 2" xfId="7350" xr:uid="{00000000-0005-0000-0000-0000E2180000}"/>
    <cellStyle name="Normal 5 2 6 2 3" xfId="4371" xr:uid="{00000000-0005-0000-0000-0000E3180000}"/>
    <cellStyle name="Normal 5 2 6 2 3 2" xfId="8834" xr:uid="{00000000-0005-0000-0000-0000E4180000}"/>
    <cellStyle name="Normal 5 2 6 2 4" xfId="5583" xr:uid="{00000000-0005-0000-0000-0000E5180000}"/>
    <cellStyle name="Normal 5 2 6 3" xfId="2876" xr:uid="{00000000-0005-0000-0000-0000E6180000}"/>
    <cellStyle name="Normal 5 2 6 3 2" xfId="4370" xr:uid="{00000000-0005-0000-0000-0000E7180000}"/>
    <cellStyle name="Normal 5 2 6 3 2 2" xfId="8833" xr:uid="{00000000-0005-0000-0000-0000E8180000}"/>
    <cellStyle name="Normal 5 2 6 3 3" xfId="5582" xr:uid="{00000000-0005-0000-0000-0000E9180000}"/>
    <cellStyle name="Normal 5 2 6 4" xfId="3673" xr:uid="{00000000-0005-0000-0000-0000EA180000}"/>
    <cellStyle name="Normal 5 2 6 4 2" xfId="8139" xr:uid="{00000000-0005-0000-0000-0000EB180000}"/>
    <cellStyle name="Normal 5 2 6 5" xfId="4885" xr:uid="{00000000-0005-0000-0000-0000EC180000}"/>
    <cellStyle name="Normal 5 2 7" xfId="1455" xr:uid="{00000000-0005-0000-0000-0000ED180000}"/>
    <cellStyle name="Normal 5 2 7 2" xfId="1456" xr:uid="{00000000-0005-0000-0000-0000EE180000}"/>
    <cellStyle name="Normal 5 2 7 2 2" xfId="2877" xr:uid="{00000000-0005-0000-0000-0000EF180000}"/>
    <cellStyle name="Normal 5 2 7 2 2 2" xfId="7351" xr:uid="{00000000-0005-0000-0000-0000F0180000}"/>
    <cellStyle name="Normal 5 2 7 2 3" xfId="6230" xr:uid="{00000000-0005-0000-0000-0000F1180000}"/>
    <cellStyle name="Normal 5 2 7 3" xfId="2878" xr:uid="{00000000-0005-0000-0000-0000F2180000}"/>
    <cellStyle name="Normal 5 2 7 3 2" xfId="7352" xr:uid="{00000000-0005-0000-0000-0000F3180000}"/>
    <cellStyle name="Normal 5 2 7 4" xfId="4372" xr:uid="{00000000-0005-0000-0000-0000F4180000}"/>
    <cellStyle name="Normal 5 2 7 4 2" xfId="8835" xr:uid="{00000000-0005-0000-0000-0000F5180000}"/>
    <cellStyle name="Normal 5 2 7 5" xfId="5584" xr:uid="{00000000-0005-0000-0000-0000F6180000}"/>
    <cellStyle name="Normal 5 2 8" xfId="1457" xr:uid="{00000000-0005-0000-0000-0000F7180000}"/>
    <cellStyle name="Normal 5 2 8 2" xfId="2879" xr:uid="{00000000-0005-0000-0000-0000F8180000}"/>
    <cellStyle name="Normal 5 2 8 2 2" xfId="7353" xr:uid="{00000000-0005-0000-0000-0000F9180000}"/>
    <cellStyle name="Normal 5 2 8 3" xfId="4373" xr:uid="{00000000-0005-0000-0000-0000FA180000}"/>
    <cellStyle name="Normal 5 2 8 3 2" xfId="8836" xr:uid="{00000000-0005-0000-0000-0000FB180000}"/>
    <cellStyle name="Normal 5 2 8 4" xfId="5585" xr:uid="{00000000-0005-0000-0000-0000FC180000}"/>
    <cellStyle name="Normal 5 2 9" xfId="379" xr:uid="{00000000-0005-0000-0000-0000FD180000}"/>
    <cellStyle name="Normal 5 2 9 2" xfId="4011" xr:uid="{00000000-0005-0000-0000-0000FE180000}"/>
    <cellStyle name="Normal 5 2 9 2 2" xfId="8477" xr:uid="{00000000-0005-0000-0000-0000FF180000}"/>
    <cellStyle name="Normal 5 2 9 3" xfId="5223" xr:uid="{00000000-0005-0000-0000-000000190000}"/>
    <cellStyle name="Normal 5 3" xfId="171" xr:uid="{00000000-0005-0000-0000-000001190000}"/>
    <cellStyle name="Normal 5 3 2" xfId="172" xr:uid="{00000000-0005-0000-0000-000002190000}"/>
    <cellStyle name="Normal 5 3 2 2" xfId="173" xr:uid="{00000000-0005-0000-0000-000003190000}"/>
    <cellStyle name="Normal 5 3 2 2 2" xfId="1458" xr:uid="{00000000-0005-0000-0000-000004190000}"/>
    <cellStyle name="Normal 5 3 2 2 2 2" xfId="1459" xr:uid="{00000000-0005-0000-0000-000005190000}"/>
    <cellStyle name="Normal 5 3 2 2 2 2 2" xfId="2880" xr:uid="{00000000-0005-0000-0000-000006190000}"/>
    <cellStyle name="Normal 5 3 2 2 2 2 2 2" xfId="7354" xr:uid="{00000000-0005-0000-0000-000007190000}"/>
    <cellStyle name="Normal 5 3 2 2 2 2 3" xfId="4374" xr:uid="{00000000-0005-0000-0000-000008190000}"/>
    <cellStyle name="Normal 5 3 2 2 2 2 3 2" xfId="8837" xr:uid="{00000000-0005-0000-0000-000009190000}"/>
    <cellStyle name="Normal 5 3 2 2 2 2 4" xfId="5586" xr:uid="{00000000-0005-0000-0000-00000A190000}"/>
    <cellStyle name="Normal 5 3 2 2 2 3" xfId="2881" xr:uid="{00000000-0005-0000-0000-00000B190000}"/>
    <cellStyle name="Normal 5 3 2 2 2 3 2" xfId="7355" xr:uid="{00000000-0005-0000-0000-00000C190000}"/>
    <cellStyle name="Normal 5 3 2 2 2 4" xfId="3677" xr:uid="{00000000-0005-0000-0000-00000D190000}"/>
    <cellStyle name="Normal 5 3 2 2 2 4 2" xfId="8143" xr:uid="{00000000-0005-0000-0000-00000E190000}"/>
    <cellStyle name="Normal 5 3 2 2 2 5" xfId="4889" xr:uid="{00000000-0005-0000-0000-00000F190000}"/>
    <cellStyle name="Normal 5 3 2 2 3" xfId="1460" xr:uid="{00000000-0005-0000-0000-000010190000}"/>
    <cellStyle name="Normal 5 3 2 2 3 2" xfId="1461" xr:uid="{00000000-0005-0000-0000-000011190000}"/>
    <cellStyle name="Normal 5 3 2 2 3 2 2" xfId="2882" xr:uid="{00000000-0005-0000-0000-000012190000}"/>
    <cellStyle name="Normal 5 3 2 2 3 2 2 2" xfId="7356" xr:uid="{00000000-0005-0000-0000-000013190000}"/>
    <cellStyle name="Normal 5 3 2 2 3 2 3" xfId="6231" xr:uid="{00000000-0005-0000-0000-000014190000}"/>
    <cellStyle name="Normal 5 3 2 2 3 3" xfId="2883" xr:uid="{00000000-0005-0000-0000-000015190000}"/>
    <cellStyle name="Normal 5 3 2 2 3 3 2" xfId="7357" xr:uid="{00000000-0005-0000-0000-000016190000}"/>
    <cellStyle name="Normal 5 3 2 2 3 4" xfId="4023" xr:uid="{00000000-0005-0000-0000-000017190000}"/>
    <cellStyle name="Normal 5 3 2 2 3 4 2" xfId="8489" xr:uid="{00000000-0005-0000-0000-000018190000}"/>
    <cellStyle name="Normal 5 3 2 2 3 5" xfId="5235" xr:uid="{00000000-0005-0000-0000-000019190000}"/>
    <cellStyle name="Normal 5 3 2 2 4" xfId="1462" xr:uid="{00000000-0005-0000-0000-00001A190000}"/>
    <cellStyle name="Normal 5 3 2 2 4 2" xfId="2884" xr:uid="{00000000-0005-0000-0000-00001B190000}"/>
    <cellStyle name="Normal 5 3 2 2 4 2 2" xfId="7358" xr:uid="{00000000-0005-0000-0000-00001C190000}"/>
    <cellStyle name="Normal 5 3 2 2 4 3" xfId="6232" xr:uid="{00000000-0005-0000-0000-00001D190000}"/>
    <cellStyle name="Normal 5 3 2 2 5" xfId="389" xr:uid="{00000000-0005-0000-0000-00001E190000}"/>
    <cellStyle name="Normal 5 3 2 2 5 2" xfId="5841" xr:uid="{00000000-0005-0000-0000-00001F190000}"/>
    <cellStyle name="Normal 5 3 2 2 6" xfId="3676" xr:uid="{00000000-0005-0000-0000-000020190000}"/>
    <cellStyle name="Normal 5 3 2 2 6 2" xfId="8142" xr:uid="{00000000-0005-0000-0000-000021190000}"/>
    <cellStyle name="Normal 5 3 2 2 7" xfId="4888" xr:uid="{00000000-0005-0000-0000-000022190000}"/>
    <cellStyle name="Normal 5 3 2 3" xfId="1463" xr:uid="{00000000-0005-0000-0000-000023190000}"/>
    <cellStyle name="Normal 5 3 2 3 2" xfId="1464" xr:uid="{00000000-0005-0000-0000-000024190000}"/>
    <cellStyle name="Normal 5 3 2 3 2 2" xfId="2885" xr:uid="{00000000-0005-0000-0000-000025190000}"/>
    <cellStyle name="Normal 5 3 2 3 2 2 2" xfId="7359" xr:uid="{00000000-0005-0000-0000-000026190000}"/>
    <cellStyle name="Normal 5 3 2 3 2 3" xfId="4375" xr:uid="{00000000-0005-0000-0000-000027190000}"/>
    <cellStyle name="Normal 5 3 2 3 2 3 2" xfId="8838" xr:uid="{00000000-0005-0000-0000-000028190000}"/>
    <cellStyle name="Normal 5 3 2 3 2 4" xfId="5587" xr:uid="{00000000-0005-0000-0000-000029190000}"/>
    <cellStyle name="Normal 5 3 2 3 3" xfId="2886" xr:uid="{00000000-0005-0000-0000-00002A190000}"/>
    <cellStyle name="Normal 5 3 2 3 3 2" xfId="7360" xr:uid="{00000000-0005-0000-0000-00002B190000}"/>
    <cellStyle name="Normal 5 3 2 3 4" xfId="3678" xr:uid="{00000000-0005-0000-0000-00002C190000}"/>
    <cellStyle name="Normal 5 3 2 3 4 2" xfId="8144" xr:uid="{00000000-0005-0000-0000-00002D190000}"/>
    <cellStyle name="Normal 5 3 2 3 5" xfId="4890" xr:uid="{00000000-0005-0000-0000-00002E190000}"/>
    <cellStyle name="Normal 5 3 2 4" xfId="1465" xr:uid="{00000000-0005-0000-0000-00002F190000}"/>
    <cellStyle name="Normal 5 3 2 4 2" xfId="1466" xr:uid="{00000000-0005-0000-0000-000030190000}"/>
    <cellStyle name="Normal 5 3 2 4 2 2" xfId="2887" xr:uid="{00000000-0005-0000-0000-000031190000}"/>
    <cellStyle name="Normal 5 3 2 4 2 2 2" xfId="7361" xr:uid="{00000000-0005-0000-0000-000032190000}"/>
    <cellStyle name="Normal 5 3 2 4 2 3" xfId="6233" xr:uid="{00000000-0005-0000-0000-000033190000}"/>
    <cellStyle name="Normal 5 3 2 4 3" xfId="2888" xr:uid="{00000000-0005-0000-0000-000034190000}"/>
    <cellStyle name="Normal 5 3 2 4 3 2" xfId="7362" xr:uid="{00000000-0005-0000-0000-000035190000}"/>
    <cellStyle name="Normal 5 3 2 4 4" xfId="4022" xr:uid="{00000000-0005-0000-0000-000036190000}"/>
    <cellStyle name="Normal 5 3 2 4 4 2" xfId="8488" xr:uid="{00000000-0005-0000-0000-000037190000}"/>
    <cellStyle name="Normal 5 3 2 4 5" xfId="5234" xr:uid="{00000000-0005-0000-0000-000038190000}"/>
    <cellStyle name="Normal 5 3 2 5" xfId="1467" xr:uid="{00000000-0005-0000-0000-000039190000}"/>
    <cellStyle name="Normal 5 3 2 5 2" xfId="2889" xr:uid="{00000000-0005-0000-0000-00003A190000}"/>
    <cellStyle name="Normal 5 3 2 5 2 2" xfId="7363" xr:uid="{00000000-0005-0000-0000-00003B190000}"/>
    <cellStyle name="Normal 5 3 2 5 3" xfId="6234" xr:uid="{00000000-0005-0000-0000-00003C190000}"/>
    <cellStyle name="Normal 5 3 2 6" xfId="388" xr:uid="{00000000-0005-0000-0000-00003D190000}"/>
    <cellStyle name="Normal 5 3 2 6 2" xfId="5842" xr:uid="{00000000-0005-0000-0000-00003E190000}"/>
    <cellStyle name="Normal 5 3 2 7" xfId="3675" xr:uid="{00000000-0005-0000-0000-00003F190000}"/>
    <cellStyle name="Normal 5 3 2 7 2" xfId="8141" xr:uid="{00000000-0005-0000-0000-000040190000}"/>
    <cellStyle name="Normal 5 3 2 8" xfId="4887" xr:uid="{00000000-0005-0000-0000-000041190000}"/>
    <cellStyle name="Normal 5 3 3" xfId="174" xr:uid="{00000000-0005-0000-0000-000042190000}"/>
    <cellStyle name="Normal 5 3 3 2" xfId="1468" xr:uid="{00000000-0005-0000-0000-000043190000}"/>
    <cellStyle name="Normal 5 3 3 2 2" xfId="1469" xr:uid="{00000000-0005-0000-0000-000044190000}"/>
    <cellStyle name="Normal 5 3 3 2 2 2" xfId="2890" xr:uid="{00000000-0005-0000-0000-000045190000}"/>
    <cellStyle name="Normal 5 3 3 2 2 2 2" xfId="7364" xr:uid="{00000000-0005-0000-0000-000046190000}"/>
    <cellStyle name="Normal 5 3 3 2 2 3" xfId="4376" xr:uid="{00000000-0005-0000-0000-000047190000}"/>
    <cellStyle name="Normal 5 3 3 2 2 3 2" xfId="8839" xr:uid="{00000000-0005-0000-0000-000048190000}"/>
    <cellStyle name="Normal 5 3 3 2 2 4" xfId="5588" xr:uid="{00000000-0005-0000-0000-000049190000}"/>
    <cellStyle name="Normal 5 3 3 2 3" xfId="2891" xr:uid="{00000000-0005-0000-0000-00004A190000}"/>
    <cellStyle name="Normal 5 3 3 2 3 2" xfId="7365" xr:uid="{00000000-0005-0000-0000-00004B190000}"/>
    <cellStyle name="Normal 5 3 3 2 4" xfId="3680" xr:uid="{00000000-0005-0000-0000-00004C190000}"/>
    <cellStyle name="Normal 5 3 3 2 4 2" xfId="8146" xr:uid="{00000000-0005-0000-0000-00004D190000}"/>
    <cellStyle name="Normal 5 3 3 2 5" xfId="4892" xr:uid="{00000000-0005-0000-0000-00004E190000}"/>
    <cellStyle name="Normal 5 3 3 3" xfId="1470" xr:uid="{00000000-0005-0000-0000-00004F190000}"/>
    <cellStyle name="Normal 5 3 3 3 2" xfId="1471" xr:uid="{00000000-0005-0000-0000-000050190000}"/>
    <cellStyle name="Normal 5 3 3 3 2 2" xfId="2892" xr:uid="{00000000-0005-0000-0000-000051190000}"/>
    <cellStyle name="Normal 5 3 3 3 2 2 2" xfId="7366" xr:uid="{00000000-0005-0000-0000-000052190000}"/>
    <cellStyle name="Normal 5 3 3 3 2 3" xfId="6235" xr:uid="{00000000-0005-0000-0000-000053190000}"/>
    <cellStyle name="Normal 5 3 3 3 3" xfId="2893" xr:uid="{00000000-0005-0000-0000-000054190000}"/>
    <cellStyle name="Normal 5 3 3 3 3 2" xfId="7367" xr:uid="{00000000-0005-0000-0000-000055190000}"/>
    <cellStyle name="Normal 5 3 3 3 4" xfId="4024" xr:uid="{00000000-0005-0000-0000-000056190000}"/>
    <cellStyle name="Normal 5 3 3 3 4 2" xfId="8490" xr:uid="{00000000-0005-0000-0000-000057190000}"/>
    <cellStyle name="Normal 5 3 3 3 5" xfId="5236" xr:uid="{00000000-0005-0000-0000-000058190000}"/>
    <cellStyle name="Normal 5 3 3 4" xfId="1472" xr:uid="{00000000-0005-0000-0000-000059190000}"/>
    <cellStyle name="Normal 5 3 3 4 2" xfId="2894" xr:uid="{00000000-0005-0000-0000-00005A190000}"/>
    <cellStyle name="Normal 5 3 3 4 2 2" xfId="7368" xr:uid="{00000000-0005-0000-0000-00005B190000}"/>
    <cellStyle name="Normal 5 3 3 4 3" xfId="6236" xr:uid="{00000000-0005-0000-0000-00005C190000}"/>
    <cellStyle name="Normal 5 3 3 5" xfId="390" xr:uid="{00000000-0005-0000-0000-00005D190000}"/>
    <cellStyle name="Normal 5 3 3 5 2" xfId="5840" xr:uid="{00000000-0005-0000-0000-00005E190000}"/>
    <cellStyle name="Normal 5 3 3 6" xfId="3679" xr:uid="{00000000-0005-0000-0000-00005F190000}"/>
    <cellStyle name="Normal 5 3 3 6 2" xfId="8145" xr:uid="{00000000-0005-0000-0000-000060190000}"/>
    <cellStyle name="Normal 5 3 3 7" xfId="4891" xr:uid="{00000000-0005-0000-0000-000061190000}"/>
    <cellStyle name="Normal 5 3 4" xfId="1473" xr:uid="{00000000-0005-0000-0000-000062190000}"/>
    <cellStyle name="Normal 5 3 4 2" xfId="1474" xr:uid="{00000000-0005-0000-0000-000063190000}"/>
    <cellStyle name="Normal 5 3 4 2 2" xfId="2895" xr:uid="{00000000-0005-0000-0000-000064190000}"/>
    <cellStyle name="Normal 5 3 4 2 2 2" xfId="7369" xr:uid="{00000000-0005-0000-0000-000065190000}"/>
    <cellStyle name="Normal 5 3 4 2 3" xfId="4378" xr:uid="{00000000-0005-0000-0000-000066190000}"/>
    <cellStyle name="Normal 5 3 4 2 3 2" xfId="8841" xr:uid="{00000000-0005-0000-0000-000067190000}"/>
    <cellStyle name="Normal 5 3 4 2 4" xfId="5590" xr:uid="{00000000-0005-0000-0000-000068190000}"/>
    <cellStyle name="Normal 5 3 4 3" xfId="2896" xr:uid="{00000000-0005-0000-0000-000069190000}"/>
    <cellStyle name="Normal 5 3 4 3 2" xfId="4377" xr:uid="{00000000-0005-0000-0000-00006A190000}"/>
    <cellStyle name="Normal 5 3 4 3 2 2" xfId="8840" xr:uid="{00000000-0005-0000-0000-00006B190000}"/>
    <cellStyle name="Normal 5 3 4 3 3" xfId="5589" xr:uid="{00000000-0005-0000-0000-00006C190000}"/>
    <cellStyle name="Normal 5 3 4 4" xfId="3681" xr:uid="{00000000-0005-0000-0000-00006D190000}"/>
    <cellStyle name="Normal 5 3 4 4 2" xfId="8147" xr:uid="{00000000-0005-0000-0000-00006E190000}"/>
    <cellStyle name="Normal 5 3 4 5" xfId="4893" xr:uid="{00000000-0005-0000-0000-00006F190000}"/>
    <cellStyle name="Normal 5 3 5" xfId="1475" xr:uid="{00000000-0005-0000-0000-000070190000}"/>
    <cellStyle name="Normal 5 3 5 2" xfId="1476" xr:uid="{00000000-0005-0000-0000-000071190000}"/>
    <cellStyle name="Normal 5 3 5 2 2" xfId="2897" xr:uid="{00000000-0005-0000-0000-000072190000}"/>
    <cellStyle name="Normal 5 3 5 2 2 2" xfId="7370" xr:uid="{00000000-0005-0000-0000-000073190000}"/>
    <cellStyle name="Normal 5 3 5 2 3" xfId="6237" xr:uid="{00000000-0005-0000-0000-000074190000}"/>
    <cellStyle name="Normal 5 3 5 3" xfId="2898" xr:uid="{00000000-0005-0000-0000-000075190000}"/>
    <cellStyle name="Normal 5 3 5 3 2" xfId="7371" xr:uid="{00000000-0005-0000-0000-000076190000}"/>
    <cellStyle name="Normal 5 3 5 4" xfId="4379" xr:uid="{00000000-0005-0000-0000-000077190000}"/>
    <cellStyle name="Normal 5 3 5 4 2" xfId="8842" xr:uid="{00000000-0005-0000-0000-000078190000}"/>
    <cellStyle name="Normal 5 3 5 5" xfId="5591" xr:uid="{00000000-0005-0000-0000-000079190000}"/>
    <cellStyle name="Normal 5 3 6" xfId="1477" xr:uid="{00000000-0005-0000-0000-00007A190000}"/>
    <cellStyle name="Normal 5 3 6 2" xfId="2899" xr:uid="{00000000-0005-0000-0000-00007B190000}"/>
    <cellStyle name="Normal 5 3 6 2 2" xfId="7372" xr:uid="{00000000-0005-0000-0000-00007C190000}"/>
    <cellStyle name="Normal 5 3 6 3" xfId="4380" xr:uid="{00000000-0005-0000-0000-00007D190000}"/>
    <cellStyle name="Normal 5 3 6 3 2" xfId="8843" xr:uid="{00000000-0005-0000-0000-00007E190000}"/>
    <cellStyle name="Normal 5 3 6 4" xfId="5592" xr:uid="{00000000-0005-0000-0000-00007F190000}"/>
    <cellStyle name="Normal 5 3 7" xfId="387" xr:uid="{00000000-0005-0000-0000-000080190000}"/>
    <cellStyle name="Normal 5 3 7 2" xfId="4021" xr:uid="{00000000-0005-0000-0000-000081190000}"/>
    <cellStyle name="Normal 5 3 7 2 2" xfId="8487" xr:uid="{00000000-0005-0000-0000-000082190000}"/>
    <cellStyle name="Normal 5 3 7 3" xfId="5233" xr:uid="{00000000-0005-0000-0000-000083190000}"/>
    <cellStyle name="Normal 5 3 8" xfId="3674" xr:uid="{00000000-0005-0000-0000-000084190000}"/>
    <cellStyle name="Normal 5 3 8 2" xfId="8140" xr:uid="{00000000-0005-0000-0000-000085190000}"/>
    <cellStyle name="Normal 5 3 9" xfId="4886" xr:uid="{00000000-0005-0000-0000-000086190000}"/>
    <cellStyle name="Normal 5 4" xfId="175" xr:uid="{00000000-0005-0000-0000-000087190000}"/>
    <cellStyle name="Normal 5 4 2" xfId="176" xr:uid="{00000000-0005-0000-0000-000088190000}"/>
    <cellStyle name="Normal 5 4 2 2" xfId="1478" xr:uid="{00000000-0005-0000-0000-000089190000}"/>
    <cellStyle name="Normal 5 4 2 2 2" xfId="1479" xr:uid="{00000000-0005-0000-0000-00008A190000}"/>
    <cellStyle name="Normal 5 4 2 2 2 2" xfId="2900" xr:uid="{00000000-0005-0000-0000-00008B190000}"/>
    <cellStyle name="Normal 5 4 2 2 2 2 2" xfId="7373" xr:uid="{00000000-0005-0000-0000-00008C190000}"/>
    <cellStyle name="Normal 5 4 2 2 2 3" xfId="4381" xr:uid="{00000000-0005-0000-0000-00008D190000}"/>
    <cellStyle name="Normal 5 4 2 2 2 3 2" xfId="8844" xr:uid="{00000000-0005-0000-0000-00008E190000}"/>
    <cellStyle name="Normal 5 4 2 2 2 4" xfId="5593" xr:uid="{00000000-0005-0000-0000-00008F190000}"/>
    <cellStyle name="Normal 5 4 2 2 3" xfId="2901" xr:uid="{00000000-0005-0000-0000-000090190000}"/>
    <cellStyle name="Normal 5 4 2 2 3 2" xfId="7374" xr:uid="{00000000-0005-0000-0000-000091190000}"/>
    <cellStyle name="Normal 5 4 2 2 4" xfId="3684" xr:uid="{00000000-0005-0000-0000-000092190000}"/>
    <cellStyle name="Normal 5 4 2 2 4 2" xfId="8150" xr:uid="{00000000-0005-0000-0000-000093190000}"/>
    <cellStyle name="Normal 5 4 2 2 5" xfId="4896" xr:uid="{00000000-0005-0000-0000-000094190000}"/>
    <cellStyle name="Normal 5 4 2 3" xfId="1480" xr:uid="{00000000-0005-0000-0000-000095190000}"/>
    <cellStyle name="Normal 5 4 2 3 2" xfId="1481" xr:uid="{00000000-0005-0000-0000-000096190000}"/>
    <cellStyle name="Normal 5 4 2 3 2 2" xfId="2902" xr:uid="{00000000-0005-0000-0000-000097190000}"/>
    <cellStyle name="Normal 5 4 2 3 2 2 2" xfId="7375" xr:uid="{00000000-0005-0000-0000-000098190000}"/>
    <cellStyle name="Normal 5 4 2 3 2 3" xfId="6238" xr:uid="{00000000-0005-0000-0000-000099190000}"/>
    <cellStyle name="Normal 5 4 2 3 3" xfId="2903" xr:uid="{00000000-0005-0000-0000-00009A190000}"/>
    <cellStyle name="Normal 5 4 2 3 3 2" xfId="7376" xr:uid="{00000000-0005-0000-0000-00009B190000}"/>
    <cellStyle name="Normal 5 4 2 3 4" xfId="4026" xr:uid="{00000000-0005-0000-0000-00009C190000}"/>
    <cellStyle name="Normal 5 4 2 3 4 2" xfId="8492" xr:uid="{00000000-0005-0000-0000-00009D190000}"/>
    <cellStyle name="Normal 5 4 2 3 5" xfId="5238" xr:uid="{00000000-0005-0000-0000-00009E190000}"/>
    <cellStyle name="Normal 5 4 2 4" xfId="1482" xr:uid="{00000000-0005-0000-0000-00009F190000}"/>
    <cellStyle name="Normal 5 4 2 4 2" xfId="2904" xr:uid="{00000000-0005-0000-0000-0000A0190000}"/>
    <cellStyle name="Normal 5 4 2 4 2 2" xfId="7377" xr:uid="{00000000-0005-0000-0000-0000A1190000}"/>
    <cellStyle name="Normal 5 4 2 4 3" xfId="6239" xr:uid="{00000000-0005-0000-0000-0000A2190000}"/>
    <cellStyle name="Normal 5 4 2 5" xfId="392" xr:uid="{00000000-0005-0000-0000-0000A3190000}"/>
    <cellStyle name="Normal 5 4 2 5 2" xfId="4492" xr:uid="{00000000-0005-0000-0000-0000A4190000}"/>
    <cellStyle name="Normal 5 4 2 6" xfId="3683" xr:uid="{00000000-0005-0000-0000-0000A5190000}"/>
    <cellStyle name="Normal 5 4 2 6 2" xfId="8149" xr:uid="{00000000-0005-0000-0000-0000A6190000}"/>
    <cellStyle name="Normal 5 4 2 7" xfId="4895" xr:uid="{00000000-0005-0000-0000-0000A7190000}"/>
    <cellStyle name="Normal 5 4 3" xfId="1483" xr:uid="{00000000-0005-0000-0000-0000A8190000}"/>
    <cellStyle name="Normal 5 4 3 2" xfId="1484" xr:uid="{00000000-0005-0000-0000-0000A9190000}"/>
    <cellStyle name="Normal 5 4 3 2 2" xfId="2905" xr:uid="{00000000-0005-0000-0000-0000AA190000}"/>
    <cellStyle name="Normal 5 4 3 2 2 2" xfId="7378" xr:uid="{00000000-0005-0000-0000-0000AB190000}"/>
    <cellStyle name="Normal 5 4 3 2 3" xfId="4382" xr:uid="{00000000-0005-0000-0000-0000AC190000}"/>
    <cellStyle name="Normal 5 4 3 2 3 2" xfId="8845" xr:uid="{00000000-0005-0000-0000-0000AD190000}"/>
    <cellStyle name="Normal 5 4 3 2 4" xfId="5594" xr:uid="{00000000-0005-0000-0000-0000AE190000}"/>
    <cellStyle name="Normal 5 4 3 3" xfId="2906" xr:uid="{00000000-0005-0000-0000-0000AF190000}"/>
    <cellStyle name="Normal 5 4 3 3 2" xfId="7379" xr:uid="{00000000-0005-0000-0000-0000B0190000}"/>
    <cellStyle name="Normal 5 4 3 4" xfId="3685" xr:uid="{00000000-0005-0000-0000-0000B1190000}"/>
    <cellStyle name="Normal 5 4 3 4 2" xfId="8151" xr:uid="{00000000-0005-0000-0000-0000B2190000}"/>
    <cellStyle name="Normal 5 4 3 5" xfId="4897" xr:uid="{00000000-0005-0000-0000-0000B3190000}"/>
    <cellStyle name="Normal 5 4 4" xfId="1485" xr:uid="{00000000-0005-0000-0000-0000B4190000}"/>
    <cellStyle name="Normal 5 4 4 2" xfId="1486" xr:uid="{00000000-0005-0000-0000-0000B5190000}"/>
    <cellStyle name="Normal 5 4 4 2 2" xfId="2907" xr:uid="{00000000-0005-0000-0000-0000B6190000}"/>
    <cellStyle name="Normal 5 4 4 2 2 2" xfId="7380" xr:uid="{00000000-0005-0000-0000-0000B7190000}"/>
    <cellStyle name="Normal 5 4 4 2 3" xfId="6240" xr:uid="{00000000-0005-0000-0000-0000B8190000}"/>
    <cellStyle name="Normal 5 4 4 3" xfId="2908" xr:uid="{00000000-0005-0000-0000-0000B9190000}"/>
    <cellStyle name="Normal 5 4 4 3 2" xfId="7381" xr:uid="{00000000-0005-0000-0000-0000BA190000}"/>
    <cellStyle name="Normal 5 4 4 4" xfId="4025" xr:uid="{00000000-0005-0000-0000-0000BB190000}"/>
    <cellStyle name="Normal 5 4 4 4 2" xfId="8491" xr:uid="{00000000-0005-0000-0000-0000BC190000}"/>
    <cellStyle name="Normal 5 4 4 5" xfId="5237" xr:uid="{00000000-0005-0000-0000-0000BD190000}"/>
    <cellStyle name="Normal 5 4 5" xfId="1487" xr:uid="{00000000-0005-0000-0000-0000BE190000}"/>
    <cellStyle name="Normal 5 4 5 2" xfId="2909" xr:uid="{00000000-0005-0000-0000-0000BF190000}"/>
    <cellStyle name="Normal 5 4 5 2 2" xfId="7382" xr:uid="{00000000-0005-0000-0000-0000C0190000}"/>
    <cellStyle name="Normal 5 4 5 3" xfId="6241" xr:uid="{00000000-0005-0000-0000-0000C1190000}"/>
    <cellStyle name="Normal 5 4 6" xfId="391" xr:uid="{00000000-0005-0000-0000-0000C2190000}"/>
    <cellStyle name="Normal 5 4 6 2" xfId="5899" xr:uid="{00000000-0005-0000-0000-0000C3190000}"/>
    <cellStyle name="Normal 5 4 7" xfId="3682" xr:uid="{00000000-0005-0000-0000-0000C4190000}"/>
    <cellStyle name="Normal 5 4 7 2" xfId="8148" xr:uid="{00000000-0005-0000-0000-0000C5190000}"/>
    <cellStyle name="Normal 5 4 8" xfId="4894" xr:uid="{00000000-0005-0000-0000-0000C6190000}"/>
    <cellStyle name="Normal 5 5" xfId="177" xr:uid="{00000000-0005-0000-0000-0000C7190000}"/>
    <cellStyle name="Normal 5 5 2" xfId="1488" xr:uid="{00000000-0005-0000-0000-0000C8190000}"/>
    <cellStyle name="Normal 5 5 2 2" xfId="1489" xr:uid="{00000000-0005-0000-0000-0000C9190000}"/>
    <cellStyle name="Normal 5 5 2 2 2" xfId="1490" xr:uid="{00000000-0005-0000-0000-0000CA190000}"/>
    <cellStyle name="Normal 5 5 2 2 2 2" xfId="2910" xr:uid="{00000000-0005-0000-0000-0000CB190000}"/>
    <cellStyle name="Normal 5 5 2 2 2 2 2" xfId="7383" xr:uid="{00000000-0005-0000-0000-0000CC190000}"/>
    <cellStyle name="Normal 5 5 2 2 2 3" xfId="4383" xr:uid="{00000000-0005-0000-0000-0000CD190000}"/>
    <cellStyle name="Normal 5 5 2 2 2 3 2" xfId="8846" xr:uid="{00000000-0005-0000-0000-0000CE190000}"/>
    <cellStyle name="Normal 5 5 2 2 2 4" xfId="5595" xr:uid="{00000000-0005-0000-0000-0000CF190000}"/>
    <cellStyle name="Normal 5 5 2 2 3" xfId="2911" xr:uid="{00000000-0005-0000-0000-0000D0190000}"/>
    <cellStyle name="Normal 5 5 2 2 3 2" xfId="7384" xr:uid="{00000000-0005-0000-0000-0000D1190000}"/>
    <cellStyle name="Normal 5 5 2 2 4" xfId="3688" xr:uid="{00000000-0005-0000-0000-0000D2190000}"/>
    <cellStyle name="Normal 5 5 2 2 4 2" xfId="8154" xr:uid="{00000000-0005-0000-0000-0000D3190000}"/>
    <cellStyle name="Normal 5 5 2 2 5" xfId="4900" xr:uid="{00000000-0005-0000-0000-0000D4190000}"/>
    <cellStyle name="Normal 5 5 2 3" xfId="1491" xr:uid="{00000000-0005-0000-0000-0000D5190000}"/>
    <cellStyle name="Normal 5 5 2 3 2" xfId="1492" xr:uid="{00000000-0005-0000-0000-0000D6190000}"/>
    <cellStyle name="Normal 5 5 2 3 2 2" xfId="2912" xr:uid="{00000000-0005-0000-0000-0000D7190000}"/>
    <cellStyle name="Normal 5 5 2 3 2 2 2" xfId="7385" xr:uid="{00000000-0005-0000-0000-0000D8190000}"/>
    <cellStyle name="Normal 5 5 2 3 2 3" xfId="6242" xr:uid="{00000000-0005-0000-0000-0000D9190000}"/>
    <cellStyle name="Normal 5 5 2 3 3" xfId="2913" xr:uid="{00000000-0005-0000-0000-0000DA190000}"/>
    <cellStyle name="Normal 5 5 2 3 3 2" xfId="7386" xr:uid="{00000000-0005-0000-0000-0000DB190000}"/>
    <cellStyle name="Normal 5 5 2 3 4" xfId="4028" xr:uid="{00000000-0005-0000-0000-0000DC190000}"/>
    <cellStyle name="Normal 5 5 2 3 4 2" xfId="8494" xr:uid="{00000000-0005-0000-0000-0000DD190000}"/>
    <cellStyle name="Normal 5 5 2 3 5" xfId="5240" xr:uid="{00000000-0005-0000-0000-0000DE190000}"/>
    <cellStyle name="Normal 5 5 2 4" xfId="1493" xr:uid="{00000000-0005-0000-0000-0000DF190000}"/>
    <cellStyle name="Normal 5 5 2 4 2" xfId="2914" xr:uid="{00000000-0005-0000-0000-0000E0190000}"/>
    <cellStyle name="Normal 5 5 2 4 2 2" xfId="7387" xr:uid="{00000000-0005-0000-0000-0000E1190000}"/>
    <cellStyle name="Normal 5 5 2 4 3" xfId="6243" xr:uid="{00000000-0005-0000-0000-0000E2190000}"/>
    <cellStyle name="Normal 5 5 2 5" xfId="2915" xr:uid="{00000000-0005-0000-0000-0000E3190000}"/>
    <cellStyle name="Normal 5 5 2 5 2" xfId="7388" xr:uid="{00000000-0005-0000-0000-0000E4190000}"/>
    <cellStyle name="Normal 5 5 2 6" xfId="3687" xr:uid="{00000000-0005-0000-0000-0000E5190000}"/>
    <cellStyle name="Normal 5 5 2 6 2" xfId="8153" xr:uid="{00000000-0005-0000-0000-0000E6190000}"/>
    <cellStyle name="Normal 5 5 2 7" xfId="4899" xr:uid="{00000000-0005-0000-0000-0000E7190000}"/>
    <cellStyle name="Normal 5 5 3" xfId="1494" xr:uid="{00000000-0005-0000-0000-0000E8190000}"/>
    <cellStyle name="Normal 5 5 3 2" xfId="1495" xr:uid="{00000000-0005-0000-0000-0000E9190000}"/>
    <cellStyle name="Normal 5 5 3 2 2" xfId="2916" xr:uid="{00000000-0005-0000-0000-0000EA190000}"/>
    <cellStyle name="Normal 5 5 3 2 2 2" xfId="7389" xr:uid="{00000000-0005-0000-0000-0000EB190000}"/>
    <cellStyle name="Normal 5 5 3 2 3" xfId="4384" xr:uid="{00000000-0005-0000-0000-0000EC190000}"/>
    <cellStyle name="Normal 5 5 3 2 3 2" xfId="8847" xr:uid="{00000000-0005-0000-0000-0000ED190000}"/>
    <cellStyle name="Normal 5 5 3 2 4" xfId="5596" xr:uid="{00000000-0005-0000-0000-0000EE190000}"/>
    <cellStyle name="Normal 5 5 3 3" xfId="2917" xr:uid="{00000000-0005-0000-0000-0000EF190000}"/>
    <cellStyle name="Normal 5 5 3 3 2" xfId="7390" xr:uid="{00000000-0005-0000-0000-0000F0190000}"/>
    <cellStyle name="Normal 5 5 3 4" xfId="3689" xr:uid="{00000000-0005-0000-0000-0000F1190000}"/>
    <cellStyle name="Normal 5 5 3 4 2" xfId="8155" xr:uid="{00000000-0005-0000-0000-0000F2190000}"/>
    <cellStyle name="Normal 5 5 3 5" xfId="4901" xr:uid="{00000000-0005-0000-0000-0000F3190000}"/>
    <cellStyle name="Normal 5 5 4" xfId="1496" xr:uid="{00000000-0005-0000-0000-0000F4190000}"/>
    <cellStyle name="Normal 5 5 4 2" xfId="1497" xr:uid="{00000000-0005-0000-0000-0000F5190000}"/>
    <cellStyle name="Normal 5 5 4 2 2" xfId="2918" xr:uid="{00000000-0005-0000-0000-0000F6190000}"/>
    <cellStyle name="Normal 5 5 4 2 2 2" xfId="7391" xr:uid="{00000000-0005-0000-0000-0000F7190000}"/>
    <cellStyle name="Normal 5 5 4 2 3" xfId="6244" xr:uid="{00000000-0005-0000-0000-0000F8190000}"/>
    <cellStyle name="Normal 5 5 4 3" xfId="2919" xr:uid="{00000000-0005-0000-0000-0000F9190000}"/>
    <cellStyle name="Normal 5 5 4 3 2" xfId="7392" xr:uid="{00000000-0005-0000-0000-0000FA190000}"/>
    <cellStyle name="Normal 5 5 4 4" xfId="4027" xr:uid="{00000000-0005-0000-0000-0000FB190000}"/>
    <cellStyle name="Normal 5 5 4 4 2" xfId="8493" xr:uid="{00000000-0005-0000-0000-0000FC190000}"/>
    <cellStyle name="Normal 5 5 4 5" xfId="5239" xr:uid="{00000000-0005-0000-0000-0000FD190000}"/>
    <cellStyle name="Normal 5 5 5" xfId="1498" xr:uid="{00000000-0005-0000-0000-0000FE190000}"/>
    <cellStyle name="Normal 5 5 5 2" xfId="2920" xr:uid="{00000000-0005-0000-0000-0000FF190000}"/>
    <cellStyle name="Normal 5 5 5 2 2" xfId="7393" xr:uid="{00000000-0005-0000-0000-0000001A0000}"/>
    <cellStyle name="Normal 5 5 5 3" xfId="6245" xr:uid="{00000000-0005-0000-0000-0000011A0000}"/>
    <cellStyle name="Normal 5 5 6" xfId="393" xr:uid="{00000000-0005-0000-0000-0000021A0000}"/>
    <cellStyle name="Normal 5 5 6 2" xfId="6095" xr:uid="{00000000-0005-0000-0000-0000031A0000}"/>
    <cellStyle name="Normal 5 5 7" xfId="3686" xr:uid="{00000000-0005-0000-0000-0000041A0000}"/>
    <cellStyle name="Normal 5 5 7 2" xfId="8152" xr:uid="{00000000-0005-0000-0000-0000051A0000}"/>
    <cellStyle name="Normal 5 5 8" xfId="4898" xr:uid="{00000000-0005-0000-0000-0000061A0000}"/>
    <cellStyle name="Normal 5 6" xfId="1499" xr:uid="{00000000-0005-0000-0000-0000071A0000}"/>
    <cellStyle name="Normal 5 6 2" xfId="1500" xr:uid="{00000000-0005-0000-0000-0000081A0000}"/>
    <cellStyle name="Normal 5 6 2 2" xfId="1501" xr:uid="{00000000-0005-0000-0000-0000091A0000}"/>
    <cellStyle name="Normal 5 6 2 2 2" xfId="2921" xr:uid="{00000000-0005-0000-0000-00000A1A0000}"/>
    <cellStyle name="Normal 5 6 2 2 2 2" xfId="7394" xr:uid="{00000000-0005-0000-0000-00000B1A0000}"/>
    <cellStyle name="Normal 5 6 2 2 3" xfId="4385" xr:uid="{00000000-0005-0000-0000-00000C1A0000}"/>
    <cellStyle name="Normal 5 6 2 2 3 2" xfId="8848" xr:uid="{00000000-0005-0000-0000-00000D1A0000}"/>
    <cellStyle name="Normal 5 6 2 2 4" xfId="5597" xr:uid="{00000000-0005-0000-0000-00000E1A0000}"/>
    <cellStyle name="Normal 5 6 2 3" xfId="2922" xr:uid="{00000000-0005-0000-0000-00000F1A0000}"/>
    <cellStyle name="Normal 5 6 2 3 2" xfId="7395" xr:uid="{00000000-0005-0000-0000-0000101A0000}"/>
    <cellStyle name="Normal 5 6 2 4" xfId="3691" xr:uid="{00000000-0005-0000-0000-0000111A0000}"/>
    <cellStyle name="Normal 5 6 2 4 2" xfId="8157" xr:uid="{00000000-0005-0000-0000-0000121A0000}"/>
    <cellStyle name="Normal 5 6 2 5" xfId="4903" xr:uid="{00000000-0005-0000-0000-0000131A0000}"/>
    <cellStyle name="Normal 5 6 3" xfId="1502" xr:uid="{00000000-0005-0000-0000-0000141A0000}"/>
    <cellStyle name="Normal 5 6 3 2" xfId="1503" xr:uid="{00000000-0005-0000-0000-0000151A0000}"/>
    <cellStyle name="Normal 5 6 3 2 2" xfId="2923" xr:uid="{00000000-0005-0000-0000-0000161A0000}"/>
    <cellStyle name="Normal 5 6 3 2 2 2" xfId="7396" xr:uid="{00000000-0005-0000-0000-0000171A0000}"/>
    <cellStyle name="Normal 5 6 3 2 3" xfId="6246" xr:uid="{00000000-0005-0000-0000-0000181A0000}"/>
    <cellStyle name="Normal 5 6 3 3" xfId="2924" xr:uid="{00000000-0005-0000-0000-0000191A0000}"/>
    <cellStyle name="Normal 5 6 3 3 2" xfId="7397" xr:uid="{00000000-0005-0000-0000-00001A1A0000}"/>
    <cellStyle name="Normal 5 6 3 4" xfId="4029" xr:uid="{00000000-0005-0000-0000-00001B1A0000}"/>
    <cellStyle name="Normal 5 6 3 4 2" xfId="8495" xr:uid="{00000000-0005-0000-0000-00001C1A0000}"/>
    <cellStyle name="Normal 5 6 3 5" xfId="5241" xr:uid="{00000000-0005-0000-0000-00001D1A0000}"/>
    <cellStyle name="Normal 5 6 4" xfId="1504" xr:uid="{00000000-0005-0000-0000-00001E1A0000}"/>
    <cellStyle name="Normal 5 6 4 2" xfId="2925" xr:uid="{00000000-0005-0000-0000-00001F1A0000}"/>
    <cellStyle name="Normal 5 6 4 2 2" xfId="7398" xr:uid="{00000000-0005-0000-0000-0000201A0000}"/>
    <cellStyle name="Normal 5 6 4 3" xfId="6247" xr:uid="{00000000-0005-0000-0000-0000211A0000}"/>
    <cellStyle name="Normal 5 6 5" xfId="2926" xr:uid="{00000000-0005-0000-0000-0000221A0000}"/>
    <cellStyle name="Normal 5 6 5 2" xfId="7399" xr:uid="{00000000-0005-0000-0000-0000231A0000}"/>
    <cellStyle name="Normal 5 6 6" xfId="3690" xr:uid="{00000000-0005-0000-0000-0000241A0000}"/>
    <cellStyle name="Normal 5 6 6 2" xfId="8156" xr:uid="{00000000-0005-0000-0000-0000251A0000}"/>
    <cellStyle name="Normal 5 6 7" xfId="4902" xr:uid="{00000000-0005-0000-0000-0000261A0000}"/>
    <cellStyle name="Normal 5 7" xfId="1505" xr:uid="{00000000-0005-0000-0000-0000271A0000}"/>
    <cellStyle name="Normal 5 7 2" xfId="1506" xr:uid="{00000000-0005-0000-0000-0000281A0000}"/>
    <cellStyle name="Normal 5 7 2 2" xfId="2927" xr:uid="{00000000-0005-0000-0000-0000291A0000}"/>
    <cellStyle name="Normal 5 7 2 2 2" xfId="7400" xr:uid="{00000000-0005-0000-0000-00002A1A0000}"/>
    <cellStyle name="Normal 5 7 2 3" xfId="4387" xr:uid="{00000000-0005-0000-0000-00002B1A0000}"/>
    <cellStyle name="Normal 5 7 2 3 2" xfId="8850" xr:uid="{00000000-0005-0000-0000-00002C1A0000}"/>
    <cellStyle name="Normal 5 7 2 4" xfId="5599" xr:uid="{00000000-0005-0000-0000-00002D1A0000}"/>
    <cellStyle name="Normal 5 7 3" xfId="2928" xr:uid="{00000000-0005-0000-0000-00002E1A0000}"/>
    <cellStyle name="Normal 5 7 3 2" xfId="4386" xr:uid="{00000000-0005-0000-0000-00002F1A0000}"/>
    <cellStyle name="Normal 5 7 3 2 2" xfId="8849" xr:uid="{00000000-0005-0000-0000-0000301A0000}"/>
    <cellStyle name="Normal 5 7 3 3" xfId="5598" xr:uid="{00000000-0005-0000-0000-0000311A0000}"/>
    <cellStyle name="Normal 5 7 4" xfId="3692" xr:uid="{00000000-0005-0000-0000-0000321A0000}"/>
    <cellStyle name="Normal 5 7 4 2" xfId="8158" xr:uid="{00000000-0005-0000-0000-0000331A0000}"/>
    <cellStyle name="Normal 5 7 5" xfId="4904" xr:uid="{00000000-0005-0000-0000-0000341A0000}"/>
    <cellStyle name="Normal 5 8" xfId="1507" xr:uid="{00000000-0005-0000-0000-0000351A0000}"/>
    <cellStyle name="Normal 5 8 2" xfId="1508" xr:uid="{00000000-0005-0000-0000-0000361A0000}"/>
    <cellStyle name="Normal 5 8 2 2" xfId="2929" xr:uid="{00000000-0005-0000-0000-0000371A0000}"/>
    <cellStyle name="Normal 5 8 2 2 2" xfId="7401" xr:uid="{00000000-0005-0000-0000-0000381A0000}"/>
    <cellStyle name="Normal 5 8 2 3" xfId="6248" xr:uid="{00000000-0005-0000-0000-0000391A0000}"/>
    <cellStyle name="Normal 5 8 3" xfId="2930" xr:uid="{00000000-0005-0000-0000-00003A1A0000}"/>
    <cellStyle name="Normal 5 8 3 2" xfId="7402" xr:uid="{00000000-0005-0000-0000-00003B1A0000}"/>
    <cellStyle name="Normal 5 8 4" xfId="4388" xr:uid="{00000000-0005-0000-0000-00003C1A0000}"/>
    <cellStyle name="Normal 5 8 4 2" xfId="8851" xr:uid="{00000000-0005-0000-0000-00003D1A0000}"/>
    <cellStyle name="Normal 5 8 5" xfId="5600" xr:uid="{00000000-0005-0000-0000-00003E1A0000}"/>
    <cellStyle name="Normal 5 9" xfId="1509" xr:uid="{00000000-0005-0000-0000-00003F1A0000}"/>
    <cellStyle name="Normal 5 9 2" xfId="2931" xr:uid="{00000000-0005-0000-0000-0000401A0000}"/>
    <cellStyle name="Normal 5 9 2 2" xfId="7403" xr:uid="{00000000-0005-0000-0000-0000411A0000}"/>
    <cellStyle name="Normal 5 9 3" xfId="4389" xr:uid="{00000000-0005-0000-0000-0000421A0000}"/>
    <cellStyle name="Normal 5 9 3 2" xfId="8852" xr:uid="{00000000-0005-0000-0000-0000431A0000}"/>
    <cellStyle name="Normal 5 9 4" xfId="5601" xr:uid="{00000000-0005-0000-0000-0000441A0000}"/>
    <cellStyle name="Normal 6" xfId="21" xr:uid="{00000000-0005-0000-0000-0000451A0000}"/>
    <cellStyle name="Normal 6 2" xfId="178" xr:uid="{00000000-0005-0000-0000-0000461A0000}"/>
    <cellStyle name="Normal 6 2 10" xfId="4905" xr:uid="{00000000-0005-0000-0000-0000471A0000}"/>
    <cellStyle name="Normal 6 2 2" xfId="179" xr:uid="{00000000-0005-0000-0000-0000481A0000}"/>
    <cellStyle name="Normal 6 2 2 2" xfId="180" xr:uid="{00000000-0005-0000-0000-0000491A0000}"/>
    <cellStyle name="Normal 6 2 2 2 2" xfId="1510" xr:uid="{00000000-0005-0000-0000-00004A1A0000}"/>
    <cellStyle name="Normal 6 2 2 2 2 2" xfId="1511" xr:uid="{00000000-0005-0000-0000-00004B1A0000}"/>
    <cellStyle name="Normal 6 2 2 2 2 2 2" xfId="2932" xr:uid="{00000000-0005-0000-0000-00004C1A0000}"/>
    <cellStyle name="Normal 6 2 2 2 2 2 2 2" xfId="7404" xr:uid="{00000000-0005-0000-0000-00004D1A0000}"/>
    <cellStyle name="Normal 6 2 2 2 2 2 3" xfId="4390" xr:uid="{00000000-0005-0000-0000-00004E1A0000}"/>
    <cellStyle name="Normal 6 2 2 2 2 2 3 2" xfId="8853" xr:uid="{00000000-0005-0000-0000-00004F1A0000}"/>
    <cellStyle name="Normal 6 2 2 2 2 2 4" xfId="5602" xr:uid="{00000000-0005-0000-0000-0000501A0000}"/>
    <cellStyle name="Normal 6 2 2 2 2 3" xfId="2933" xr:uid="{00000000-0005-0000-0000-0000511A0000}"/>
    <cellStyle name="Normal 6 2 2 2 2 3 2" xfId="7405" xr:uid="{00000000-0005-0000-0000-0000521A0000}"/>
    <cellStyle name="Normal 6 2 2 2 2 4" xfId="3696" xr:uid="{00000000-0005-0000-0000-0000531A0000}"/>
    <cellStyle name="Normal 6 2 2 2 2 4 2" xfId="8162" xr:uid="{00000000-0005-0000-0000-0000541A0000}"/>
    <cellStyle name="Normal 6 2 2 2 2 5" xfId="4908" xr:uid="{00000000-0005-0000-0000-0000551A0000}"/>
    <cellStyle name="Normal 6 2 2 2 3" xfId="1512" xr:uid="{00000000-0005-0000-0000-0000561A0000}"/>
    <cellStyle name="Normal 6 2 2 2 3 2" xfId="1513" xr:uid="{00000000-0005-0000-0000-0000571A0000}"/>
    <cellStyle name="Normal 6 2 2 2 3 2 2" xfId="2934" xr:uid="{00000000-0005-0000-0000-0000581A0000}"/>
    <cellStyle name="Normal 6 2 2 2 3 2 2 2" xfId="7406" xr:uid="{00000000-0005-0000-0000-0000591A0000}"/>
    <cellStyle name="Normal 6 2 2 2 3 2 3" xfId="6249" xr:uid="{00000000-0005-0000-0000-00005A1A0000}"/>
    <cellStyle name="Normal 6 2 2 2 3 3" xfId="2935" xr:uid="{00000000-0005-0000-0000-00005B1A0000}"/>
    <cellStyle name="Normal 6 2 2 2 3 3 2" xfId="7407" xr:uid="{00000000-0005-0000-0000-00005C1A0000}"/>
    <cellStyle name="Normal 6 2 2 2 3 4" xfId="4032" xr:uid="{00000000-0005-0000-0000-00005D1A0000}"/>
    <cellStyle name="Normal 6 2 2 2 3 4 2" xfId="8498" xr:uid="{00000000-0005-0000-0000-00005E1A0000}"/>
    <cellStyle name="Normal 6 2 2 2 3 5" xfId="5244" xr:uid="{00000000-0005-0000-0000-00005F1A0000}"/>
    <cellStyle name="Normal 6 2 2 2 4" xfId="1514" xr:uid="{00000000-0005-0000-0000-0000601A0000}"/>
    <cellStyle name="Normal 6 2 2 2 4 2" xfId="2936" xr:uid="{00000000-0005-0000-0000-0000611A0000}"/>
    <cellStyle name="Normal 6 2 2 2 4 2 2" xfId="7408" xr:uid="{00000000-0005-0000-0000-0000621A0000}"/>
    <cellStyle name="Normal 6 2 2 2 4 3" xfId="6250" xr:uid="{00000000-0005-0000-0000-0000631A0000}"/>
    <cellStyle name="Normal 6 2 2 2 5" xfId="396" xr:uid="{00000000-0005-0000-0000-0000641A0000}"/>
    <cellStyle name="Normal 6 2 2 2 5 2" xfId="5839" xr:uid="{00000000-0005-0000-0000-0000651A0000}"/>
    <cellStyle name="Normal 6 2 2 2 6" xfId="3695" xr:uid="{00000000-0005-0000-0000-0000661A0000}"/>
    <cellStyle name="Normal 6 2 2 2 6 2" xfId="8161" xr:uid="{00000000-0005-0000-0000-0000671A0000}"/>
    <cellStyle name="Normal 6 2 2 2 7" xfId="4907" xr:uid="{00000000-0005-0000-0000-0000681A0000}"/>
    <cellStyle name="Normal 6 2 2 3" xfId="1515" xr:uid="{00000000-0005-0000-0000-0000691A0000}"/>
    <cellStyle name="Normal 6 2 2 3 2" xfId="1516" xr:uid="{00000000-0005-0000-0000-00006A1A0000}"/>
    <cellStyle name="Normal 6 2 2 3 2 2" xfId="2937" xr:uid="{00000000-0005-0000-0000-00006B1A0000}"/>
    <cellStyle name="Normal 6 2 2 3 2 2 2" xfId="7409" xr:uid="{00000000-0005-0000-0000-00006C1A0000}"/>
    <cellStyle name="Normal 6 2 2 3 2 3" xfId="4391" xr:uid="{00000000-0005-0000-0000-00006D1A0000}"/>
    <cellStyle name="Normal 6 2 2 3 2 3 2" xfId="8854" xr:uid="{00000000-0005-0000-0000-00006E1A0000}"/>
    <cellStyle name="Normal 6 2 2 3 2 4" xfId="5603" xr:uid="{00000000-0005-0000-0000-00006F1A0000}"/>
    <cellStyle name="Normal 6 2 2 3 3" xfId="2938" xr:uid="{00000000-0005-0000-0000-0000701A0000}"/>
    <cellStyle name="Normal 6 2 2 3 3 2" xfId="7410" xr:uid="{00000000-0005-0000-0000-0000711A0000}"/>
    <cellStyle name="Normal 6 2 2 3 4" xfId="3697" xr:uid="{00000000-0005-0000-0000-0000721A0000}"/>
    <cellStyle name="Normal 6 2 2 3 4 2" xfId="8163" xr:uid="{00000000-0005-0000-0000-0000731A0000}"/>
    <cellStyle name="Normal 6 2 2 3 5" xfId="4909" xr:uid="{00000000-0005-0000-0000-0000741A0000}"/>
    <cellStyle name="Normal 6 2 2 4" xfId="1517" xr:uid="{00000000-0005-0000-0000-0000751A0000}"/>
    <cellStyle name="Normal 6 2 2 4 2" xfId="1518" xr:uid="{00000000-0005-0000-0000-0000761A0000}"/>
    <cellStyle name="Normal 6 2 2 4 2 2" xfId="2939" xr:uid="{00000000-0005-0000-0000-0000771A0000}"/>
    <cellStyle name="Normal 6 2 2 4 2 2 2" xfId="7411" xr:uid="{00000000-0005-0000-0000-0000781A0000}"/>
    <cellStyle name="Normal 6 2 2 4 2 3" xfId="6251" xr:uid="{00000000-0005-0000-0000-0000791A0000}"/>
    <cellStyle name="Normal 6 2 2 4 3" xfId="2940" xr:uid="{00000000-0005-0000-0000-00007A1A0000}"/>
    <cellStyle name="Normal 6 2 2 4 3 2" xfId="7412" xr:uid="{00000000-0005-0000-0000-00007B1A0000}"/>
    <cellStyle name="Normal 6 2 2 4 4" xfId="4031" xr:uid="{00000000-0005-0000-0000-00007C1A0000}"/>
    <cellStyle name="Normal 6 2 2 4 4 2" xfId="8497" xr:uid="{00000000-0005-0000-0000-00007D1A0000}"/>
    <cellStyle name="Normal 6 2 2 4 5" xfId="5243" xr:uid="{00000000-0005-0000-0000-00007E1A0000}"/>
    <cellStyle name="Normal 6 2 2 5" xfId="1519" xr:uid="{00000000-0005-0000-0000-00007F1A0000}"/>
    <cellStyle name="Normal 6 2 2 5 2" xfId="2941" xr:uid="{00000000-0005-0000-0000-0000801A0000}"/>
    <cellStyle name="Normal 6 2 2 5 2 2" xfId="7413" xr:uid="{00000000-0005-0000-0000-0000811A0000}"/>
    <cellStyle name="Normal 6 2 2 5 3" xfId="6252" xr:uid="{00000000-0005-0000-0000-0000821A0000}"/>
    <cellStyle name="Normal 6 2 2 6" xfId="395" xr:uid="{00000000-0005-0000-0000-0000831A0000}"/>
    <cellStyle name="Normal 6 2 2 6 2" xfId="6094" xr:uid="{00000000-0005-0000-0000-0000841A0000}"/>
    <cellStyle name="Normal 6 2 2 7" xfId="3694" xr:uid="{00000000-0005-0000-0000-0000851A0000}"/>
    <cellStyle name="Normal 6 2 2 7 2" xfId="8160" xr:uid="{00000000-0005-0000-0000-0000861A0000}"/>
    <cellStyle name="Normal 6 2 2 8" xfId="4906" xr:uid="{00000000-0005-0000-0000-0000871A0000}"/>
    <cellStyle name="Normal 6 2 3" xfId="181" xr:uid="{00000000-0005-0000-0000-0000881A0000}"/>
    <cellStyle name="Normal 6 2 3 2" xfId="1520" xr:uid="{00000000-0005-0000-0000-0000891A0000}"/>
    <cellStyle name="Normal 6 2 3 2 2" xfId="1521" xr:uid="{00000000-0005-0000-0000-00008A1A0000}"/>
    <cellStyle name="Normal 6 2 3 2 2 2" xfId="1522" xr:uid="{00000000-0005-0000-0000-00008B1A0000}"/>
    <cellStyle name="Normal 6 2 3 2 2 2 2" xfId="2942" xr:uid="{00000000-0005-0000-0000-00008C1A0000}"/>
    <cellStyle name="Normal 6 2 3 2 2 2 2 2" xfId="7414" xr:uid="{00000000-0005-0000-0000-00008D1A0000}"/>
    <cellStyle name="Normal 6 2 3 2 2 2 3" xfId="4392" xr:uid="{00000000-0005-0000-0000-00008E1A0000}"/>
    <cellStyle name="Normal 6 2 3 2 2 2 3 2" xfId="8855" xr:uid="{00000000-0005-0000-0000-00008F1A0000}"/>
    <cellStyle name="Normal 6 2 3 2 2 2 4" xfId="5604" xr:uid="{00000000-0005-0000-0000-0000901A0000}"/>
    <cellStyle name="Normal 6 2 3 2 2 3" xfId="2943" xr:uid="{00000000-0005-0000-0000-0000911A0000}"/>
    <cellStyle name="Normal 6 2 3 2 2 3 2" xfId="7415" xr:uid="{00000000-0005-0000-0000-0000921A0000}"/>
    <cellStyle name="Normal 6 2 3 2 2 4" xfId="3700" xr:uid="{00000000-0005-0000-0000-0000931A0000}"/>
    <cellStyle name="Normal 6 2 3 2 2 4 2" xfId="8166" xr:uid="{00000000-0005-0000-0000-0000941A0000}"/>
    <cellStyle name="Normal 6 2 3 2 2 5" xfId="4912" xr:uid="{00000000-0005-0000-0000-0000951A0000}"/>
    <cellStyle name="Normal 6 2 3 2 3" xfId="1523" xr:uid="{00000000-0005-0000-0000-0000961A0000}"/>
    <cellStyle name="Normal 6 2 3 2 3 2" xfId="1524" xr:uid="{00000000-0005-0000-0000-0000971A0000}"/>
    <cellStyle name="Normal 6 2 3 2 3 2 2" xfId="2944" xr:uid="{00000000-0005-0000-0000-0000981A0000}"/>
    <cellStyle name="Normal 6 2 3 2 3 2 2 2" xfId="7416" xr:uid="{00000000-0005-0000-0000-0000991A0000}"/>
    <cellStyle name="Normal 6 2 3 2 3 2 3" xfId="6253" xr:uid="{00000000-0005-0000-0000-00009A1A0000}"/>
    <cellStyle name="Normal 6 2 3 2 3 3" xfId="2945" xr:uid="{00000000-0005-0000-0000-00009B1A0000}"/>
    <cellStyle name="Normal 6 2 3 2 3 3 2" xfId="7417" xr:uid="{00000000-0005-0000-0000-00009C1A0000}"/>
    <cellStyle name="Normal 6 2 3 2 3 4" xfId="4034" xr:uid="{00000000-0005-0000-0000-00009D1A0000}"/>
    <cellStyle name="Normal 6 2 3 2 3 4 2" xfId="8500" xr:uid="{00000000-0005-0000-0000-00009E1A0000}"/>
    <cellStyle name="Normal 6 2 3 2 3 5" xfId="5246" xr:uid="{00000000-0005-0000-0000-00009F1A0000}"/>
    <cellStyle name="Normal 6 2 3 2 4" xfId="1525" xr:uid="{00000000-0005-0000-0000-0000A01A0000}"/>
    <cellStyle name="Normal 6 2 3 2 4 2" xfId="2946" xr:uid="{00000000-0005-0000-0000-0000A11A0000}"/>
    <cellStyle name="Normal 6 2 3 2 4 2 2" xfId="7418" xr:uid="{00000000-0005-0000-0000-0000A21A0000}"/>
    <cellStyle name="Normal 6 2 3 2 4 3" xfId="6254" xr:uid="{00000000-0005-0000-0000-0000A31A0000}"/>
    <cellStyle name="Normal 6 2 3 2 5" xfId="2947" xr:uid="{00000000-0005-0000-0000-0000A41A0000}"/>
    <cellStyle name="Normal 6 2 3 2 5 2" xfId="7419" xr:uid="{00000000-0005-0000-0000-0000A51A0000}"/>
    <cellStyle name="Normal 6 2 3 2 6" xfId="3699" xr:uid="{00000000-0005-0000-0000-0000A61A0000}"/>
    <cellStyle name="Normal 6 2 3 2 6 2" xfId="8165" xr:uid="{00000000-0005-0000-0000-0000A71A0000}"/>
    <cellStyle name="Normal 6 2 3 2 7" xfId="4911" xr:uid="{00000000-0005-0000-0000-0000A81A0000}"/>
    <cellStyle name="Normal 6 2 3 3" xfId="1526" xr:uid="{00000000-0005-0000-0000-0000A91A0000}"/>
    <cellStyle name="Normal 6 2 3 3 2" xfId="1527" xr:uid="{00000000-0005-0000-0000-0000AA1A0000}"/>
    <cellStyle name="Normal 6 2 3 3 2 2" xfId="2948" xr:uid="{00000000-0005-0000-0000-0000AB1A0000}"/>
    <cellStyle name="Normal 6 2 3 3 2 2 2" xfId="7420" xr:uid="{00000000-0005-0000-0000-0000AC1A0000}"/>
    <cellStyle name="Normal 6 2 3 3 2 3" xfId="4393" xr:uid="{00000000-0005-0000-0000-0000AD1A0000}"/>
    <cellStyle name="Normal 6 2 3 3 2 3 2" xfId="8856" xr:uid="{00000000-0005-0000-0000-0000AE1A0000}"/>
    <cellStyle name="Normal 6 2 3 3 2 4" xfId="5605" xr:uid="{00000000-0005-0000-0000-0000AF1A0000}"/>
    <cellStyle name="Normal 6 2 3 3 3" xfId="2949" xr:uid="{00000000-0005-0000-0000-0000B01A0000}"/>
    <cellStyle name="Normal 6 2 3 3 3 2" xfId="7421" xr:uid="{00000000-0005-0000-0000-0000B11A0000}"/>
    <cellStyle name="Normal 6 2 3 3 4" xfId="3701" xr:uid="{00000000-0005-0000-0000-0000B21A0000}"/>
    <cellStyle name="Normal 6 2 3 3 4 2" xfId="8167" xr:uid="{00000000-0005-0000-0000-0000B31A0000}"/>
    <cellStyle name="Normal 6 2 3 3 5" xfId="4913" xr:uid="{00000000-0005-0000-0000-0000B41A0000}"/>
    <cellStyle name="Normal 6 2 3 4" xfId="1528" xr:uid="{00000000-0005-0000-0000-0000B51A0000}"/>
    <cellStyle name="Normal 6 2 3 4 2" xfId="1529" xr:uid="{00000000-0005-0000-0000-0000B61A0000}"/>
    <cellStyle name="Normal 6 2 3 4 2 2" xfId="2950" xr:uid="{00000000-0005-0000-0000-0000B71A0000}"/>
    <cellStyle name="Normal 6 2 3 4 2 2 2" xfId="7422" xr:uid="{00000000-0005-0000-0000-0000B81A0000}"/>
    <cellStyle name="Normal 6 2 3 4 2 3" xfId="6255" xr:uid="{00000000-0005-0000-0000-0000B91A0000}"/>
    <cellStyle name="Normal 6 2 3 4 3" xfId="2951" xr:uid="{00000000-0005-0000-0000-0000BA1A0000}"/>
    <cellStyle name="Normal 6 2 3 4 3 2" xfId="7423" xr:uid="{00000000-0005-0000-0000-0000BB1A0000}"/>
    <cellStyle name="Normal 6 2 3 4 4" xfId="4033" xr:uid="{00000000-0005-0000-0000-0000BC1A0000}"/>
    <cellStyle name="Normal 6 2 3 4 4 2" xfId="8499" xr:uid="{00000000-0005-0000-0000-0000BD1A0000}"/>
    <cellStyle name="Normal 6 2 3 4 5" xfId="5245" xr:uid="{00000000-0005-0000-0000-0000BE1A0000}"/>
    <cellStyle name="Normal 6 2 3 5" xfId="1530" xr:uid="{00000000-0005-0000-0000-0000BF1A0000}"/>
    <cellStyle name="Normal 6 2 3 5 2" xfId="2952" xr:uid="{00000000-0005-0000-0000-0000C01A0000}"/>
    <cellStyle name="Normal 6 2 3 5 2 2" xfId="7424" xr:uid="{00000000-0005-0000-0000-0000C11A0000}"/>
    <cellStyle name="Normal 6 2 3 5 3" xfId="6256" xr:uid="{00000000-0005-0000-0000-0000C21A0000}"/>
    <cellStyle name="Normal 6 2 3 6" xfId="397" xr:uid="{00000000-0005-0000-0000-0000C31A0000}"/>
    <cellStyle name="Normal 6 2 3 6 2" xfId="5965" xr:uid="{00000000-0005-0000-0000-0000C41A0000}"/>
    <cellStyle name="Normal 6 2 3 7" xfId="3698" xr:uid="{00000000-0005-0000-0000-0000C51A0000}"/>
    <cellStyle name="Normal 6 2 3 7 2" xfId="8164" xr:uid="{00000000-0005-0000-0000-0000C61A0000}"/>
    <cellStyle name="Normal 6 2 3 8" xfId="4910" xr:uid="{00000000-0005-0000-0000-0000C71A0000}"/>
    <cellStyle name="Normal 6 2 4" xfId="1531" xr:uid="{00000000-0005-0000-0000-0000C81A0000}"/>
    <cellStyle name="Normal 6 2 4 2" xfId="1532" xr:uid="{00000000-0005-0000-0000-0000C91A0000}"/>
    <cellStyle name="Normal 6 2 4 2 2" xfId="1533" xr:uid="{00000000-0005-0000-0000-0000CA1A0000}"/>
    <cellStyle name="Normal 6 2 4 2 2 2" xfId="2953" xr:uid="{00000000-0005-0000-0000-0000CB1A0000}"/>
    <cellStyle name="Normal 6 2 4 2 2 2 2" xfId="7425" xr:uid="{00000000-0005-0000-0000-0000CC1A0000}"/>
    <cellStyle name="Normal 6 2 4 2 2 3" xfId="4394" xr:uid="{00000000-0005-0000-0000-0000CD1A0000}"/>
    <cellStyle name="Normal 6 2 4 2 2 3 2" xfId="8857" xr:uid="{00000000-0005-0000-0000-0000CE1A0000}"/>
    <cellStyle name="Normal 6 2 4 2 2 4" xfId="5606" xr:uid="{00000000-0005-0000-0000-0000CF1A0000}"/>
    <cellStyle name="Normal 6 2 4 2 3" xfId="2954" xr:uid="{00000000-0005-0000-0000-0000D01A0000}"/>
    <cellStyle name="Normal 6 2 4 2 3 2" xfId="7426" xr:uid="{00000000-0005-0000-0000-0000D11A0000}"/>
    <cellStyle name="Normal 6 2 4 2 4" xfId="3703" xr:uid="{00000000-0005-0000-0000-0000D21A0000}"/>
    <cellStyle name="Normal 6 2 4 2 4 2" xfId="8169" xr:uid="{00000000-0005-0000-0000-0000D31A0000}"/>
    <cellStyle name="Normal 6 2 4 2 5" xfId="4915" xr:uid="{00000000-0005-0000-0000-0000D41A0000}"/>
    <cellStyle name="Normal 6 2 4 3" xfId="1534" xr:uid="{00000000-0005-0000-0000-0000D51A0000}"/>
    <cellStyle name="Normal 6 2 4 3 2" xfId="1535" xr:uid="{00000000-0005-0000-0000-0000D61A0000}"/>
    <cellStyle name="Normal 6 2 4 3 2 2" xfId="2955" xr:uid="{00000000-0005-0000-0000-0000D71A0000}"/>
    <cellStyle name="Normal 6 2 4 3 2 2 2" xfId="7427" xr:uid="{00000000-0005-0000-0000-0000D81A0000}"/>
    <cellStyle name="Normal 6 2 4 3 2 3" xfId="6257" xr:uid="{00000000-0005-0000-0000-0000D91A0000}"/>
    <cellStyle name="Normal 6 2 4 3 3" xfId="2956" xr:uid="{00000000-0005-0000-0000-0000DA1A0000}"/>
    <cellStyle name="Normal 6 2 4 3 3 2" xfId="7428" xr:uid="{00000000-0005-0000-0000-0000DB1A0000}"/>
    <cellStyle name="Normal 6 2 4 3 4" xfId="4035" xr:uid="{00000000-0005-0000-0000-0000DC1A0000}"/>
    <cellStyle name="Normal 6 2 4 3 4 2" xfId="8501" xr:uid="{00000000-0005-0000-0000-0000DD1A0000}"/>
    <cellStyle name="Normal 6 2 4 3 5" xfId="5247" xr:uid="{00000000-0005-0000-0000-0000DE1A0000}"/>
    <cellStyle name="Normal 6 2 4 4" xfId="1536" xr:uid="{00000000-0005-0000-0000-0000DF1A0000}"/>
    <cellStyle name="Normal 6 2 4 4 2" xfId="2957" xr:uid="{00000000-0005-0000-0000-0000E01A0000}"/>
    <cellStyle name="Normal 6 2 4 4 2 2" xfId="7429" xr:uid="{00000000-0005-0000-0000-0000E11A0000}"/>
    <cellStyle name="Normal 6 2 4 4 3" xfId="6258" xr:uid="{00000000-0005-0000-0000-0000E21A0000}"/>
    <cellStyle name="Normal 6 2 4 5" xfId="2958" xr:uid="{00000000-0005-0000-0000-0000E31A0000}"/>
    <cellStyle name="Normal 6 2 4 5 2" xfId="7430" xr:uid="{00000000-0005-0000-0000-0000E41A0000}"/>
    <cellStyle name="Normal 6 2 4 6" xfId="3702" xr:uid="{00000000-0005-0000-0000-0000E51A0000}"/>
    <cellStyle name="Normal 6 2 4 6 2" xfId="8168" xr:uid="{00000000-0005-0000-0000-0000E61A0000}"/>
    <cellStyle name="Normal 6 2 4 7" xfId="4914" xr:uid="{00000000-0005-0000-0000-0000E71A0000}"/>
    <cellStyle name="Normal 6 2 5" xfId="1537" xr:uid="{00000000-0005-0000-0000-0000E81A0000}"/>
    <cellStyle name="Normal 6 2 5 2" xfId="1538" xr:uid="{00000000-0005-0000-0000-0000E91A0000}"/>
    <cellStyle name="Normal 6 2 5 2 2" xfId="2959" xr:uid="{00000000-0005-0000-0000-0000EA1A0000}"/>
    <cellStyle name="Normal 6 2 5 2 2 2" xfId="7431" xr:uid="{00000000-0005-0000-0000-0000EB1A0000}"/>
    <cellStyle name="Normal 6 2 5 2 3" xfId="4395" xr:uid="{00000000-0005-0000-0000-0000EC1A0000}"/>
    <cellStyle name="Normal 6 2 5 2 3 2" xfId="8858" xr:uid="{00000000-0005-0000-0000-0000ED1A0000}"/>
    <cellStyle name="Normal 6 2 5 2 4" xfId="5607" xr:uid="{00000000-0005-0000-0000-0000EE1A0000}"/>
    <cellStyle name="Normal 6 2 5 3" xfId="2960" xr:uid="{00000000-0005-0000-0000-0000EF1A0000}"/>
    <cellStyle name="Normal 6 2 5 3 2" xfId="7432" xr:uid="{00000000-0005-0000-0000-0000F01A0000}"/>
    <cellStyle name="Normal 6 2 5 4" xfId="3704" xr:uid="{00000000-0005-0000-0000-0000F11A0000}"/>
    <cellStyle name="Normal 6 2 5 4 2" xfId="8170" xr:uid="{00000000-0005-0000-0000-0000F21A0000}"/>
    <cellStyle name="Normal 6 2 5 5" xfId="4916" xr:uid="{00000000-0005-0000-0000-0000F31A0000}"/>
    <cellStyle name="Normal 6 2 6" xfId="1539" xr:uid="{00000000-0005-0000-0000-0000F41A0000}"/>
    <cellStyle name="Normal 6 2 6 2" xfId="1540" xr:uid="{00000000-0005-0000-0000-0000F51A0000}"/>
    <cellStyle name="Normal 6 2 6 2 2" xfId="2961" xr:uid="{00000000-0005-0000-0000-0000F61A0000}"/>
    <cellStyle name="Normal 6 2 6 2 2 2" xfId="7433" xr:uid="{00000000-0005-0000-0000-0000F71A0000}"/>
    <cellStyle name="Normal 6 2 6 2 3" xfId="6259" xr:uid="{00000000-0005-0000-0000-0000F81A0000}"/>
    <cellStyle name="Normal 6 2 6 3" xfId="2962" xr:uid="{00000000-0005-0000-0000-0000F91A0000}"/>
    <cellStyle name="Normal 6 2 6 3 2" xfId="7434" xr:uid="{00000000-0005-0000-0000-0000FA1A0000}"/>
    <cellStyle name="Normal 6 2 6 4" xfId="4396" xr:uid="{00000000-0005-0000-0000-0000FB1A0000}"/>
    <cellStyle name="Normal 6 2 6 4 2" xfId="8859" xr:uid="{00000000-0005-0000-0000-0000FC1A0000}"/>
    <cellStyle name="Normal 6 2 6 5" xfId="5608" xr:uid="{00000000-0005-0000-0000-0000FD1A0000}"/>
    <cellStyle name="Normal 6 2 7" xfId="1541" xr:uid="{00000000-0005-0000-0000-0000FE1A0000}"/>
    <cellStyle name="Normal 6 2 7 2" xfId="2963" xr:uid="{00000000-0005-0000-0000-0000FF1A0000}"/>
    <cellStyle name="Normal 6 2 7 2 2" xfId="7435" xr:uid="{00000000-0005-0000-0000-0000001B0000}"/>
    <cellStyle name="Normal 6 2 7 3" xfId="4030" xr:uid="{00000000-0005-0000-0000-0000011B0000}"/>
    <cellStyle name="Normal 6 2 7 3 2" xfId="8496" xr:uid="{00000000-0005-0000-0000-0000021B0000}"/>
    <cellStyle name="Normal 6 2 7 4" xfId="5242" xr:uid="{00000000-0005-0000-0000-0000031B0000}"/>
    <cellStyle name="Normal 6 2 8" xfId="394" xr:uid="{00000000-0005-0000-0000-0000041B0000}"/>
    <cellStyle name="Normal 6 2 8 2" xfId="6093" xr:uid="{00000000-0005-0000-0000-0000051B0000}"/>
    <cellStyle name="Normal 6 2 9" xfId="3693" xr:uid="{00000000-0005-0000-0000-0000061B0000}"/>
    <cellStyle name="Normal 6 2 9 2" xfId="8159" xr:uid="{00000000-0005-0000-0000-0000071B0000}"/>
    <cellStyle name="Normal 6 3" xfId="182" xr:uid="{00000000-0005-0000-0000-0000081B0000}"/>
    <cellStyle name="Normal 6 3 2" xfId="183" xr:uid="{00000000-0005-0000-0000-0000091B0000}"/>
    <cellStyle name="Normal 6 3 2 2" xfId="1542" xr:uid="{00000000-0005-0000-0000-00000A1B0000}"/>
    <cellStyle name="Normal 6 3 2 2 2" xfId="1543" xr:uid="{00000000-0005-0000-0000-00000B1B0000}"/>
    <cellStyle name="Normal 6 3 2 2 2 2" xfId="2964" xr:uid="{00000000-0005-0000-0000-00000C1B0000}"/>
    <cellStyle name="Normal 6 3 2 2 2 2 2" xfId="7436" xr:uid="{00000000-0005-0000-0000-00000D1B0000}"/>
    <cellStyle name="Normal 6 3 2 2 2 3" xfId="4397" xr:uid="{00000000-0005-0000-0000-00000E1B0000}"/>
    <cellStyle name="Normal 6 3 2 2 2 3 2" xfId="8860" xr:uid="{00000000-0005-0000-0000-00000F1B0000}"/>
    <cellStyle name="Normal 6 3 2 2 2 4" xfId="5609" xr:uid="{00000000-0005-0000-0000-0000101B0000}"/>
    <cellStyle name="Normal 6 3 2 2 3" xfId="2965" xr:uid="{00000000-0005-0000-0000-0000111B0000}"/>
    <cellStyle name="Normal 6 3 2 2 3 2" xfId="7437" xr:uid="{00000000-0005-0000-0000-0000121B0000}"/>
    <cellStyle name="Normal 6 3 2 2 4" xfId="3707" xr:uid="{00000000-0005-0000-0000-0000131B0000}"/>
    <cellStyle name="Normal 6 3 2 2 4 2" xfId="8173" xr:uid="{00000000-0005-0000-0000-0000141B0000}"/>
    <cellStyle name="Normal 6 3 2 2 5" xfId="4919" xr:uid="{00000000-0005-0000-0000-0000151B0000}"/>
    <cellStyle name="Normal 6 3 2 3" xfId="1544" xr:uid="{00000000-0005-0000-0000-0000161B0000}"/>
    <cellStyle name="Normal 6 3 2 3 2" xfId="1545" xr:uid="{00000000-0005-0000-0000-0000171B0000}"/>
    <cellStyle name="Normal 6 3 2 3 2 2" xfId="2966" xr:uid="{00000000-0005-0000-0000-0000181B0000}"/>
    <cellStyle name="Normal 6 3 2 3 2 2 2" xfId="7438" xr:uid="{00000000-0005-0000-0000-0000191B0000}"/>
    <cellStyle name="Normal 6 3 2 3 2 3" xfId="6260" xr:uid="{00000000-0005-0000-0000-00001A1B0000}"/>
    <cellStyle name="Normal 6 3 2 3 3" xfId="2967" xr:uid="{00000000-0005-0000-0000-00001B1B0000}"/>
    <cellStyle name="Normal 6 3 2 3 3 2" xfId="7439" xr:uid="{00000000-0005-0000-0000-00001C1B0000}"/>
    <cellStyle name="Normal 6 3 2 3 4" xfId="4037" xr:uid="{00000000-0005-0000-0000-00001D1B0000}"/>
    <cellStyle name="Normal 6 3 2 3 4 2" xfId="8503" xr:uid="{00000000-0005-0000-0000-00001E1B0000}"/>
    <cellStyle name="Normal 6 3 2 3 5" xfId="5249" xr:uid="{00000000-0005-0000-0000-00001F1B0000}"/>
    <cellStyle name="Normal 6 3 2 4" xfId="1546" xr:uid="{00000000-0005-0000-0000-0000201B0000}"/>
    <cellStyle name="Normal 6 3 2 4 2" xfId="2968" xr:uid="{00000000-0005-0000-0000-0000211B0000}"/>
    <cellStyle name="Normal 6 3 2 4 2 2" xfId="7440" xr:uid="{00000000-0005-0000-0000-0000221B0000}"/>
    <cellStyle name="Normal 6 3 2 4 3" xfId="6261" xr:uid="{00000000-0005-0000-0000-0000231B0000}"/>
    <cellStyle name="Normal 6 3 2 5" xfId="399" xr:uid="{00000000-0005-0000-0000-0000241B0000}"/>
    <cellStyle name="Normal 6 3 2 5 2" xfId="5838" xr:uid="{00000000-0005-0000-0000-0000251B0000}"/>
    <cellStyle name="Normal 6 3 2 6" xfId="3706" xr:uid="{00000000-0005-0000-0000-0000261B0000}"/>
    <cellStyle name="Normal 6 3 2 6 2" xfId="8172" xr:uid="{00000000-0005-0000-0000-0000271B0000}"/>
    <cellStyle name="Normal 6 3 2 7" xfId="4918" xr:uid="{00000000-0005-0000-0000-0000281B0000}"/>
    <cellStyle name="Normal 6 3 3" xfId="1547" xr:uid="{00000000-0005-0000-0000-0000291B0000}"/>
    <cellStyle name="Normal 6 3 3 2" xfId="1548" xr:uid="{00000000-0005-0000-0000-00002A1B0000}"/>
    <cellStyle name="Normal 6 3 3 2 2" xfId="2969" xr:uid="{00000000-0005-0000-0000-00002B1B0000}"/>
    <cellStyle name="Normal 6 3 3 2 2 2" xfId="7441" xr:uid="{00000000-0005-0000-0000-00002C1B0000}"/>
    <cellStyle name="Normal 6 3 3 2 3" xfId="4398" xr:uid="{00000000-0005-0000-0000-00002D1B0000}"/>
    <cellStyle name="Normal 6 3 3 2 3 2" xfId="8861" xr:uid="{00000000-0005-0000-0000-00002E1B0000}"/>
    <cellStyle name="Normal 6 3 3 2 4" xfId="5610" xr:uid="{00000000-0005-0000-0000-00002F1B0000}"/>
    <cellStyle name="Normal 6 3 3 3" xfId="2970" xr:uid="{00000000-0005-0000-0000-0000301B0000}"/>
    <cellStyle name="Normal 6 3 3 3 2" xfId="7442" xr:uid="{00000000-0005-0000-0000-0000311B0000}"/>
    <cellStyle name="Normal 6 3 3 4" xfId="3708" xr:uid="{00000000-0005-0000-0000-0000321B0000}"/>
    <cellStyle name="Normal 6 3 3 4 2" xfId="8174" xr:uid="{00000000-0005-0000-0000-0000331B0000}"/>
    <cellStyle name="Normal 6 3 3 5" xfId="4920" xr:uid="{00000000-0005-0000-0000-0000341B0000}"/>
    <cellStyle name="Normal 6 3 4" xfId="1549" xr:uid="{00000000-0005-0000-0000-0000351B0000}"/>
    <cellStyle name="Normal 6 3 4 2" xfId="1550" xr:uid="{00000000-0005-0000-0000-0000361B0000}"/>
    <cellStyle name="Normal 6 3 4 2 2" xfId="2971" xr:uid="{00000000-0005-0000-0000-0000371B0000}"/>
    <cellStyle name="Normal 6 3 4 2 2 2" xfId="7443" xr:uid="{00000000-0005-0000-0000-0000381B0000}"/>
    <cellStyle name="Normal 6 3 4 2 3" xfId="6262" xr:uid="{00000000-0005-0000-0000-0000391B0000}"/>
    <cellStyle name="Normal 6 3 4 3" xfId="2972" xr:uid="{00000000-0005-0000-0000-00003A1B0000}"/>
    <cellStyle name="Normal 6 3 4 3 2" xfId="7444" xr:uid="{00000000-0005-0000-0000-00003B1B0000}"/>
    <cellStyle name="Normal 6 3 4 4" xfId="4036" xr:uid="{00000000-0005-0000-0000-00003C1B0000}"/>
    <cellStyle name="Normal 6 3 4 4 2" xfId="8502" xr:uid="{00000000-0005-0000-0000-00003D1B0000}"/>
    <cellStyle name="Normal 6 3 4 5" xfId="5248" xr:uid="{00000000-0005-0000-0000-00003E1B0000}"/>
    <cellStyle name="Normal 6 3 5" xfId="1551" xr:uid="{00000000-0005-0000-0000-00003F1B0000}"/>
    <cellStyle name="Normal 6 3 5 2" xfId="2973" xr:uid="{00000000-0005-0000-0000-0000401B0000}"/>
    <cellStyle name="Normal 6 3 5 2 2" xfId="7445" xr:uid="{00000000-0005-0000-0000-0000411B0000}"/>
    <cellStyle name="Normal 6 3 5 3" xfId="6263" xr:uid="{00000000-0005-0000-0000-0000421B0000}"/>
    <cellStyle name="Normal 6 3 6" xfId="398" xr:uid="{00000000-0005-0000-0000-0000431B0000}"/>
    <cellStyle name="Normal 6 3 6 2" xfId="6092" xr:uid="{00000000-0005-0000-0000-0000441B0000}"/>
    <cellStyle name="Normal 6 3 7" xfId="3705" xr:uid="{00000000-0005-0000-0000-0000451B0000}"/>
    <cellStyle name="Normal 6 3 7 2" xfId="8171" xr:uid="{00000000-0005-0000-0000-0000461B0000}"/>
    <cellStyle name="Normal 6 3 8" xfId="4917" xr:uid="{00000000-0005-0000-0000-0000471B0000}"/>
    <cellStyle name="Normal 6 4" xfId="184" xr:uid="{00000000-0005-0000-0000-0000481B0000}"/>
    <cellStyle name="Normal 6 4 2" xfId="1552" xr:uid="{00000000-0005-0000-0000-0000491B0000}"/>
    <cellStyle name="Normal 6 4 2 2" xfId="1553" xr:uid="{00000000-0005-0000-0000-00004A1B0000}"/>
    <cellStyle name="Normal 6 4 2 2 2" xfId="1554" xr:uid="{00000000-0005-0000-0000-00004B1B0000}"/>
    <cellStyle name="Normal 6 4 2 2 2 2" xfId="2974" xr:uid="{00000000-0005-0000-0000-00004C1B0000}"/>
    <cellStyle name="Normal 6 4 2 2 2 2 2" xfId="7446" xr:uid="{00000000-0005-0000-0000-00004D1B0000}"/>
    <cellStyle name="Normal 6 4 2 2 2 3" xfId="4399" xr:uid="{00000000-0005-0000-0000-00004E1B0000}"/>
    <cellStyle name="Normal 6 4 2 2 2 3 2" xfId="8862" xr:uid="{00000000-0005-0000-0000-00004F1B0000}"/>
    <cellStyle name="Normal 6 4 2 2 2 4" xfId="5611" xr:uid="{00000000-0005-0000-0000-0000501B0000}"/>
    <cellStyle name="Normal 6 4 2 2 3" xfId="2975" xr:uid="{00000000-0005-0000-0000-0000511B0000}"/>
    <cellStyle name="Normal 6 4 2 2 3 2" xfId="7447" xr:uid="{00000000-0005-0000-0000-0000521B0000}"/>
    <cellStyle name="Normal 6 4 2 2 4" xfId="3711" xr:uid="{00000000-0005-0000-0000-0000531B0000}"/>
    <cellStyle name="Normal 6 4 2 2 4 2" xfId="8177" xr:uid="{00000000-0005-0000-0000-0000541B0000}"/>
    <cellStyle name="Normal 6 4 2 2 5" xfId="4923" xr:uid="{00000000-0005-0000-0000-0000551B0000}"/>
    <cellStyle name="Normal 6 4 2 3" xfId="1555" xr:uid="{00000000-0005-0000-0000-0000561B0000}"/>
    <cellStyle name="Normal 6 4 2 3 2" xfId="1556" xr:uid="{00000000-0005-0000-0000-0000571B0000}"/>
    <cellStyle name="Normal 6 4 2 3 2 2" xfId="2976" xr:uid="{00000000-0005-0000-0000-0000581B0000}"/>
    <cellStyle name="Normal 6 4 2 3 2 2 2" xfId="7448" xr:uid="{00000000-0005-0000-0000-0000591B0000}"/>
    <cellStyle name="Normal 6 4 2 3 2 3" xfId="6264" xr:uid="{00000000-0005-0000-0000-00005A1B0000}"/>
    <cellStyle name="Normal 6 4 2 3 3" xfId="2977" xr:uid="{00000000-0005-0000-0000-00005B1B0000}"/>
    <cellStyle name="Normal 6 4 2 3 3 2" xfId="7449" xr:uid="{00000000-0005-0000-0000-00005C1B0000}"/>
    <cellStyle name="Normal 6 4 2 3 4" xfId="4039" xr:uid="{00000000-0005-0000-0000-00005D1B0000}"/>
    <cellStyle name="Normal 6 4 2 3 4 2" xfId="8505" xr:uid="{00000000-0005-0000-0000-00005E1B0000}"/>
    <cellStyle name="Normal 6 4 2 3 5" xfId="5251" xr:uid="{00000000-0005-0000-0000-00005F1B0000}"/>
    <cellStyle name="Normal 6 4 2 4" xfId="1557" xr:uid="{00000000-0005-0000-0000-0000601B0000}"/>
    <cellStyle name="Normal 6 4 2 4 2" xfId="2978" xr:uid="{00000000-0005-0000-0000-0000611B0000}"/>
    <cellStyle name="Normal 6 4 2 4 2 2" xfId="7450" xr:uid="{00000000-0005-0000-0000-0000621B0000}"/>
    <cellStyle name="Normal 6 4 2 4 3" xfId="6265" xr:uid="{00000000-0005-0000-0000-0000631B0000}"/>
    <cellStyle name="Normal 6 4 2 5" xfId="2979" xr:uid="{00000000-0005-0000-0000-0000641B0000}"/>
    <cellStyle name="Normal 6 4 2 5 2" xfId="7451" xr:uid="{00000000-0005-0000-0000-0000651B0000}"/>
    <cellStyle name="Normal 6 4 2 6" xfId="3710" xr:uid="{00000000-0005-0000-0000-0000661B0000}"/>
    <cellStyle name="Normal 6 4 2 6 2" xfId="8176" xr:uid="{00000000-0005-0000-0000-0000671B0000}"/>
    <cellStyle name="Normal 6 4 2 7" xfId="4922" xr:uid="{00000000-0005-0000-0000-0000681B0000}"/>
    <cellStyle name="Normal 6 4 3" xfId="1558" xr:uid="{00000000-0005-0000-0000-0000691B0000}"/>
    <cellStyle name="Normal 6 4 3 2" xfId="1559" xr:uid="{00000000-0005-0000-0000-00006A1B0000}"/>
    <cellStyle name="Normal 6 4 3 2 2" xfId="2980" xr:uid="{00000000-0005-0000-0000-00006B1B0000}"/>
    <cellStyle name="Normal 6 4 3 2 2 2" xfId="7452" xr:uid="{00000000-0005-0000-0000-00006C1B0000}"/>
    <cellStyle name="Normal 6 4 3 2 3" xfId="4400" xr:uid="{00000000-0005-0000-0000-00006D1B0000}"/>
    <cellStyle name="Normal 6 4 3 2 3 2" xfId="8863" xr:uid="{00000000-0005-0000-0000-00006E1B0000}"/>
    <cellStyle name="Normal 6 4 3 2 4" xfId="5612" xr:uid="{00000000-0005-0000-0000-00006F1B0000}"/>
    <cellStyle name="Normal 6 4 3 3" xfId="2981" xr:uid="{00000000-0005-0000-0000-0000701B0000}"/>
    <cellStyle name="Normal 6 4 3 3 2" xfId="7453" xr:uid="{00000000-0005-0000-0000-0000711B0000}"/>
    <cellStyle name="Normal 6 4 3 4" xfId="3712" xr:uid="{00000000-0005-0000-0000-0000721B0000}"/>
    <cellStyle name="Normal 6 4 3 4 2" xfId="8178" xr:uid="{00000000-0005-0000-0000-0000731B0000}"/>
    <cellStyle name="Normal 6 4 3 5" xfId="4924" xr:uid="{00000000-0005-0000-0000-0000741B0000}"/>
    <cellStyle name="Normal 6 4 4" xfId="1560" xr:uid="{00000000-0005-0000-0000-0000751B0000}"/>
    <cellStyle name="Normal 6 4 4 2" xfId="1561" xr:uid="{00000000-0005-0000-0000-0000761B0000}"/>
    <cellStyle name="Normal 6 4 4 2 2" xfId="2982" xr:uid="{00000000-0005-0000-0000-0000771B0000}"/>
    <cellStyle name="Normal 6 4 4 2 2 2" xfId="7454" xr:uid="{00000000-0005-0000-0000-0000781B0000}"/>
    <cellStyle name="Normal 6 4 4 2 3" xfId="6266" xr:uid="{00000000-0005-0000-0000-0000791B0000}"/>
    <cellStyle name="Normal 6 4 4 3" xfId="2983" xr:uid="{00000000-0005-0000-0000-00007A1B0000}"/>
    <cellStyle name="Normal 6 4 4 3 2" xfId="7455" xr:uid="{00000000-0005-0000-0000-00007B1B0000}"/>
    <cellStyle name="Normal 6 4 4 4" xfId="4038" xr:uid="{00000000-0005-0000-0000-00007C1B0000}"/>
    <cellStyle name="Normal 6 4 4 4 2" xfId="8504" xr:uid="{00000000-0005-0000-0000-00007D1B0000}"/>
    <cellStyle name="Normal 6 4 4 5" xfId="5250" xr:uid="{00000000-0005-0000-0000-00007E1B0000}"/>
    <cellStyle name="Normal 6 4 5" xfId="1562" xr:uid="{00000000-0005-0000-0000-00007F1B0000}"/>
    <cellStyle name="Normal 6 4 5 2" xfId="2984" xr:uid="{00000000-0005-0000-0000-0000801B0000}"/>
    <cellStyle name="Normal 6 4 5 2 2" xfId="7456" xr:uid="{00000000-0005-0000-0000-0000811B0000}"/>
    <cellStyle name="Normal 6 4 5 3" xfId="6267" xr:uid="{00000000-0005-0000-0000-0000821B0000}"/>
    <cellStyle name="Normal 6 4 6" xfId="400" xr:uid="{00000000-0005-0000-0000-0000831B0000}"/>
    <cellStyle name="Normal 6 4 6 2" xfId="5837" xr:uid="{00000000-0005-0000-0000-0000841B0000}"/>
    <cellStyle name="Normal 6 4 7" xfId="3709" xr:uid="{00000000-0005-0000-0000-0000851B0000}"/>
    <cellStyle name="Normal 6 4 7 2" xfId="8175" xr:uid="{00000000-0005-0000-0000-0000861B0000}"/>
    <cellStyle name="Normal 6 4 8" xfId="4921" xr:uid="{00000000-0005-0000-0000-0000871B0000}"/>
    <cellStyle name="Normal 6 5" xfId="1563" xr:uid="{00000000-0005-0000-0000-0000881B0000}"/>
    <cellStyle name="Normal 6 5 2" xfId="1564" xr:uid="{00000000-0005-0000-0000-0000891B0000}"/>
    <cellStyle name="Normal 6 5 2 2" xfId="1565" xr:uid="{00000000-0005-0000-0000-00008A1B0000}"/>
    <cellStyle name="Normal 6 5 2 2 2" xfId="2985" xr:uid="{00000000-0005-0000-0000-00008B1B0000}"/>
    <cellStyle name="Normal 6 5 2 2 2 2" xfId="7457" xr:uid="{00000000-0005-0000-0000-00008C1B0000}"/>
    <cellStyle name="Normal 6 5 2 2 3" xfId="4401" xr:uid="{00000000-0005-0000-0000-00008D1B0000}"/>
    <cellStyle name="Normal 6 5 2 2 3 2" xfId="8864" xr:uid="{00000000-0005-0000-0000-00008E1B0000}"/>
    <cellStyle name="Normal 6 5 2 2 4" xfId="5613" xr:uid="{00000000-0005-0000-0000-00008F1B0000}"/>
    <cellStyle name="Normal 6 5 2 3" xfId="2986" xr:uid="{00000000-0005-0000-0000-0000901B0000}"/>
    <cellStyle name="Normal 6 5 2 3 2" xfId="7458" xr:uid="{00000000-0005-0000-0000-0000911B0000}"/>
    <cellStyle name="Normal 6 5 2 4" xfId="3714" xr:uid="{00000000-0005-0000-0000-0000921B0000}"/>
    <cellStyle name="Normal 6 5 2 4 2" xfId="8180" xr:uid="{00000000-0005-0000-0000-0000931B0000}"/>
    <cellStyle name="Normal 6 5 2 5" xfId="4926" xr:uid="{00000000-0005-0000-0000-0000941B0000}"/>
    <cellStyle name="Normal 6 5 3" xfId="1566" xr:uid="{00000000-0005-0000-0000-0000951B0000}"/>
    <cellStyle name="Normal 6 5 3 2" xfId="1567" xr:uid="{00000000-0005-0000-0000-0000961B0000}"/>
    <cellStyle name="Normal 6 5 3 2 2" xfId="2987" xr:uid="{00000000-0005-0000-0000-0000971B0000}"/>
    <cellStyle name="Normal 6 5 3 2 2 2" xfId="7459" xr:uid="{00000000-0005-0000-0000-0000981B0000}"/>
    <cellStyle name="Normal 6 5 3 2 3" xfId="6268" xr:uid="{00000000-0005-0000-0000-0000991B0000}"/>
    <cellStyle name="Normal 6 5 3 3" xfId="2988" xr:uid="{00000000-0005-0000-0000-00009A1B0000}"/>
    <cellStyle name="Normal 6 5 3 3 2" xfId="7460" xr:uid="{00000000-0005-0000-0000-00009B1B0000}"/>
    <cellStyle name="Normal 6 5 3 4" xfId="4040" xr:uid="{00000000-0005-0000-0000-00009C1B0000}"/>
    <cellStyle name="Normal 6 5 3 4 2" xfId="8506" xr:uid="{00000000-0005-0000-0000-00009D1B0000}"/>
    <cellStyle name="Normal 6 5 3 5" xfId="5252" xr:uid="{00000000-0005-0000-0000-00009E1B0000}"/>
    <cellStyle name="Normal 6 5 4" xfId="1568" xr:uid="{00000000-0005-0000-0000-00009F1B0000}"/>
    <cellStyle name="Normal 6 5 4 2" xfId="2989" xr:uid="{00000000-0005-0000-0000-0000A01B0000}"/>
    <cellStyle name="Normal 6 5 4 2 2" xfId="7461" xr:uid="{00000000-0005-0000-0000-0000A11B0000}"/>
    <cellStyle name="Normal 6 5 4 3" xfId="6269" xr:uid="{00000000-0005-0000-0000-0000A21B0000}"/>
    <cellStyle name="Normal 6 5 5" xfId="2990" xr:uid="{00000000-0005-0000-0000-0000A31B0000}"/>
    <cellStyle name="Normal 6 5 5 2" xfId="7462" xr:uid="{00000000-0005-0000-0000-0000A41B0000}"/>
    <cellStyle name="Normal 6 5 6" xfId="3713" xr:uid="{00000000-0005-0000-0000-0000A51B0000}"/>
    <cellStyle name="Normal 6 5 6 2" xfId="8179" xr:uid="{00000000-0005-0000-0000-0000A61B0000}"/>
    <cellStyle name="Normal 6 5 7" xfId="4925" xr:uid="{00000000-0005-0000-0000-0000A71B0000}"/>
    <cellStyle name="Normal 6 6" xfId="1569" xr:uid="{00000000-0005-0000-0000-0000A81B0000}"/>
    <cellStyle name="Normal 6 6 2" xfId="1570" xr:uid="{00000000-0005-0000-0000-0000A91B0000}"/>
    <cellStyle name="Normal 6 6 2 2" xfId="2991" xr:uid="{00000000-0005-0000-0000-0000AA1B0000}"/>
    <cellStyle name="Normal 6 6 2 2 2" xfId="7463" xr:uid="{00000000-0005-0000-0000-0000AB1B0000}"/>
    <cellStyle name="Normal 6 6 2 3" xfId="4402" xr:uid="{00000000-0005-0000-0000-0000AC1B0000}"/>
    <cellStyle name="Normal 6 6 2 3 2" xfId="8865" xr:uid="{00000000-0005-0000-0000-0000AD1B0000}"/>
    <cellStyle name="Normal 6 6 2 4" xfId="5614" xr:uid="{00000000-0005-0000-0000-0000AE1B0000}"/>
    <cellStyle name="Normal 6 6 3" xfId="2992" xr:uid="{00000000-0005-0000-0000-0000AF1B0000}"/>
    <cellStyle name="Normal 6 6 3 2" xfId="7464" xr:uid="{00000000-0005-0000-0000-0000B01B0000}"/>
    <cellStyle name="Normal 6 6 4" xfId="3715" xr:uid="{00000000-0005-0000-0000-0000B11B0000}"/>
    <cellStyle name="Normal 6 6 4 2" xfId="8181" xr:uid="{00000000-0005-0000-0000-0000B21B0000}"/>
    <cellStyle name="Normal 6 6 5" xfId="4927" xr:uid="{00000000-0005-0000-0000-0000B31B0000}"/>
    <cellStyle name="Normal 6 7" xfId="1571" xr:uid="{00000000-0005-0000-0000-0000B41B0000}"/>
    <cellStyle name="Normal 6 7 2" xfId="1572" xr:uid="{00000000-0005-0000-0000-0000B51B0000}"/>
    <cellStyle name="Normal 6 7 2 2" xfId="2993" xr:uid="{00000000-0005-0000-0000-0000B61B0000}"/>
    <cellStyle name="Normal 6 7 2 2 2" xfId="7465" xr:uid="{00000000-0005-0000-0000-0000B71B0000}"/>
    <cellStyle name="Normal 6 7 2 3" xfId="6270" xr:uid="{00000000-0005-0000-0000-0000B81B0000}"/>
    <cellStyle name="Normal 6 7 3" xfId="2994" xr:uid="{00000000-0005-0000-0000-0000B91B0000}"/>
    <cellStyle name="Normal 6 7 3 2" xfId="7466" xr:uid="{00000000-0005-0000-0000-0000BA1B0000}"/>
    <cellStyle name="Normal 6 7 4" xfId="4403" xr:uid="{00000000-0005-0000-0000-0000BB1B0000}"/>
    <cellStyle name="Normal 6 7 4 2" xfId="8866" xr:uid="{00000000-0005-0000-0000-0000BC1B0000}"/>
    <cellStyle name="Normal 6 7 5" xfId="5615" xr:uid="{00000000-0005-0000-0000-0000BD1B0000}"/>
    <cellStyle name="Normal 6 8" xfId="1573" xr:uid="{00000000-0005-0000-0000-0000BE1B0000}"/>
    <cellStyle name="Normal 6 8 2" xfId="2995" xr:uid="{00000000-0005-0000-0000-0000BF1B0000}"/>
    <cellStyle name="Normal 6 8 2 2" xfId="7467" xr:uid="{00000000-0005-0000-0000-0000C01B0000}"/>
    <cellStyle name="Normal 6 8 3" xfId="4477" xr:uid="{00000000-0005-0000-0000-0000C11B0000}"/>
    <cellStyle name="Normal 6 8 4" xfId="6271" xr:uid="{00000000-0005-0000-0000-0000C21B0000}"/>
    <cellStyle name="Normal 6 9" xfId="2996" xr:uid="{00000000-0005-0000-0000-0000C31B0000}"/>
    <cellStyle name="Normal 6 9 2" xfId="7468" xr:uid="{00000000-0005-0000-0000-0000C41B0000}"/>
    <cellStyle name="Normal 7" xfId="19" xr:uid="{00000000-0005-0000-0000-0000C51B0000}"/>
    <cellStyle name="Normal 7 2" xfId="185" xr:uid="{00000000-0005-0000-0000-0000C61B0000}"/>
    <cellStyle name="Normal 7 2 2" xfId="186" xr:uid="{00000000-0005-0000-0000-0000C71B0000}"/>
    <cellStyle name="Normal 7 2 2 2" xfId="187" xr:uid="{00000000-0005-0000-0000-0000C81B0000}"/>
    <cellStyle name="Normal 7 2 2 2 2" xfId="1574" xr:uid="{00000000-0005-0000-0000-0000C91B0000}"/>
    <cellStyle name="Normal 7 2 2 2 2 2" xfId="1575" xr:uid="{00000000-0005-0000-0000-0000CA1B0000}"/>
    <cellStyle name="Normal 7 2 2 2 2 2 2" xfId="2997" xr:uid="{00000000-0005-0000-0000-0000CB1B0000}"/>
    <cellStyle name="Normal 7 2 2 2 2 2 2 2" xfId="7469" xr:uid="{00000000-0005-0000-0000-0000CC1B0000}"/>
    <cellStyle name="Normal 7 2 2 2 2 2 3" xfId="4404" xr:uid="{00000000-0005-0000-0000-0000CD1B0000}"/>
    <cellStyle name="Normal 7 2 2 2 2 2 3 2" xfId="8867" xr:uid="{00000000-0005-0000-0000-0000CE1B0000}"/>
    <cellStyle name="Normal 7 2 2 2 2 2 4" xfId="5616" xr:uid="{00000000-0005-0000-0000-0000CF1B0000}"/>
    <cellStyle name="Normal 7 2 2 2 2 3" xfId="2998" xr:uid="{00000000-0005-0000-0000-0000D01B0000}"/>
    <cellStyle name="Normal 7 2 2 2 2 3 2" xfId="7470" xr:uid="{00000000-0005-0000-0000-0000D11B0000}"/>
    <cellStyle name="Normal 7 2 2 2 2 4" xfId="3719" xr:uid="{00000000-0005-0000-0000-0000D21B0000}"/>
    <cellStyle name="Normal 7 2 2 2 2 4 2" xfId="8185" xr:uid="{00000000-0005-0000-0000-0000D31B0000}"/>
    <cellStyle name="Normal 7 2 2 2 2 5" xfId="4931" xr:uid="{00000000-0005-0000-0000-0000D41B0000}"/>
    <cellStyle name="Normal 7 2 2 2 3" xfId="1576" xr:uid="{00000000-0005-0000-0000-0000D51B0000}"/>
    <cellStyle name="Normal 7 2 2 2 3 2" xfId="1577" xr:uid="{00000000-0005-0000-0000-0000D61B0000}"/>
    <cellStyle name="Normal 7 2 2 2 3 2 2" xfId="2999" xr:uid="{00000000-0005-0000-0000-0000D71B0000}"/>
    <cellStyle name="Normal 7 2 2 2 3 2 2 2" xfId="7471" xr:uid="{00000000-0005-0000-0000-0000D81B0000}"/>
    <cellStyle name="Normal 7 2 2 2 3 2 3" xfId="6272" xr:uid="{00000000-0005-0000-0000-0000D91B0000}"/>
    <cellStyle name="Normal 7 2 2 2 3 3" xfId="3000" xr:uid="{00000000-0005-0000-0000-0000DA1B0000}"/>
    <cellStyle name="Normal 7 2 2 2 3 3 2" xfId="7472" xr:uid="{00000000-0005-0000-0000-0000DB1B0000}"/>
    <cellStyle name="Normal 7 2 2 2 3 4" xfId="4043" xr:uid="{00000000-0005-0000-0000-0000DC1B0000}"/>
    <cellStyle name="Normal 7 2 2 2 3 4 2" xfId="8509" xr:uid="{00000000-0005-0000-0000-0000DD1B0000}"/>
    <cellStyle name="Normal 7 2 2 2 3 5" xfId="5255" xr:uid="{00000000-0005-0000-0000-0000DE1B0000}"/>
    <cellStyle name="Normal 7 2 2 2 4" xfId="1578" xr:uid="{00000000-0005-0000-0000-0000DF1B0000}"/>
    <cellStyle name="Normal 7 2 2 2 4 2" xfId="3001" xr:uid="{00000000-0005-0000-0000-0000E01B0000}"/>
    <cellStyle name="Normal 7 2 2 2 4 2 2" xfId="7473" xr:uid="{00000000-0005-0000-0000-0000E11B0000}"/>
    <cellStyle name="Normal 7 2 2 2 4 3" xfId="6273" xr:uid="{00000000-0005-0000-0000-0000E21B0000}"/>
    <cellStyle name="Normal 7 2 2 2 5" xfId="403" xr:uid="{00000000-0005-0000-0000-0000E31B0000}"/>
    <cellStyle name="Normal 7 2 2 2 5 2" xfId="5836" xr:uid="{00000000-0005-0000-0000-0000E41B0000}"/>
    <cellStyle name="Normal 7 2 2 2 6" xfId="3718" xr:uid="{00000000-0005-0000-0000-0000E51B0000}"/>
    <cellStyle name="Normal 7 2 2 2 6 2" xfId="8184" xr:uid="{00000000-0005-0000-0000-0000E61B0000}"/>
    <cellStyle name="Normal 7 2 2 2 7" xfId="4930" xr:uid="{00000000-0005-0000-0000-0000E71B0000}"/>
    <cellStyle name="Normal 7 2 2 3" xfId="1579" xr:uid="{00000000-0005-0000-0000-0000E81B0000}"/>
    <cellStyle name="Normal 7 2 2 3 2" xfId="1580" xr:uid="{00000000-0005-0000-0000-0000E91B0000}"/>
    <cellStyle name="Normal 7 2 2 3 2 2" xfId="3002" xr:uid="{00000000-0005-0000-0000-0000EA1B0000}"/>
    <cellStyle name="Normal 7 2 2 3 2 2 2" xfId="7474" xr:uid="{00000000-0005-0000-0000-0000EB1B0000}"/>
    <cellStyle name="Normal 7 2 2 3 2 3" xfId="4405" xr:uid="{00000000-0005-0000-0000-0000EC1B0000}"/>
    <cellStyle name="Normal 7 2 2 3 2 3 2" xfId="8868" xr:uid="{00000000-0005-0000-0000-0000ED1B0000}"/>
    <cellStyle name="Normal 7 2 2 3 2 4" xfId="5617" xr:uid="{00000000-0005-0000-0000-0000EE1B0000}"/>
    <cellStyle name="Normal 7 2 2 3 3" xfId="3003" xr:uid="{00000000-0005-0000-0000-0000EF1B0000}"/>
    <cellStyle name="Normal 7 2 2 3 3 2" xfId="7475" xr:uid="{00000000-0005-0000-0000-0000F01B0000}"/>
    <cellStyle name="Normal 7 2 2 3 4" xfId="3720" xr:uid="{00000000-0005-0000-0000-0000F11B0000}"/>
    <cellStyle name="Normal 7 2 2 3 4 2" xfId="8186" xr:uid="{00000000-0005-0000-0000-0000F21B0000}"/>
    <cellStyle name="Normal 7 2 2 3 5" xfId="4932" xr:uid="{00000000-0005-0000-0000-0000F31B0000}"/>
    <cellStyle name="Normal 7 2 2 4" xfId="1581" xr:uid="{00000000-0005-0000-0000-0000F41B0000}"/>
    <cellStyle name="Normal 7 2 2 4 2" xfId="1582" xr:uid="{00000000-0005-0000-0000-0000F51B0000}"/>
    <cellStyle name="Normal 7 2 2 4 2 2" xfId="3004" xr:uid="{00000000-0005-0000-0000-0000F61B0000}"/>
    <cellStyle name="Normal 7 2 2 4 2 2 2" xfId="7476" xr:uid="{00000000-0005-0000-0000-0000F71B0000}"/>
    <cellStyle name="Normal 7 2 2 4 2 3" xfId="6274" xr:uid="{00000000-0005-0000-0000-0000F81B0000}"/>
    <cellStyle name="Normal 7 2 2 4 3" xfId="3005" xr:uid="{00000000-0005-0000-0000-0000F91B0000}"/>
    <cellStyle name="Normal 7 2 2 4 3 2" xfId="7477" xr:uid="{00000000-0005-0000-0000-0000FA1B0000}"/>
    <cellStyle name="Normal 7 2 2 4 4" xfId="4042" xr:uid="{00000000-0005-0000-0000-0000FB1B0000}"/>
    <cellStyle name="Normal 7 2 2 4 4 2" xfId="8508" xr:uid="{00000000-0005-0000-0000-0000FC1B0000}"/>
    <cellStyle name="Normal 7 2 2 4 5" xfId="5254" xr:uid="{00000000-0005-0000-0000-0000FD1B0000}"/>
    <cellStyle name="Normal 7 2 2 5" xfId="1583" xr:uid="{00000000-0005-0000-0000-0000FE1B0000}"/>
    <cellStyle name="Normal 7 2 2 5 2" xfId="3006" xr:uid="{00000000-0005-0000-0000-0000FF1B0000}"/>
    <cellStyle name="Normal 7 2 2 5 2 2" xfId="7478" xr:uid="{00000000-0005-0000-0000-0000001C0000}"/>
    <cellStyle name="Normal 7 2 2 5 3" xfId="6275" xr:uid="{00000000-0005-0000-0000-0000011C0000}"/>
    <cellStyle name="Normal 7 2 2 6" xfId="402" xr:uid="{00000000-0005-0000-0000-0000021C0000}"/>
    <cellStyle name="Normal 7 2 2 6 2" xfId="6091" xr:uid="{00000000-0005-0000-0000-0000031C0000}"/>
    <cellStyle name="Normal 7 2 2 7" xfId="3717" xr:uid="{00000000-0005-0000-0000-0000041C0000}"/>
    <cellStyle name="Normal 7 2 2 7 2" xfId="8183" xr:uid="{00000000-0005-0000-0000-0000051C0000}"/>
    <cellStyle name="Normal 7 2 2 8" xfId="4929" xr:uid="{00000000-0005-0000-0000-0000061C0000}"/>
    <cellStyle name="Normal 7 2 3" xfId="188" xr:uid="{00000000-0005-0000-0000-0000071C0000}"/>
    <cellStyle name="Normal 7 2 3 2" xfId="1584" xr:uid="{00000000-0005-0000-0000-0000081C0000}"/>
    <cellStyle name="Normal 7 2 3 2 2" xfId="1585" xr:uid="{00000000-0005-0000-0000-0000091C0000}"/>
    <cellStyle name="Normal 7 2 3 2 2 2" xfId="3007" xr:uid="{00000000-0005-0000-0000-00000A1C0000}"/>
    <cellStyle name="Normal 7 2 3 2 2 2 2" xfId="7479" xr:uid="{00000000-0005-0000-0000-00000B1C0000}"/>
    <cellStyle name="Normal 7 2 3 2 2 3" xfId="4406" xr:uid="{00000000-0005-0000-0000-00000C1C0000}"/>
    <cellStyle name="Normal 7 2 3 2 2 3 2" xfId="8869" xr:uid="{00000000-0005-0000-0000-00000D1C0000}"/>
    <cellStyle name="Normal 7 2 3 2 2 4" xfId="5618" xr:uid="{00000000-0005-0000-0000-00000E1C0000}"/>
    <cellStyle name="Normal 7 2 3 2 3" xfId="3008" xr:uid="{00000000-0005-0000-0000-00000F1C0000}"/>
    <cellStyle name="Normal 7 2 3 2 3 2" xfId="7480" xr:uid="{00000000-0005-0000-0000-0000101C0000}"/>
    <cellStyle name="Normal 7 2 3 2 4" xfId="3722" xr:uid="{00000000-0005-0000-0000-0000111C0000}"/>
    <cellStyle name="Normal 7 2 3 2 4 2" xfId="8188" xr:uid="{00000000-0005-0000-0000-0000121C0000}"/>
    <cellStyle name="Normal 7 2 3 2 5" xfId="4934" xr:uid="{00000000-0005-0000-0000-0000131C0000}"/>
    <cellStyle name="Normal 7 2 3 3" xfId="1586" xr:uid="{00000000-0005-0000-0000-0000141C0000}"/>
    <cellStyle name="Normal 7 2 3 3 2" xfId="1587" xr:uid="{00000000-0005-0000-0000-0000151C0000}"/>
    <cellStyle name="Normal 7 2 3 3 2 2" xfId="3009" xr:uid="{00000000-0005-0000-0000-0000161C0000}"/>
    <cellStyle name="Normal 7 2 3 3 2 2 2" xfId="7481" xr:uid="{00000000-0005-0000-0000-0000171C0000}"/>
    <cellStyle name="Normal 7 2 3 3 2 3" xfId="6276" xr:uid="{00000000-0005-0000-0000-0000181C0000}"/>
    <cellStyle name="Normal 7 2 3 3 3" xfId="3010" xr:uid="{00000000-0005-0000-0000-0000191C0000}"/>
    <cellStyle name="Normal 7 2 3 3 3 2" xfId="7482" xr:uid="{00000000-0005-0000-0000-00001A1C0000}"/>
    <cellStyle name="Normal 7 2 3 3 4" xfId="4044" xr:uid="{00000000-0005-0000-0000-00001B1C0000}"/>
    <cellStyle name="Normal 7 2 3 3 4 2" xfId="8510" xr:uid="{00000000-0005-0000-0000-00001C1C0000}"/>
    <cellStyle name="Normal 7 2 3 3 5" xfId="5256" xr:uid="{00000000-0005-0000-0000-00001D1C0000}"/>
    <cellStyle name="Normal 7 2 3 4" xfId="1588" xr:uid="{00000000-0005-0000-0000-00001E1C0000}"/>
    <cellStyle name="Normal 7 2 3 4 2" xfId="3011" xr:uid="{00000000-0005-0000-0000-00001F1C0000}"/>
    <cellStyle name="Normal 7 2 3 4 2 2" xfId="7483" xr:uid="{00000000-0005-0000-0000-0000201C0000}"/>
    <cellStyle name="Normal 7 2 3 4 3" xfId="6277" xr:uid="{00000000-0005-0000-0000-0000211C0000}"/>
    <cellStyle name="Normal 7 2 3 5" xfId="404" xr:uid="{00000000-0005-0000-0000-0000221C0000}"/>
    <cellStyle name="Normal 7 2 3 5 2" xfId="5964" xr:uid="{00000000-0005-0000-0000-0000231C0000}"/>
    <cellStyle name="Normal 7 2 3 6" xfId="3721" xr:uid="{00000000-0005-0000-0000-0000241C0000}"/>
    <cellStyle name="Normal 7 2 3 6 2" xfId="8187" xr:uid="{00000000-0005-0000-0000-0000251C0000}"/>
    <cellStyle name="Normal 7 2 3 7" xfId="4933" xr:uid="{00000000-0005-0000-0000-0000261C0000}"/>
    <cellStyle name="Normal 7 2 4" xfId="1589" xr:uid="{00000000-0005-0000-0000-0000271C0000}"/>
    <cellStyle name="Normal 7 2 4 2" xfId="1590" xr:uid="{00000000-0005-0000-0000-0000281C0000}"/>
    <cellStyle name="Normal 7 2 4 2 2" xfId="3012" xr:uid="{00000000-0005-0000-0000-0000291C0000}"/>
    <cellStyle name="Normal 7 2 4 2 2 2" xfId="7484" xr:uid="{00000000-0005-0000-0000-00002A1C0000}"/>
    <cellStyle name="Normal 7 2 4 2 3" xfId="4407" xr:uid="{00000000-0005-0000-0000-00002B1C0000}"/>
    <cellStyle name="Normal 7 2 4 2 3 2" xfId="8870" xr:uid="{00000000-0005-0000-0000-00002C1C0000}"/>
    <cellStyle name="Normal 7 2 4 2 4" xfId="5619" xr:uid="{00000000-0005-0000-0000-00002D1C0000}"/>
    <cellStyle name="Normal 7 2 4 3" xfId="3013" xr:uid="{00000000-0005-0000-0000-00002E1C0000}"/>
    <cellStyle name="Normal 7 2 4 3 2" xfId="7485" xr:uid="{00000000-0005-0000-0000-00002F1C0000}"/>
    <cellStyle name="Normal 7 2 4 4" xfId="3723" xr:uid="{00000000-0005-0000-0000-0000301C0000}"/>
    <cellStyle name="Normal 7 2 4 4 2" xfId="8189" xr:uid="{00000000-0005-0000-0000-0000311C0000}"/>
    <cellStyle name="Normal 7 2 4 5" xfId="4935" xr:uid="{00000000-0005-0000-0000-0000321C0000}"/>
    <cellStyle name="Normal 7 2 5" xfId="1591" xr:uid="{00000000-0005-0000-0000-0000331C0000}"/>
    <cellStyle name="Normal 7 2 5 2" xfId="1592" xr:uid="{00000000-0005-0000-0000-0000341C0000}"/>
    <cellStyle name="Normal 7 2 5 2 2" xfId="3014" xr:uid="{00000000-0005-0000-0000-0000351C0000}"/>
    <cellStyle name="Normal 7 2 5 2 2 2" xfId="7486" xr:uid="{00000000-0005-0000-0000-0000361C0000}"/>
    <cellStyle name="Normal 7 2 5 2 3" xfId="6278" xr:uid="{00000000-0005-0000-0000-0000371C0000}"/>
    <cellStyle name="Normal 7 2 5 3" xfId="3015" xr:uid="{00000000-0005-0000-0000-0000381C0000}"/>
    <cellStyle name="Normal 7 2 5 3 2" xfId="7487" xr:uid="{00000000-0005-0000-0000-0000391C0000}"/>
    <cellStyle name="Normal 7 2 5 4" xfId="4041" xr:uid="{00000000-0005-0000-0000-00003A1C0000}"/>
    <cellStyle name="Normal 7 2 5 4 2" xfId="8507" xr:uid="{00000000-0005-0000-0000-00003B1C0000}"/>
    <cellStyle name="Normal 7 2 5 5" xfId="5253" xr:uid="{00000000-0005-0000-0000-00003C1C0000}"/>
    <cellStyle name="Normal 7 2 6" xfId="1593" xr:uid="{00000000-0005-0000-0000-00003D1C0000}"/>
    <cellStyle name="Normal 7 2 6 2" xfId="3016" xr:uid="{00000000-0005-0000-0000-00003E1C0000}"/>
    <cellStyle name="Normal 7 2 6 2 2" xfId="7488" xr:uid="{00000000-0005-0000-0000-00003F1C0000}"/>
    <cellStyle name="Normal 7 2 6 3" xfId="6279" xr:uid="{00000000-0005-0000-0000-0000401C0000}"/>
    <cellStyle name="Normal 7 2 7" xfId="401" xr:uid="{00000000-0005-0000-0000-0000411C0000}"/>
    <cellStyle name="Normal 7 2 7 2" xfId="5963" xr:uid="{00000000-0005-0000-0000-0000421C0000}"/>
    <cellStyle name="Normal 7 2 8" xfId="3716" xr:uid="{00000000-0005-0000-0000-0000431C0000}"/>
    <cellStyle name="Normal 7 2 8 2" xfId="8182" xr:uid="{00000000-0005-0000-0000-0000441C0000}"/>
    <cellStyle name="Normal 7 2 9" xfId="4928" xr:uid="{00000000-0005-0000-0000-0000451C0000}"/>
    <cellStyle name="Normal 7 3" xfId="189" xr:uid="{00000000-0005-0000-0000-0000461C0000}"/>
    <cellStyle name="Normal 7 3 2" xfId="190" xr:uid="{00000000-0005-0000-0000-0000471C0000}"/>
    <cellStyle name="Normal 7 3 2 2" xfId="1594" xr:uid="{00000000-0005-0000-0000-0000481C0000}"/>
    <cellStyle name="Normal 7 3 2 2 2" xfId="1595" xr:uid="{00000000-0005-0000-0000-0000491C0000}"/>
    <cellStyle name="Normal 7 3 2 2 2 2" xfId="3017" xr:uid="{00000000-0005-0000-0000-00004A1C0000}"/>
    <cellStyle name="Normal 7 3 2 2 2 2 2" xfId="7489" xr:uid="{00000000-0005-0000-0000-00004B1C0000}"/>
    <cellStyle name="Normal 7 3 2 2 2 3" xfId="4408" xr:uid="{00000000-0005-0000-0000-00004C1C0000}"/>
    <cellStyle name="Normal 7 3 2 2 2 3 2" xfId="8871" xr:uid="{00000000-0005-0000-0000-00004D1C0000}"/>
    <cellStyle name="Normal 7 3 2 2 2 4" xfId="5620" xr:uid="{00000000-0005-0000-0000-00004E1C0000}"/>
    <cellStyle name="Normal 7 3 2 2 3" xfId="3018" xr:uid="{00000000-0005-0000-0000-00004F1C0000}"/>
    <cellStyle name="Normal 7 3 2 2 3 2" xfId="7490" xr:uid="{00000000-0005-0000-0000-0000501C0000}"/>
    <cellStyle name="Normal 7 3 2 2 4" xfId="3726" xr:uid="{00000000-0005-0000-0000-0000511C0000}"/>
    <cellStyle name="Normal 7 3 2 2 4 2" xfId="8192" xr:uid="{00000000-0005-0000-0000-0000521C0000}"/>
    <cellStyle name="Normal 7 3 2 2 5" xfId="4938" xr:uid="{00000000-0005-0000-0000-0000531C0000}"/>
    <cellStyle name="Normal 7 3 2 3" xfId="1596" xr:uid="{00000000-0005-0000-0000-0000541C0000}"/>
    <cellStyle name="Normal 7 3 2 3 2" xfId="1597" xr:uid="{00000000-0005-0000-0000-0000551C0000}"/>
    <cellStyle name="Normal 7 3 2 3 2 2" xfId="3019" xr:uid="{00000000-0005-0000-0000-0000561C0000}"/>
    <cellStyle name="Normal 7 3 2 3 2 2 2" xfId="7491" xr:uid="{00000000-0005-0000-0000-0000571C0000}"/>
    <cellStyle name="Normal 7 3 2 3 2 3" xfId="6280" xr:uid="{00000000-0005-0000-0000-0000581C0000}"/>
    <cellStyle name="Normal 7 3 2 3 3" xfId="3020" xr:uid="{00000000-0005-0000-0000-0000591C0000}"/>
    <cellStyle name="Normal 7 3 2 3 3 2" xfId="7492" xr:uid="{00000000-0005-0000-0000-00005A1C0000}"/>
    <cellStyle name="Normal 7 3 2 3 4" xfId="4046" xr:uid="{00000000-0005-0000-0000-00005B1C0000}"/>
    <cellStyle name="Normal 7 3 2 3 4 2" xfId="8512" xr:uid="{00000000-0005-0000-0000-00005C1C0000}"/>
    <cellStyle name="Normal 7 3 2 3 5" xfId="5258" xr:uid="{00000000-0005-0000-0000-00005D1C0000}"/>
    <cellStyle name="Normal 7 3 2 4" xfId="1598" xr:uid="{00000000-0005-0000-0000-00005E1C0000}"/>
    <cellStyle name="Normal 7 3 2 4 2" xfId="3021" xr:uid="{00000000-0005-0000-0000-00005F1C0000}"/>
    <cellStyle name="Normal 7 3 2 4 2 2" xfId="7493" xr:uid="{00000000-0005-0000-0000-0000601C0000}"/>
    <cellStyle name="Normal 7 3 2 4 3" xfId="6281" xr:uid="{00000000-0005-0000-0000-0000611C0000}"/>
    <cellStyle name="Normal 7 3 2 5" xfId="406" xr:uid="{00000000-0005-0000-0000-0000621C0000}"/>
    <cellStyle name="Normal 7 3 2 5 2" xfId="5835" xr:uid="{00000000-0005-0000-0000-0000631C0000}"/>
    <cellStyle name="Normal 7 3 2 6" xfId="3725" xr:uid="{00000000-0005-0000-0000-0000641C0000}"/>
    <cellStyle name="Normal 7 3 2 6 2" xfId="8191" xr:uid="{00000000-0005-0000-0000-0000651C0000}"/>
    <cellStyle name="Normal 7 3 2 7" xfId="4937" xr:uid="{00000000-0005-0000-0000-0000661C0000}"/>
    <cellStyle name="Normal 7 3 3" xfId="1599" xr:uid="{00000000-0005-0000-0000-0000671C0000}"/>
    <cellStyle name="Normal 7 3 3 2" xfId="1600" xr:uid="{00000000-0005-0000-0000-0000681C0000}"/>
    <cellStyle name="Normal 7 3 3 2 2" xfId="3022" xr:uid="{00000000-0005-0000-0000-0000691C0000}"/>
    <cellStyle name="Normal 7 3 3 2 2 2" xfId="7494" xr:uid="{00000000-0005-0000-0000-00006A1C0000}"/>
    <cellStyle name="Normal 7 3 3 2 3" xfId="4409" xr:uid="{00000000-0005-0000-0000-00006B1C0000}"/>
    <cellStyle name="Normal 7 3 3 2 3 2" xfId="8872" xr:uid="{00000000-0005-0000-0000-00006C1C0000}"/>
    <cellStyle name="Normal 7 3 3 2 4" xfId="5621" xr:uid="{00000000-0005-0000-0000-00006D1C0000}"/>
    <cellStyle name="Normal 7 3 3 3" xfId="3023" xr:uid="{00000000-0005-0000-0000-00006E1C0000}"/>
    <cellStyle name="Normal 7 3 3 3 2" xfId="7495" xr:uid="{00000000-0005-0000-0000-00006F1C0000}"/>
    <cellStyle name="Normal 7 3 3 4" xfId="3727" xr:uid="{00000000-0005-0000-0000-0000701C0000}"/>
    <cellStyle name="Normal 7 3 3 4 2" xfId="8193" xr:uid="{00000000-0005-0000-0000-0000711C0000}"/>
    <cellStyle name="Normal 7 3 3 5" xfId="4939" xr:uid="{00000000-0005-0000-0000-0000721C0000}"/>
    <cellStyle name="Normal 7 3 4" xfId="1601" xr:uid="{00000000-0005-0000-0000-0000731C0000}"/>
    <cellStyle name="Normal 7 3 4 2" xfId="1602" xr:uid="{00000000-0005-0000-0000-0000741C0000}"/>
    <cellStyle name="Normal 7 3 4 2 2" xfId="3024" xr:uid="{00000000-0005-0000-0000-0000751C0000}"/>
    <cellStyle name="Normal 7 3 4 2 2 2" xfId="7496" xr:uid="{00000000-0005-0000-0000-0000761C0000}"/>
    <cellStyle name="Normal 7 3 4 2 3" xfId="6282" xr:uid="{00000000-0005-0000-0000-0000771C0000}"/>
    <cellStyle name="Normal 7 3 4 3" xfId="3025" xr:uid="{00000000-0005-0000-0000-0000781C0000}"/>
    <cellStyle name="Normal 7 3 4 3 2" xfId="7497" xr:uid="{00000000-0005-0000-0000-0000791C0000}"/>
    <cellStyle name="Normal 7 3 4 4" xfId="4045" xr:uid="{00000000-0005-0000-0000-00007A1C0000}"/>
    <cellStyle name="Normal 7 3 4 4 2" xfId="8511" xr:uid="{00000000-0005-0000-0000-00007B1C0000}"/>
    <cellStyle name="Normal 7 3 4 5" xfId="5257" xr:uid="{00000000-0005-0000-0000-00007C1C0000}"/>
    <cellStyle name="Normal 7 3 5" xfId="1603" xr:uid="{00000000-0005-0000-0000-00007D1C0000}"/>
    <cellStyle name="Normal 7 3 5 2" xfId="3026" xr:uid="{00000000-0005-0000-0000-00007E1C0000}"/>
    <cellStyle name="Normal 7 3 5 2 2" xfId="7498" xr:uid="{00000000-0005-0000-0000-00007F1C0000}"/>
    <cellStyle name="Normal 7 3 5 3" xfId="6283" xr:uid="{00000000-0005-0000-0000-0000801C0000}"/>
    <cellStyle name="Normal 7 3 6" xfId="405" xr:uid="{00000000-0005-0000-0000-0000811C0000}"/>
    <cellStyle name="Normal 7 3 6 2" xfId="6090" xr:uid="{00000000-0005-0000-0000-0000821C0000}"/>
    <cellStyle name="Normal 7 3 7" xfId="3724" xr:uid="{00000000-0005-0000-0000-0000831C0000}"/>
    <cellStyle name="Normal 7 3 7 2" xfId="8190" xr:uid="{00000000-0005-0000-0000-0000841C0000}"/>
    <cellStyle name="Normal 7 3 8" xfId="4936" xr:uid="{00000000-0005-0000-0000-0000851C0000}"/>
    <cellStyle name="Normal 7 4" xfId="191" xr:uid="{00000000-0005-0000-0000-0000861C0000}"/>
    <cellStyle name="Normal 7 4 2" xfId="1604" xr:uid="{00000000-0005-0000-0000-0000871C0000}"/>
    <cellStyle name="Normal 7 4 2 2" xfId="1605" xr:uid="{00000000-0005-0000-0000-0000881C0000}"/>
    <cellStyle name="Normal 7 4 2 2 2" xfId="1606" xr:uid="{00000000-0005-0000-0000-0000891C0000}"/>
    <cellStyle name="Normal 7 4 2 2 2 2" xfId="3027" xr:uid="{00000000-0005-0000-0000-00008A1C0000}"/>
    <cellStyle name="Normal 7 4 2 2 2 2 2" xfId="7499" xr:uid="{00000000-0005-0000-0000-00008B1C0000}"/>
    <cellStyle name="Normal 7 4 2 2 2 3" xfId="4410" xr:uid="{00000000-0005-0000-0000-00008C1C0000}"/>
    <cellStyle name="Normal 7 4 2 2 2 3 2" xfId="8873" xr:uid="{00000000-0005-0000-0000-00008D1C0000}"/>
    <cellStyle name="Normal 7 4 2 2 2 4" xfId="5622" xr:uid="{00000000-0005-0000-0000-00008E1C0000}"/>
    <cellStyle name="Normal 7 4 2 2 3" xfId="3028" xr:uid="{00000000-0005-0000-0000-00008F1C0000}"/>
    <cellStyle name="Normal 7 4 2 2 3 2" xfId="7500" xr:uid="{00000000-0005-0000-0000-0000901C0000}"/>
    <cellStyle name="Normal 7 4 2 2 4" xfId="3730" xr:uid="{00000000-0005-0000-0000-0000911C0000}"/>
    <cellStyle name="Normal 7 4 2 2 4 2" xfId="8196" xr:uid="{00000000-0005-0000-0000-0000921C0000}"/>
    <cellStyle name="Normal 7 4 2 2 5" xfId="4942" xr:uid="{00000000-0005-0000-0000-0000931C0000}"/>
    <cellStyle name="Normal 7 4 2 3" xfId="1607" xr:uid="{00000000-0005-0000-0000-0000941C0000}"/>
    <cellStyle name="Normal 7 4 2 3 2" xfId="1608" xr:uid="{00000000-0005-0000-0000-0000951C0000}"/>
    <cellStyle name="Normal 7 4 2 3 2 2" xfId="3029" xr:uid="{00000000-0005-0000-0000-0000961C0000}"/>
    <cellStyle name="Normal 7 4 2 3 2 2 2" xfId="7501" xr:uid="{00000000-0005-0000-0000-0000971C0000}"/>
    <cellStyle name="Normal 7 4 2 3 2 3" xfId="6284" xr:uid="{00000000-0005-0000-0000-0000981C0000}"/>
    <cellStyle name="Normal 7 4 2 3 3" xfId="3030" xr:uid="{00000000-0005-0000-0000-0000991C0000}"/>
    <cellStyle name="Normal 7 4 2 3 3 2" xfId="7502" xr:uid="{00000000-0005-0000-0000-00009A1C0000}"/>
    <cellStyle name="Normal 7 4 2 3 4" xfId="4048" xr:uid="{00000000-0005-0000-0000-00009B1C0000}"/>
    <cellStyle name="Normal 7 4 2 3 4 2" xfId="8514" xr:uid="{00000000-0005-0000-0000-00009C1C0000}"/>
    <cellStyle name="Normal 7 4 2 3 5" xfId="5260" xr:uid="{00000000-0005-0000-0000-00009D1C0000}"/>
    <cellStyle name="Normal 7 4 2 4" xfId="1609" xr:uid="{00000000-0005-0000-0000-00009E1C0000}"/>
    <cellStyle name="Normal 7 4 2 4 2" xfId="3031" xr:uid="{00000000-0005-0000-0000-00009F1C0000}"/>
    <cellStyle name="Normal 7 4 2 4 2 2" xfId="7503" xr:uid="{00000000-0005-0000-0000-0000A01C0000}"/>
    <cellStyle name="Normal 7 4 2 4 3" xfId="6285" xr:uid="{00000000-0005-0000-0000-0000A11C0000}"/>
    <cellStyle name="Normal 7 4 2 5" xfId="3032" xr:uid="{00000000-0005-0000-0000-0000A21C0000}"/>
    <cellStyle name="Normal 7 4 2 5 2" xfId="7504" xr:uid="{00000000-0005-0000-0000-0000A31C0000}"/>
    <cellStyle name="Normal 7 4 2 6" xfId="3729" xr:uid="{00000000-0005-0000-0000-0000A41C0000}"/>
    <cellStyle name="Normal 7 4 2 6 2" xfId="8195" xr:uid="{00000000-0005-0000-0000-0000A51C0000}"/>
    <cellStyle name="Normal 7 4 2 7" xfId="4941" xr:uid="{00000000-0005-0000-0000-0000A61C0000}"/>
    <cellStyle name="Normal 7 4 3" xfId="1610" xr:uid="{00000000-0005-0000-0000-0000A71C0000}"/>
    <cellStyle name="Normal 7 4 3 2" xfId="1611" xr:uid="{00000000-0005-0000-0000-0000A81C0000}"/>
    <cellStyle name="Normal 7 4 3 2 2" xfId="3033" xr:uid="{00000000-0005-0000-0000-0000A91C0000}"/>
    <cellStyle name="Normal 7 4 3 2 2 2" xfId="7505" xr:uid="{00000000-0005-0000-0000-0000AA1C0000}"/>
    <cellStyle name="Normal 7 4 3 2 3" xfId="4411" xr:uid="{00000000-0005-0000-0000-0000AB1C0000}"/>
    <cellStyle name="Normal 7 4 3 2 3 2" xfId="8874" xr:uid="{00000000-0005-0000-0000-0000AC1C0000}"/>
    <cellStyle name="Normal 7 4 3 2 4" xfId="5623" xr:uid="{00000000-0005-0000-0000-0000AD1C0000}"/>
    <cellStyle name="Normal 7 4 3 3" xfId="3034" xr:uid="{00000000-0005-0000-0000-0000AE1C0000}"/>
    <cellStyle name="Normal 7 4 3 3 2" xfId="7506" xr:uid="{00000000-0005-0000-0000-0000AF1C0000}"/>
    <cellStyle name="Normal 7 4 3 4" xfId="3731" xr:uid="{00000000-0005-0000-0000-0000B01C0000}"/>
    <cellStyle name="Normal 7 4 3 4 2" xfId="8197" xr:uid="{00000000-0005-0000-0000-0000B11C0000}"/>
    <cellStyle name="Normal 7 4 3 5" xfId="4943" xr:uid="{00000000-0005-0000-0000-0000B21C0000}"/>
    <cellStyle name="Normal 7 4 4" xfId="1612" xr:uid="{00000000-0005-0000-0000-0000B31C0000}"/>
    <cellStyle name="Normal 7 4 4 2" xfId="1613" xr:uid="{00000000-0005-0000-0000-0000B41C0000}"/>
    <cellStyle name="Normal 7 4 4 2 2" xfId="3035" xr:uid="{00000000-0005-0000-0000-0000B51C0000}"/>
    <cellStyle name="Normal 7 4 4 2 2 2" xfId="7507" xr:uid="{00000000-0005-0000-0000-0000B61C0000}"/>
    <cellStyle name="Normal 7 4 4 2 3" xfId="6286" xr:uid="{00000000-0005-0000-0000-0000B71C0000}"/>
    <cellStyle name="Normal 7 4 4 3" xfId="3036" xr:uid="{00000000-0005-0000-0000-0000B81C0000}"/>
    <cellStyle name="Normal 7 4 4 3 2" xfId="7508" xr:uid="{00000000-0005-0000-0000-0000B91C0000}"/>
    <cellStyle name="Normal 7 4 4 4" xfId="4047" xr:uid="{00000000-0005-0000-0000-0000BA1C0000}"/>
    <cellStyle name="Normal 7 4 4 4 2" xfId="8513" xr:uid="{00000000-0005-0000-0000-0000BB1C0000}"/>
    <cellStyle name="Normal 7 4 4 5" xfId="5259" xr:uid="{00000000-0005-0000-0000-0000BC1C0000}"/>
    <cellStyle name="Normal 7 4 5" xfId="1614" xr:uid="{00000000-0005-0000-0000-0000BD1C0000}"/>
    <cellStyle name="Normal 7 4 5 2" xfId="3037" xr:uid="{00000000-0005-0000-0000-0000BE1C0000}"/>
    <cellStyle name="Normal 7 4 5 2 2" xfId="7509" xr:uid="{00000000-0005-0000-0000-0000BF1C0000}"/>
    <cellStyle name="Normal 7 4 5 3" xfId="6287" xr:uid="{00000000-0005-0000-0000-0000C01C0000}"/>
    <cellStyle name="Normal 7 4 6" xfId="407" xr:uid="{00000000-0005-0000-0000-0000C11C0000}"/>
    <cellStyle name="Normal 7 4 6 2" xfId="5834" xr:uid="{00000000-0005-0000-0000-0000C21C0000}"/>
    <cellStyle name="Normal 7 4 7" xfId="3728" xr:uid="{00000000-0005-0000-0000-0000C31C0000}"/>
    <cellStyle name="Normal 7 4 7 2" xfId="8194" xr:uid="{00000000-0005-0000-0000-0000C41C0000}"/>
    <cellStyle name="Normal 7 4 8" xfId="4940" xr:uid="{00000000-0005-0000-0000-0000C51C0000}"/>
    <cellStyle name="Normal 7 5" xfId="230" xr:uid="{00000000-0005-0000-0000-0000C61C0000}"/>
    <cellStyle name="Normal 7 5 2" xfId="446" xr:uid="{00000000-0005-0000-0000-0000C71C0000}"/>
    <cellStyle name="Normal 7 5 2 2" xfId="5955" xr:uid="{00000000-0005-0000-0000-0000C81C0000}"/>
    <cellStyle name="Normal 7 5 3" xfId="6140" xr:uid="{00000000-0005-0000-0000-0000C91C0000}"/>
    <cellStyle name="Normal 7 6" xfId="448" xr:uid="{00000000-0005-0000-0000-0000CA1C0000}"/>
    <cellStyle name="Normal 7 7" xfId="237" xr:uid="{00000000-0005-0000-0000-0000CB1C0000}"/>
    <cellStyle name="Normal 7 7 2" xfId="5997" xr:uid="{00000000-0005-0000-0000-0000CC1C0000}"/>
    <cellStyle name="Normal 8" xfId="192" xr:uid="{00000000-0005-0000-0000-0000CD1C0000}"/>
    <cellStyle name="Normal 8 10" xfId="4944" xr:uid="{00000000-0005-0000-0000-0000CE1C0000}"/>
    <cellStyle name="Normal 8 2" xfId="193" xr:uid="{00000000-0005-0000-0000-0000CF1C0000}"/>
    <cellStyle name="Normal 8 2 2" xfId="194" xr:uid="{00000000-0005-0000-0000-0000D01C0000}"/>
    <cellStyle name="Normal 8 2 2 2" xfId="1615" xr:uid="{00000000-0005-0000-0000-0000D11C0000}"/>
    <cellStyle name="Normal 8 2 2 2 2" xfId="1616" xr:uid="{00000000-0005-0000-0000-0000D21C0000}"/>
    <cellStyle name="Normal 8 2 2 2 2 2" xfId="1617" xr:uid="{00000000-0005-0000-0000-0000D31C0000}"/>
    <cellStyle name="Normal 8 2 2 2 2 2 2" xfId="3038" xr:uid="{00000000-0005-0000-0000-0000D41C0000}"/>
    <cellStyle name="Normal 8 2 2 2 2 2 2 2" xfId="7510" xr:uid="{00000000-0005-0000-0000-0000D51C0000}"/>
    <cellStyle name="Normal 8 2 2 2 2 2 3" xfId="4412" xr:uid="{00000000-0005-0000-0000-0000D61C0000}"/>
    <cellStyle name="Normal 8 2 2 2 2 2 3 2" xfId="8875" xr:uid="{00000000-0005-0000-0000-0000D71C0000}"/>
    <cellStyle name="Normal 8 2 2 2 2 2 4" xfId="5624" xr:uid="{00000000-0005-0000-0000-0000D81C0000}"/>
    <cellStyle name="Normal 8 2 2 2 2 3" xfId="3039" xr:uid="{00000000-0005-0000-0000-0000D91C0000}"/>
    <cellStyle name="Normal 8 2 2 2 2 3 2" xfId="7511" xr:uid="{00000000-0005-0000-0000-0000DA1C0000}"/>
    <cellStyle name="Normal 8 2 2 2 2 4" xfId="3736" xr:uid="{00000000-0005-0000-0000-0000DB1C0000}"/>
    <cellStyle name="Normal 8 2 2 2 2 4 2" xfId="8202" xr:uid="{00000000-0005-0000-0000-0000DC1C0000}"/>
    <cellStyle name="Normal 8 2 2 2 2 5" xfId="4948" xr:uid="{00000000-0005-0000-0000-0000DD1C0000}"/>
    <cellStyle name="Normal 8 2 2 2 3" xfId="1618" xr:uid="{00000000-0005-0000-0000-0000DE1C0000}"/>
    <cellStyle name="Normal 8 2 2 2 3 2" xfId="1619" xr:uid="{00000000-0005-0000-0000-0000DF1C0000}"/>
    <cellStyle name="Normal 8 2 2 2 3 2 2" xfId="3040" xr:uid="{00000000-0005-0000-0000-0000E01C0000}"/>
    <cellStyle name="Normal 8 2 2 2 3 2 2 2" xfId="7512" xr:uid="{00000000-0005-0000-0000-0000E11C0000}"/>
    <cellStyle name="Normal 8 2 2 2 3 2 3" xfId="6288" xr:uid="{00000000-0005-0000-0000-0000E21C0000}"/>
    <cellStyle name="Normal 8 2 2 2 3 3" xfId="3041" xr:uid="{00000000-0005-0000-0000-0000E31C0000}"/>
    <cellStyle name="Normal 8 2 2 2 3 3 2" xfId="7513" xr:uid="{00000000-0005-0000-0000-0000E41C0000}"/>
    <cellStyle name="Normal 8 2 2 2 3 4" xfId="4052" xr:uid="{00000000-0005-0000-0000-0000E51C0000}"/>
    <cellStyle name="Normal 8 2 2 2 3 4 2" xfId="8518" xr:uid="{00000000-0005-0000-0000-0000E61C0000}"/>
    <cellStyle name="Normal 8 2 2 2 3 5" xfId="5264" xr:uid="{00000000-0005-0000-0000-0000E71C0000}"/>
    <cellStyle name="Normal 8 2 2 2 4" xfId="1620" xr:uid="{00000000-0005-0000-0000-0000E81C0000}"/>
    <cellStyle name="Normal 8 2 2 2 4 2" xfId="3042" xr:uid="{00000000-0005-0000-0000-0000E91C0000}"/>
    <cellStyle name="Normal 8 2 2 2 4 2 2" xfId="7514" xr:uid="{00000000-0005-0000-0000-0000EA1C0000}"/>
    <cellStyle name="Normal 8 2 2 2 4 3" xfId="6289" xr:uid="{00000000-0005-0000-0000-0000EB1C0000}"/>
    <cellStyle name="Normal 8 2 2 2 5" xfId="3043" xr:uid="{00000000-0005-0000-0000-0000EC1C0000}"/>
    <cellStyle name="Normal 8 2 2 2 5 2" xfId="7515" xr:uid="{00000000-0005-0000-0000-0000ED1C0000}"/>
    <cellStyle name="Normal 8 2 2 2 6" xfId="3735" xr:uid="{00000000-0005-0000-0000-0000EE1C0000}"/>
    <cellStyle name="Normal 8 2 2 2 6 2" xfId="8201" xr:uid="{00000000-0005-0000-0000-0000EF1C0000}"/>
    <cellStyle name="Normal 8 2 2 2 7" xfId="4947" xr:uid="{00000000-0005-0000-0000-0000F01C0000}"/>
    <cellStyle name="Normal 8 2 2 3" xfId="1621" xr:uid="{00000000-0005-0000-0000-0000F11C0000}"/>
    <cellStyle name="Normal 8 2 2 3 2" xfId="1622" xr:uid="{00000000-0005-0000-0000-0000F21C0000}"/>
    <cellStyle name="Normal 8 2 2 3 2 2" xfId="3044" xr:uid="{00000000-0005-0000-0000-0000F31C0000}"/>
    <cellStyle name="Normal 8 2 2 3 2 2 2" xfId="7516" xr:uid="{00000000-0005-0000-0000-0000F41C0000}"/>
    <cellStyle name="Normal 8 2 2 3 2 3" xfId="4413" xr:uid="{00000000-0005-0000-0000-0000F51C0000}"/>
    <cellStyle name="Normal 8 2 2 3 2 3 2" xfId="8876" xr:uid="{00000000-0005-0000-0000-0000F61C0000}"/>
    <cellStyle name="Normal 8 2 2 3 2 4" xfId="5625" xr:uid="{00000000-0005-0000-0000-0000F71C0000}"/>
    <cellStyle name="Normal 8 2 2 3 3" xfId="3045" xr:uid="{00000000-0005-0000-0000-0000F81C0000}"/>
    <cellStyle name="Normal 8 2 2 3 3 2" xfId="7517" xr:uid="{00000000-0005-0000-0000-0000F91C0000}"/>
    <cellStyle name="Normal 8 2 2 3 4" xfId="3737" xr:uid="{00000000-0005-0000-0000-0000FA1C0000}"/>
    <cellStyle name="Normal 8 2 2 3 4 2" xfId="8203" xr:uid="{00000000-0005-0000-0000-0000FB1C0000}"/>
    <cellStyle name="Normal 8 2 2 3 5" xfId="4949" xr:uid="{00000000-0005-0000-0000-0000FC1C0000}"/>
    <cellStyle name="Normal 8 2 2 4" xfId="1623" xr:uid="{00000000-0005-0000-0000-0000FD1C0000}"/>
    <cellStyle name="Normal 8 2 2 4 2" xfId="1624" xr:uid="{00000000-0005-0000-0000-0000FE1C0000}"/>
    <cellStyle name="Normal 8 2 2 4 2 2" xfId="3046" xr:uid="{00000000-0005-0000-0000-0000FF1C0000}"/>
    <cellStyle name="Normal 8 2 2 4 2 2 2" xfId="7518" xr:uid="{00000000-0005-0000-0000-0000001D0000}"/>
    <cellStyle name="Normal 8 2 2 4 2 3" xfId="6290" xr:uid="{00000000-0005-0000-0000-0000011D0000}"/>
    <cellStyle name="Normal 8 2 2 4 3" xfId="3047" xr:uid="{00000000-0005-0000-0000-0000021D0000}"/>
    <cellStyle name="Normal 8 2 2 4 3 2" xfId="7519" xr:uid="{00000000-0005-0000-0000-0000031D0000}"/>
    <cellStyle name="Normal 8 2 2 4 4" xfId="4051" xr:uid="{00000000-0005-0000-0000-0000041D0000}"/>
    <cellStyle name="Normal 8 2 2 4 4 2" xfId="8517" xr:uid="{00000000-0005-0000-0000-0000051D0000}"/>
    <cellStyle name="Normal 8 2 2 4 5" xfId="5263" xr:uid="{00000000-0005-0000-0000-0000061D0000}"/>
    <cellStyle name="Normal 8 2 2 5" xfId="1625" xr:uid="{00000000-0005-0000-0000-0000071D0000}"/>
    <cellStyle name="Normal 8 2 2 5 2" xfId="3048" xr:uid="{00000000-0005-0000-0000-0000081D0000}"/>
    <cellStyle name="Normal 8 2 2 5 2 2" xfId="7520" xr:uid="{00000000-0005-0000-0000-0000091D0000}"/>
    <cellStyle name="Normal 8 2 2 5 3" xfId="6291" xr:uid="{00000000-0005-0000-0000-00000A1D0000}"/>
    <cellStyle name="Normal 8 2 2 6" xfId="410" xr:uid="{00000000-0005-0000-0000-00000B1D0000}"/>
    <cellStyle name="Normal 8 2 2 6 2" xfId="6089" xr:uid="{00000000-0005-0000-0000-00000C1D0000}"/>
    <cellStyle name="Normal 8 2 2 7" xfId="3734" xr:uid="{00000000-0005-0000-0000-00000D1D0000}"/>
    <cellStyle name="Normal 8 2 2 7 2" xfId="8200" xr:uid="{00000000-0005-0000-0000-00000E1D0000}"/>
    <cellStyle name="Normal 8 2 2 8" xfId="4946" xr:uid="{00000000-0005-0000-0000-00000F1D0000}"/>
    <cellStyle name="Normal 8 2 3" xfId="1626" xr:uid="{00000000-0005-0000-0000-0000101D0000}"/>
    <cellStyle name="Normal 8 2 3 2" xfId="1627" xr:uid="{00000000-0005-0000-0000-0000111D0000}"/>
    <cellStyle name="Normal 8 2 3 2 2" xfId="1628" xr:uid="{00000000-0005-0000-0000-0000121D0000}"/>
    <cellStyle name="Normal 8 2 3 2 2 2" xfId="3049" xr:uid="{00000000-0005-0000-0000-0000131D0000}"/>
    <cellStyle name="Normal 8 2 3 2 2 2 2" xfId="7521" xr:uid="{00000000-0005-0000-0000-0000141D0000}"/>
    <cellStyle name="Normal 8 2 3 2 2 3" xfId="4414" xr:uid="{00000000-0005-0000-0000-0000151D0000}"/>
    <cellStyle name="Normal 8 2 3 2 2 3 2" xfId="8877" xr:uid="{00000000-0005-0000-0000-0000161D0000}"/>
    <cellStyle name="Normal 8 2 3 2 2 4" xfId="5626" xr:uid="{00000000-0005-0000-0000-0000171D0000}"/>
    <cellStyle name="Normal 8 2 3 2 3" xfId="3050" xr:uid="{00000000-0005-0000-0000-0000181D0000}"/>
    <cellStyle name="Normal 8 2 3 2 3 2" xfId="7522" xr:uid="{00000000-0005-0000-0000-0000191D0000}"/>
    <cellStyle name="Normal 8 2 3 2 4" xfId="3739" xr:uid="{00000000-0005-0000-0000-00001A1D0000}"/>
    <cellStyle name="Normal 8 2 3 2 4 2" xfId="8205" xr:uid="{00000000-0005-0000-0000-00001B1D0000}"/>
    <cellStyle name="Normal 8 2 3 2 5" xfId="4951" xr:uid="{00000000-0005-0000-0000-00001C1D0000}"/>
    <cellStyle name="Normal 8 2 3 3" xfId="1629" xr:uid="{00000000-0005-0000-0000-00001D1D0000}"/>
    <cellStyle name="Normal 8 2 3 3 2" xfId="1630" xr:uid="{00000000-0005-0000-0000-00001E1D0000}"/>
    <cellStyle name="Normal 8 2 3 3 2 2" xfId="3051" xr:uid="{00000000-0005-0000-0000-00001F1D0000}"/>
    <cellStyle name="Normal 8 2 3 3 2 2 2" xfId="7523" xr:uid="{00000000-0005-0000-0000-0000201D0000}"/>
    <cellStyle name="Normal 8 2 3 3 2 3" xfId="6292" xr:uid="{00000000-0005-0000-0000-0000211D0000}"/>
    <cellStyle name="Normal 8 2 3 3 3" xfId="3052" xr:uid="{00000000-0005-0000-0000-0000221D0000}"/>
    <cellStyle name="Normal 8 2 3 3 3 2" xfId="7524" xr:uid="{00000000-0005-0000-0000-0000231D0000}"/>
    <cellStyle name="Normal 8 2 3 3 4" xfId="4053" xr:uid="{00000000-0005-0000-0000-0000241D0000}"/>
    <cellStyle name="Normal 8 2 3 3 4 2" xfId="8519" xr:uid="{00000000-0005-0000-0000-0000251D0000}"/>
    <cellStyle name="Normal 8 2 3 3 5" xfId="5265" xr:uid="{00000000-0005-0000-0000-0000261D0000}"/>
    <cellStyle name="Normal 8 2 3 4" xfId="1631" xr:uid="{00000000-0005-0000-0000-0000271D0000}"/>
    <cellStyle name="Normal 8 2 3 4 2" xfId="3053" xr:uid="{00000000-0005-0000-0000-0000281D0000}"/>
    <cellStyle name="Normal 8 2 3 4 2 2" xfId="7525" xr:uid="{00000000-0005-0000-0000-0000291D0000}"/>
    <cellStyle name="Normal 8 2 3 4 3" xfId="6293" xr:uid="{00000000-0005-0000-0000-00002A1D0000}"/>
    <cellStyle name="Normal 8 2 3 5" xfId="3054" xr:uid="{00000000-0005-0000-0000-00002B1D0000}"/>
    <cellStyle name="Normal 8 2 3 5 2" xfId="7526" xr:uid="{00000000-0005-0000-0000-00002C1D0000}"/>
    <cellStyle name="Normal 8 2 3 6" xfId="3738" xr:uid="{00000000-0005-0000-0000-00002D1D0000}"/>
    <cellStyle name="Normal 8 2 3 6 2" xfId="8204" xr:uid="{00000000-0005-0000-0000-00002E1D0000}"/>
    <cellStyle name="Normal 8 2 3 7" xfId="4950" xr:uid="{00000000-0005-0000-0000-00002F1D0000}"/>
    <cellStyle name="Normal 8 2 4" xfId="1632" xr:uid="{00000000-0005-0000-0000-0000301D0000}"/>
    <cellStyle name="Normal 8 2 4 2" xfId="1633" xr:uid="{00000000-0005-0000-0000-0000311D0000}"/>
    <cellStyle name="Normal 8 2 4 2 2" xfId="3055" xr:uid="{00000000-0005-0000-0000-0000321D0000}"/>
    <cellStyle name="Normal 8 2 4 2 2 2" xfId="7527" xr:uid="{00000000-0005-0000-0000-0000331D0000}"/>
    <cellStyle name="Normal 8 2 4 2 3" xfId="4415" xr:uid="{00000000-0005-0000-0000-0000341D0000}"/>
    <cellStyle name="Normal 8 2 4 2 3 2" xfId="8878" xr:uid="{00000000-0005-0000-0000-0000351D0000}"/>
    <cellStyle name="Normal 8 2 4 2 4" xfId="5627" xr:uid="{00000000-0005-0000-0000-0000361D0000}"/>
    <cellStyle name="Normal 8 2 4 3" xfId="3056" xr:uid="{00000000-0005-0000-0000-0000371D0000}"/>
    <cellStyle name="Normal 8 2 4 3 2" xfId="7528" xr:uid="{00000000-0005-0000-0000-0000381D0000}"/>
    <cellStyle name="Normal 8 2 4 4" xfId="3740" xr:uid="{00000000-0005-0000-0000-0000391D0000}"/>
    <cellStyle name="Normal 8 2 4 4 2" xfId="8206" xr:uid="{00000000-0005-0000-0000-00003A1D0000}"/>
    <cellStyle name="Normal 8 2 4 5" xfId="4952" xr:uid="{00000000-0005-0000-0000-00003B1D0000}"/>
    <cellStyle name="Normal 8 2 5" xfId="1634" xr:uid="{00000000-0005-0000-0000-00003C1D0000}"/>
    <cellStyle name="Normal 8 2 5 2" xfId="1635" xr:uid="{00000000-0005-0000-0000-00003D1D0000}"/>
    <cellStyle name="Normal 8 2 5 2 2" xfId="3057" xr:uid="{00000000-0005-0000-0000-00003E1D0000}"/>
    <cellStyle name="Normal 8 2 5 2 2 2" xfId="7529" xr:uid="{00000000-0005-0000-0000-00003F1D0000}"/>
    <cellStyle name="Normal 8 2 5 2 3" xfId="6294" xr:uid="{00000000-0005-0000-0000-0000401D0000}"/>
    <cellStyle name="Normal 8 2 5 3" xfId="3058" xr:uid="{00000000-0005-0000-0000-0000411D0000}"/>
    <cellStyle name="Normal 8 2 5 3 2" xfId="7530" xr:uid="{00000000-0005-0000-0000-0000421D0000}"/>
    <cellStyle name="Normal 8 2 5 4" xfId="4416" xr:uid="{00000000-0005-0000-0000-0000431D0000}"/>
    <cellStyle name="Normal 8 2 5 4 2" xfId="8879" xr:uid="{00000000-0005-0000-0000-0000441D0000}"/>
    <cellStyle name="Normal 8 2 5 5" xfId="5628" xr:uid="{00000000-0005-0000-0000-0000451D0000}"/>
    <cellStyle name="Normal 8 2 6" xfId="1636" xr:uid="{00000000-0005-0000-0000-0000461D0000}"/>
    <cellStyle name="Normal 8 2 6 2" xfId="3059" xr:uid="{00000000-0005-0000-0000-0000471D0000}"/>
    <cellStyle name="Normal 8 2 6 2 2" xfId="7531" xr:uid="{00000000-0005-0000-0000-0000481D0000}"/>
    <cellStyle name="Normal 8 2 6 3" xfId="4050" xr:uid="{00000000-0005-0000-0000-0000491D0000}"/>
    <cellStyle name="Normal 8 2 6 3 2" xfId="8516" xr:uid="{00000000-0005-0000-0000-00004A1D0000}"/>
    <cellStyle name="Normal 8 2 6 4" xfId="5262" xr:uid="{00000000-0005-0000-0000-00004B1D0000}"/>
    <cellStyle name="Normal 8 2 7" xfId="409" xr:uid="{00000000-0005-0000-0000-00004C1D0000}"/>
    <cellStyle name="Normal 8 2 7 2" xfId="5961" xr:uid="{00000000-0005-0000-0000-00004D1D0000}"/>
    <cellStyle name="Normal 8 2 8" xfId="3733" xr:uid="{00000000-0005-0000-0000-00004E1D0000}"/>
    <cellStyle name="Normal 8 2 8 2" xfId="8199" xr:uid="{00000000-0005-0000-0000-00004F1D0000}"/>
    <cellStyle name="Normal 8 2 9" xfId="4945" xr:uid="{00000000-0005-0000-0000-0000501D0000}"/>
    <cellStyle name="Normal 8 3" xfId="195" xr:uid="{00000000-0005-0000-0000-0000511D0000}"/>
    <cellStyle name="Normal 8 3 2" xfId="1637" xr:uid="{00000000-0005-0000-0000-0000521D0000}"/>
    <cellStyle name="Normal 8 3 2 2" xfId="1638" xr:uid="{00000000-0005-0000-0000-0000531D0000}"/>
    <cellStyle name="Normal 8 3 2 2 2" xfId="1639" xr:uid="{00000000-0005-0000-0000-0000541D0000}"/>
    <cellStyle name="Normal 8 3 2 2 2 2" xfId="3060" xr:uid="{00000000-0005-0000-0000-0000551D0000}"/>
    <cellStyle name="Normal 8 3 2 2 2 2 2" xfId="7532" xr:uid="{00000000-0005-0000-0000-0000561D0000}"/>
    <cellStyle name="Normal 8 3 2 2 2 3" xfId="4417" xr:uid="{00000000-0005-0000-0000-0000571D0000}"/>
    <cellStyle name="Normal 8 3 2 2 2 3 2" xfId="8880" xr:uid="{00000000-0005-0000-0000-0000581D0000}"/>
    <cellStyle name="Normal 8 3 2 2 2 4" xfId="5629" xr:uid="{00000000-0005-0000-0000-0000591D0000}"/>
    <cellStyle name="Normal 8 3 2 2 3" xfId="3061" xr:uid="{00000000-0005-0000-0000-00005A1D0000}"/>
    <cellStyle name="Normal 8 3 2 2 3 2" xfId="7533" xr:uid="{00000000-0005-0000-0000-00005B1D0000}"/>
    <cellStyle name="Normal 8 3 2 2 4" xfId="3743" xr:uid="{00000000-0005-0000-0000-00005C1D0000}"/>
    <cellStyle name="Normal 8 3 2 2 4 2" xfId="8209" xr:uid="{00000000-0005-0000-0000-00005D1D0000}"/>
    <cellStyle name="Normal 8 3 2 2 5" xfId="4955" xr:uid="{00000000-0005-0000-0000-00005E1D0000}"/>
    <cellStyle name="Normal 8 3 2 3" xfId="1640" xr:uid="{00000000-0005-0000-0000-00005F1D0000}"/>
    <cellStyle name="Normal 8 3 2 3 2" xfId="1641" xr:uid="{00000000-0005-0000-0000-0000601D0000}"/>
    <cellStyle name="Normal 8 3 2 3 2 2" xfId="3062" xr:uid="{00000000-0005-0000-0000-0000611D0000}"/>
    <cellStyle name="Normal 8 3 2 3 2 2 2" xfId="7534" xr:uid="{00000000-0005-0000-0000-0000621D0000}"/>
    <cellStyle name="Normal 8 3 2 3 2 3" xfId="6295" xr:uid="{00000000-0005-0000-0000-0000631D0000}"/>
    <cellStyle name="Normal 8 3 2 3 3" xfId="3063" xr:uid="{00000000-0005-0000-0000-0000641D0000}"/>
    <cellStyle name="Normal 8 3 2 3 3 2" xfId="7535" xr:uid="{00000000-0005-0000-0000-0000651D0000}"/>
    <cellStyle name="Normal 8 3 2 3 4" xfId="4055" xr:uid="{00000000-0005-0000-0000-0000661D0000}"/>
    <cellStyle name="Normal 8 3 2 3 4 2" xfId="8521" xr:uid="{00000000-0005-0000-0000-0000671D0000}"/>
    <cellStyle name="Normal 8 3 2 3 5" xfId="5267" xr:uid="{00000000-0005-0000-0000-0000681D0000}"/>
    <cellStyle name="Normal 8 3 2 4" xfId="1642" xr:uid="{00000000-0005-0000-0000-0000691D0000}"/>
    <cellStyle name="Normal 8 3 2 4 2" xfId="3064" xr:uid="{00000000-0005-0000-0000-00006A1D0000}"/>
    <cellStyle name="Normal 8 3 2 4 2 2" xfId="7536" xr:uid="{00000000-0005-0000-0000-00006B1D0000}"/>
    <cellStyle name="Normal 8 3 2 4 3" xfId="6296" xr:uid="{00000000-0005-0000-0000-00006C1D0000}"/>
    <cellStyle name="Normal 8 3 2 5" xfId="3065" xr:uid="{00000000-0005-0000-0000-00006D1D0000}"/>
    <cellStyle name="Normal 8 3 2 5 2" xfId="7537" xr:uid="{00000000-0005-0000-0000-00006E1D0000}"/>
    <cellStyle name="Normal 8 3 2 6" xfId="3742" xr:uid="{00000000-0005-0000-0000-00006F1D0000}"/>
    <cellStyle name="Normal 8 3 2 6 2" xfId="8208" xr:uid="{00000000-0005-0000-0000-0000701D0000}"/>
    <cellStyle name="Normal 8 3 2 7" xfId="4954" xr:uid="{00000000-0005-0000-0000-0000711D0000}"/>
    <cellStyle name="Normal 8 3 3" xfId="1643" xr:uid="{00000000-0005-0000-0000-0000721D0000}"/>
    <cellStyle name="Normal 8 3 3 2" xfId="1644" xr:uid="{00000000-0005-0000-0000-0000731D0000}"/>
    <cellStyle name="Normal 8 3 3 2 2" xfId="3066" xr:uid="{00000000-0005-0000-0000-0000741D0000}"/>
    <cellStyle name="Normal 8 3 3 2 2 2" xfId="7538" xr:uid="{00000000-0005-0000-0000-0000751D0000}"/>
    <cellStyle name="Normal 8 3 3 2 3" xfId="4418" xr:uid="{00000000-0005-0000-0000-0000761D0000}"/>
    <cellStyle name="Normal 8 3 3 2 3 2" xfId="8881" xr:uid="{00000000-0005-0000-0000-0000771D0000}"/>
    <cellStyle name="Normal 8 3 3 2 4" xfId="5630" xr:uid="{00000000-0005-0000-0000-0000781D0000}"/>
    <cellStyle name="Normal 8 3 3 3" xfId="3067" xr:uid="{00000000-0005-0000-0000-0000791D0000}"/>
    <cellStyle name="Normal 8 3 3 3 2" xfId="7539" xr:uid="{00000000-0005-0000-0000-00007A1D0000}"/>
    <cellStyle name="Normal 8 3 3 4" xfId="3744" xr:uid="{00000000-0005-0000-0000-00007B1D0000}"/>
    <cellStyle name="Normal 8 3 3 4 2" xfId="8210" xr:uid="{00000000-0005-0000-0000-00007C1D0000}"/>
    <cellStyle name="Normal 8 3 3 5" xfId="4956" xr:uid="{00000000-0005-0000-0000-00007D1D0000}"/>
    <cellStyle name="Normal 8 3 4" xfId="1645" xr:uid="{00000000-0005-0000-0000-00007E1D0000}"/>
    <cellStyle name="Normal 8 3 4 2" xfId="1646" xr:uid="{00000000-0005-0000-0000-00007F1D0000}"/>
    <cellStyle name="Normal 8 3 4 2 2" xfId="3068" xr:uid="{00000000-0005-0000-0000-0000801D0000}"/>
    <cellStyle name="Normal 8 3 4 2 2 2" xfId="7540" xr:uid="{00000000-0005-0000-0000-0000811D0000}"/>
    <cellStyle name="Normal 8 3 4 2 3" xfId="6297" xr:uid="{00000000-0005-0000-0000-0000821D0000}"/>
    <cellStyle name="Normal 8 3 4 3" xfId="3069" xr:uid="{00000000-0005-0000-0000-0000831D0000}"/>
    <cellStyle name="Normal 8 3 4 3 2" xfId="7541" xr:uid="{00000000-0005-0000-0000-0000841D0000}"/>
    <cellStyle name="Normal 8 3 4 4" xfId="4054" xr:uid="{00000000-0005-0000-0000-0000851D0000}"/>
    <cellStyle name="Normal 8 3 4 4 2" xfId="8520" xr:uid="{00000000-0005-0000-0000-0000861D0000}"/>
    <cellStyle name="Normal 8 3 4 5" xfId="5266" xr:uid="{00000000-0005-0000-0000-0000871D0000}"/>
    <cellStyle name="Normal 8 3 5" xfId="1647" xr:uid="{00000000-0005-0000-0000-0000881D0000}"/>
    <cellStyle name="Normal 8 3 5 2" xfId="3070" xr:uid="{00000000-0005-0000-0000-0000891D0000}"/>
    <cellStyle name="Normal 8 3 5 2 2" xfId="7542" xr:uid="{00000000-0005-0000-0000-00008A1D0000}"/>
    <cellStyle name="Normal 8 3 5 3" xfId="6298" xr:uid="{00000000-0005-0000-0000-00008B1D0000}"/>
    <cellStyle name="Normal 8 3 6" xfId="411" xr:uid="{00000000-0005-0000-0000-00008C1D0000}"/>
    <cellStyle name="Normal 8 3 6 2" xfId="5832" xr:uid="{00000000-0005-0000-0000-00008D1D0000}"/>
    <cellStyle name="Normal 8 3 7" xfId="3741" xr:uid="{00000000-0005-0000-0000-00008E1D0000}"/>
    <cellStyle name="Normal 8 3 7 2" xfId="8207" xr:uid="{00000000-0005-0000-0000-00008F1D0000}"/>
    <cellStyle name="Normal 8 3 8" xfId="4953" xr:uid="{00000000-0005-0000-0000-0000901D0000}"/>
    <cellStyle name="Normal 8 4" xfId="1648" xr:uid="{00000000-0005-0000-0000-0000911D0000}"/>
    <cellStyle name="Normal 8 4 2" xfId="1649" xr:uid="{00000000-0005-0000-0000-0000921D0000}"/>
    <cellStyle name="Normal 8 4 2 2" xfId="1650" xr:uid="{00000000-0005-0000-0000-0000931D0000}"/>
    <cellStyle name="Normal 8 4 2 2 2" xfId="3071" xr:uid="{00000000-0005-0000-0000-0000941D0000}"/>
    <cellStyle name="Normal 8 4 2 2 2 2" xfId="7543" xr:uid="{00000000-0005-0000-0000-0000951D0000}"/>
    <cellStyle name="Normal 8 4 2 2 3" xfId="4419" xr:uid="{00000000-0005-0000-0000-0000961D0000}"/>
    <cellStyle name="Normal 8 4 2 2 3 2" xfId="8882" xr:uid="{00000000-0005-0000-0000-0000971D0000}"/>
    <cellStyle name="Normal 8 4 2 2 4" xfId="5631" xr:uid="{00000000-0005-0000-0000-0000981D0000}"/>
    <cellStyle name="Normal 8 4 2 3" xfId="3072" xr:uid="{00000000-0005-0000-0000-0000991D0000}"/>
    <cellStyle name="Normal 8 4 2 3 2" xfId="7544" xr:uid="{00000000-0005-0000-0000-00009A1D0000}"/>
    <cellStyle name="Normal 8 4 2 4" xfId="3746" xr:uid="{00000000-0005-0000-0000-00009B1D0000}"/>
    <cellStyle name="Normal 8 4 2 4 2" xfId="8212" xr:uid="{00000000-0005-0000-0000-00009C1D0000}"/>
    <cellStyle name="Normal 8 4 2 5" xfId="4958" xr:uid="{00000000-0005-0000-0000-00009D1D0000}"/>
    <cellStyle name="Normal 8 4 3" xfId="1651" xr:uid="{00000000-0005-0000-0000-00009E1D0000}"/>
    <cellStyle name="Normal 8 4 3 2" xfId="1652" xr:uid="{00000000-0005-0000-0000-00009F1D0000}"/>
    <cellStyle name="Normal 8 4 3 2 2" xfId="3073" xr:uid="{00000000-0005-0000-0000-0000A01D0000}"/>
    <cellStyle name="Normal 8 4 3 2 2 2" xfId="7545" xr:uid="{00000000-0005-0000-0000-0000A11D0000}"/>
    <cellStyle name="Normal 8 4 3 2 3" xfId="6299" xr:uid="{00000000-0005-0000-0000-0000A21D0000}"/>
    <cellStyle name="Normal 8 4 3 3" xfId="3074" xr:uid="{00000000-0005-0000-0000-0000A31D0000}"/>
    <cellStyle name="Normal 8 4 3 3 2" xfId="7546" xr:uid="{00000000-0005-0000-0000-0000A41D0000}"/>
    <cellStyle name="Normal 8 4 3 4" xfId="4056" xr:uid="{00000000-0005-0000-0000-0000A51D0000}"/>
    <cellStyle name="Normal 8 4 3 4 2" xfId="8522" xr:uid="{00000000-0005-0000-0000-0000A61D0000}"/>
    <cellStyle name="Normal 8 4 3 5" xfId="5268" xr:uid="{00000000-0005-0000-0000-0000A71D0000}"/>
    <cellStyle name="Normal 8 4 4" xfId="1653" xr:uid="{00000000-0005-0000-0000-0000A81D0000}"/>
    <cellStyle name="Normal 8 4 4 2" xfId="3075" xr:uid="{00000000-0005-0000-0000-0000A91D0000}"/>
    <cellStyle name="Normal 8 4 4 2 2" xfId="7547" xr:uid="{00000000-0005-0000-0000-0000AA1D0000}"/>
    <cellStyle name="Normal 8 4 4 3" xfId="6300" xr:uid="{00000000-0005-0000-0000-0000AB1D0000}"/>
    <cellStyle name="Normal 8 4 5" xfId="3076" xr:uid="{00000000-0005-0000-0000-0000AC1D0000}"/>
    <cellStyle name="Normal 8 4 5 2" xfId="7548" xr:uid="{00000000-0005-0000-0000-0000AD1D0000}"/>
    <cellStyle name="Normal 8 4 6" xfId="3745" xr:uid="{00000000-0005-0000-0000-0000AE1D0000}"/>
    <cellStyle name="Normal 8 4 6 2" xfId="8211" xr:uid="{00000000-0005-0000-0000-0000AF1D0000}"/>
    <cellStyle name="Normal 8 4 7" xfId="4957" xr:uid="{00000000-0005-0000-0000-0000B01D0000}"/>
    <cellStyle name="Normal 8 5" xfId="1654" xr:uid="{00000000-0005-0000-0000-0000B11D0000}"/>
    <cellStyle name="Normal 8 5 2" xfId="1655" xr:uid="{00000000-0005-0000-0000-0000B21D0000}"/>
    <cellStyle name="Normal 8 5 2 2" xfId="3077" xr:uid="{00000000-0005-0000-0000-0000B31D0000}"/>
    <cellStyle name="Normal 8 5 2 2 2" xfId="7549" xr:uid="{00000000-0005-0000-0000-0000B41D0000}"/>
    <cellStyle name="Normal 8 5 2 3" xfId="4420" xr:uid="{00000000-0005-0000-0000-0000B51D0000}"/>
    <cellStyle name="Normal 8 5 2 3 2" xfId="8883" xr:uid="{00000000-0005-0000-0000-0000B61D0000}"/>
    <cellStyle name="Normal 8 5 2 4" xfId="5632" xr:uid="{00000000-0005-0000-0000-0000B71D0000}"/>
    <cellStyle name="Normal 8 5 3" xfId="3078" xr:uid="{00000000-0005-0000-0000-0000B81D0000}"/>
    <cellStyle name="Normal 8 5 3 2" xfId="7550" xr:uid="{00000000-0005-0000-0000-0000B91D0000}"/>
    <cellStyle name="Normal 8 5 4" xfId="3747" xr:uid="{00000000-0005-0000-0000-0000BA1D0000}"/>
    <cellStyle name="Normal 8 5 4 2" xfId="8213" xr:uid="{00000000-0005-0000-0000-0000BB1D0000}"/>
    <cellStyle name="Normal 8 5 5" xfId="4959" xr:uid="{00000000-0005-0000-0000-0000BC1D0000}"/>
    <cellStyle name="Normal 8 6" xfId="1656" xr:uid="{00000000-0005-0000-0000-0000BD1D0000}"/>
    <cellStyle name="Normal 8 6 2" xfId="1657" xr:uid="{00000000-0005-0000-0000-0000BE1D0000}"/>
    <cellStyle name="Normal 8 6 2 2" xfId="3079" xr:uid="{00000000-0005-0000-0000-0000BF1D0000}"/>
    <cellStyle name="Normal 8 6 2 2 2" xfId="7551" xr:uid="{00000000-0005-0000-0000-0000C01D0000}"/>
    <cellStyle name="Normal 8 6 2 3" xfId="6301" xr:uid="{00000000-0005-0000-0000-0000C11D0000}"/>
    <cellStyle name="Normal 8 6 3" xfId="3080" xr:uid="{00000000-0005-0000-0000-0000C21D0000}"/>
    <cellStyle name="Normal 8 6 3 2" xfId="7552" xr:uid="{00000000-0005-0000-0000-0000C31D0000}"/>
    <cellStyle name="Normal 8 6 4" xfId="4421" xr:uid="{00000000-0005-0000-0000-0000C41D0000}"/>
    <cellStyle name="Normal 8 6 4 2" xfId="8884" xr:uid="{00000000-0005-0000-0000-0000C51D0000}"/>
    <cellStyle name="Normal 8 6 5" xfId="5633" xr:uid="{00000000-0005-0000-0000-0000C61D0000}"/>
    <cellStyle name="Normal 8 7" xfId="1658" xr:uid="{00000000-0005-0000-0000-0000C71D0000}"/>
    <cellStyle name="Normal 8 7 2" xfId="3081" xr:uid="{00000000-0005-0000-0000-0000C81D0000}"/>
    <cellStyle name="Normal 8 7 2 2" xfId="7553" xr:uid="{00000000-0005-0000-0000-0000C91D0000}"/>
    <cellStyle name="Normal 8 7 3" xfId="4049" xr:uid="{00000000-0005-0000-0000-0000CA1D0000}"/>
    <cellStyle name="Normal 8 7 3 2" xfId="8515" xr:uid="{00000000-0005-0000-0000-0000CB1D0000}"/>
    <cellStyle name="Normal 8 7 4" xfId="5261" xr:uid="{00000000-0005-0000-0000-0000CC1D0000}"/>
    <cellStyle name="Normal 8 8" xfId="408" xr:uid="{00000000-0005-0000-0000-0000CD1D0000}"/>
    <cellStyle name="Normal 8 8 2" xfId="5833" xr:uid="{00000000-0005-0000-0000-0000CE1D0000}"/>
    <cellStyle name="Normal 8 9" xfId="3732" xr:uid="{00000000-0005-0000-0000-0000CF1D0000}"/>
    <cellStyle name="Normal 8 9 2" xfId="8198" xr:uid="{00000000-0005-0000-0000-0000D01D0000}"/>
    <cellStyle name="Normal 9" xfId="196" xr:uid="{00000000-0005-0000-0000-0000D11D0000}"/>
    <cellStyle name="Normal 9 2" xfId="197" xr:uid="{00000000-0005-0000-0000-0000D21D0000}"/>
    <cellStyle name="Normal 9 2 2" xfId="1659" xr:uid="{00000000-0005-0000-0000-0000D31D0000}"/>
    <cellStyle name="Normal 9 2 2 2" xfId="1660" xr:uid="{00000000-0005-0000-0000-0000D41D0000}"/>
    <cellStyle name="Normal 9 2 2 2 2" xfId="3082" xr:uid="{00000000-0005-0000-0000-0000D51D0000}"/>
    <cellStyle name="Normal 9 2 2 2 2 2" xfId="7554" xr:uid="{00000000-0005-0000-0000-0000D61D0000}"/>
    <cellStyle name="Normal 9 2 2 2 3" xfId="4422" xr:uid="{00000000-0005-0000-0000-0000D71D0000}"/>
    <cellStyle name="Normal 9 2 2 2 3 2" xfId="8885" xr:uid="{00000000-0005-0000-0000-0000D81D0000}"/>
    <cellStyle name="Normal 9 2 2 2 4" xfId="5634" xr:uid="{00000000-0005-0000-0000-0000D91D0000}"/>
    <cellStyle name="Normal 9 2 2 3" xfId="3083" xr:uid="{00000000-0005-0000-0000-0000DA1D0000}"/>
    <cellStyle name="Normal 9 2 2 3 2" xfId="7555" xr:uid="{00000000-0005-0000-0000-0000DB1D0000}"/>
    <cellStyle name="Normal 9 2 2 4" xfId="3750" xr:uid="{00000000-0005-0000-0000-0000DC1D0000}"/>
    <cellStyle name="Normal 9 2 2 4 2" xfId="8216" xr:uid="{00000000-0005-0000-0000-0000DD1D0000}"/>
    <cellStyle name="Normal 9 2 2 5" xfId="4962" xr:uid="{00000000-0005-0000-0000-0000DE1D0000}"/>
    <cellStyle name="Normal 9 2 3" xfId="1661" xr:uid="{00000000-0005-0000-0000-0000DF1D0000}"/>
    <cellStyle name="Normal 9 2 3 2" xfId="1662" xr:uid="{00000000-0005-0000-0000-0000E01D0000}"/>
    <cellStyle name="Normal 9 2 3 2 2" xfId="3084" xr:uid="{00000000-0005-0000-0000-0000E11D0000}"/>
    <cellStyle name="Normal 9 2 3 2 2 2" xfId="7556" xr:uid="{00000000-0005-0000-0000-0000E21D0000}"/>
    <cellStyle name="Normal 9 2 3 2 3" xfId="6302" xr:uid="{00000000-0005-0000-0000-0000E31D0000}"/>
    <cellStyle name="Normal 9 2 3 3" xfId="3085" xr:uid="{00000000-0005-0000-0000-0000E41D0000}"/>
    <cellStyle name="Normal 9 2 3 3 2" xfId="7557" xr:uid="{00000000-0005-0000-0000-0000E51D0000}"/>
    <cellStyle name="Normal 9 2 3 4" xfId="4058" xr:uid="{00000000-0005-0000-0000-0000E61D0000}"/>
    <cellStyle name="Normal 9 2 3 4 2" xfId="8524" xr:uid="{00000000-0005-0000-0000-0000E71D0000}"/>
    <cellStyle name="Normal 9 2 3 5" xfId="5270" xr:uid="{00000000-0005-0000-0000-0000E81D0000}"/>
    <cellStyle name="Normal 9 2 4" xfId="1663" xr:uid="{00000000-0005-0000-0000-0000E91D0000}"/>
    <cellStyle name="Normal 9 2 4 2" xfId="3086" xr:uid="{00000000-0005-0000-0000-0000EA1D0000}"/>
    <cellStyle name="Normal 9 2 4 2 2" xfId="7558" xr:uid="{00000000-0005-0000-0000-0000EB1D0000}"/>
    <cellStyle name="Normal 9 2 4 3" xfId="6303" xr:uid="{00000000-0005-0000-0000-0000EC1D0000}"/>
    <cellStyle name="Normal 9 2 5" xfId="413" xr:uid="{00000000-0005-0000-0000-0000ED1D0000}"/>
    <cellStyle name="Normal 9 2 5 2" xfId="6088" xr:uid="{00000000-0005-0000-0000-0000EE1D0000}"/>
    <cellStyle name="Normal 9 2 6" xfId="3749" xr:uid="{00000000-0005-0000-0000-0000EF1D0000}"/>
    <cellStyle name="Normal 9 2 6 2" xfId="8215" xr:uid="{00000000-0005-0000-0000-0000F01D0000}"/>
    <cellStyle name="Normal 9 2 7" xfId="4961" xr:uid="{00000000-0005-0000-0000-0000F11D0000}"/>
    <cellStyle name="Normal 9 3" xfId="1664" xr:uid="{00000000-0005-0000-0000-0000F21D0000}"/>
    <cellStyle name="Normal 9 3 2" xfId="1665" xr:uid="{00000000-0005-0000-0000-0000F31D0000}"/>
    <cellStyle name="Normal 9 3 2 2" xfId="3087" xr:uid="{00000000-0005-0000-0000-0000F41D0000}"/>
    <cellStyle name="Normal 9 3 2 2 2" xfId="7559" xr:uid="{00000000-0005-0000-0000-0000F51D0000}"/>
    <cellStyle name="Normal 9 3 2 3" xfId="4423" xr:uid="{00000000-0005-0000-0000-0000F61D0000}"/>
    <cellStyle name="Normal 9 3 2 3 2" xfId="8886" xr:uid="{00000000-0005-0000-0000-0000F71D0000}"/>
    <cellStyle name="Normal 9 3 2 4" xfId="5635" xr:uid="{00000000-0005-0000-0000-0000F81D0000}"/>
    <cellStyle name="Normal 9 3 3" xfId="3088" xr:uid="{00000000-0005-0000-0000-0000F91D0000}"/>
    <cellStyle name="Normal 9 3 3 2" xfId="7560" xr:uid="{00000000-0005-0000-0000-0000FA1D0000}"/>
    <cellStyle name="Normal 9 3 4" xfId="3751" xr:uid="{00000000-0005-0000-0000-0000FB1D0000}"/>
    <cellStyle name="Normal 9 3 4 2" xfId="8217" xr:uid="{00000000-0005-0000-0000-0000FC1D0000}"/>
    <cellStyle name="Normal 9 3 5" xfId="4963" xr:uid="{00000000-0005-0000-0000-0000FD1D0000}"/>
    <cellStyle name="Normal 9 4" xfId="1666" xr:uid="{00000000-0005-0000-0000-0000FE1D0000}"/>
    <cellStyle name="Normal 9 4 2" xfId="1667" xr:uid="{00000000-0005-0000-0000-0000FF1D0000}"/>
    <cellStyle name="Normal 9 4 2 2" xfId="3089" xr:uid="{00000000-0005-0000-0000-0000001E0000}"/>
    <cellStyle name="Normal 9 4 2 2 2" xfId="7561" xr:uid="{00000000-0005-0000-0000-0000011E0000}"/>
    <cellStyle name="Normal 9 4 2 3" xfId="6304" xr:uid="{00000000-0005-0000-0000-0000021E0000}"/>
    <cellStyle name="Normal 9 4 3" xfId="3090" xr:uid="{00000000-0005-0000-0000-0000031E0000}"/>
    <cellStyle name="Normal 9 4 3 2" xfId="7562" xr:uid="{00000000-0005-0000-0000-0000041E0000}"/>
    <cellStyle name="Normal 9 4 4" xfId="4057" xr:uid="{00000000-0005-0000-0000-0000051E0000}"/>
    <cellStyle name="Normal 9 4 4 2" xfId="8523" xr:uid="{00000000-0005-0000-0000-0000061E0000}"/>
    <cellStyle name="Normal 9 4 5" xfId="5269" xr:uid="{00000000-0005-0000-0000-0000071E0000}"/>
    <cellStyle name="Normal 9 5" xfId="1668" xr:uid="{00000000-0005-0000-0000-0000081E0000}"/>
    <cellStyle name="Normal 9 5 2" xfId="3091" xr:uid="{00000000-0005-0000-0000-0000091E0000}"/>
    <cellStyle name="Normal 9 5 2 2" xfId="7563" xr:uid="{00000000-0005-0000-0000-00000A1E0000}"/>
    <cellStyle name="Normal 9 5 3" xfId="6305" xr:uid="{00000000-0005-0000-0000-00000B1E0000}"/>
    <cellStyle name="Normal 9 6" xfId="412" xr:uid="{00000000-0005-0000-0000-00000C1E0000}"/>
    <cellStyle name="Normal 9 6 2" xfId="5962" xr:uid="{00000000-0005-0000-0000-00000D1E0000}"/>
    <cellStyle name="Normal 9 7" xfId="3748" xr:uid="{00000000-0005-0000-0000-00000E1E0000}"/>
    <cellStyle name="Normal 9 7 2" xfId="8214" xr:uid="{00000000-0005-0000-0000-00000F1E0000}"/>
    <cellStyle name="Normal 9 8" xfId="4960" xr:uid="{00000000-0005-0000-0000-0000101E0000}"/>
    <cellStyle name="Normal_AFRPG3" xfId="5" xr:uid="{00000000-0005-0000-0000-0000111E0000}"/>
    <cellStyle name="Normal_AFRPG41" xfId="6" xr:uid="{00000000-0005-0000-0000-0000121E0000}"/>
    <cellStyle name="Normal_AFRPG47" xfId="7" xr:uid="{00000000-0005-0000-0000-0000131E0000}"/>
    <cellStyle name="Normal_AFRPG56" xfId="8" xr:uid="{00000000-0005-0000-0000-0000141E0000}"/>
    <cellStyle name="Normal_AFRPG59" xfId="9" xr:uid="{00000000-0005-0000-0000-0000151E0000}"/>
    <cellStyle name="Normal_AFRPG63" xfId="10" xr:uid="{00000000-0005-0000-0000-0000161E0000}"/>
    <cellStyle name="Normal_AFRPG64" xfId="11" xr:uid="{00000000-0005-0000-0000-0000171E0000}"/>
    <cellStyle name="Normal_COVER" xfId="12" xr:uid="{00000000-0005-0000-0000-0000181E0000}"/>
    <cellStyle name="Normal_THRESHOLD CALCULATOR v3" xfId="13" xr:uid="{00000000-0005-0000-0000-0000191E0000}"/>
    <cellStyle name="Percent 2" xfId="198" xr:uid="{00000000-0005-0000-0000-00001A1E0000}"/>
    <cellStyle name="Percent 2 10" xfId="1669" xr:uid="{00000000-0005-0000-0000-00001B1E0000}"/>
    <cellStyle name="Percent 2 10 2" xfId="3092" xr:uid="{00000000-0005-0000-0000-00001C1E0000}"/>
    <cellStyle name="Percent 2 10 2 2" xfId="7564" xr:uid="{00000000-0005-0000-0000-00001D1E0000}"/>
    <cellStyle name="Percent 2 10 3" xfId="4424" xr:uid="{00000000-0005-0000-0000-00001E1E0000}"/>
    <cellStyle name="Percent 2 10 3 2" xfId="8887" xr:uid="{00000000-0005-0000-0000-00001F1E0000}"/>
    <cellStyle name="Percent 2 10 4" xfId="5636" xr:uid="{00000000-0005-0000-0000-0000201E0000}"/>
    <cellStyle name="Percent 2 11" xfId="414" xr:uid="{00000000-0005-0000-0000-0000211E0000}"/>
    <cellStyle name="Percent 2 11 2" xfId="4059" xr:uid="{00000000-0005-0000-0000-0000221E0000}"/>
    <cellStyle name="Percent 2 11 2 2" xfId="8525" xr:uid="{00000000-0005-0000-0000-0000231E0000}"/>
    <cellStyle name="Percent 2 11 3" xfId="5271" xr:uid="{00000000-0005-0000-0000-0000241E0000}"/>
    <cellStyle name="Percent 2 12" xfId="3752" xr:uid="{00000000-0005-0000-0000-0000251E0000}"/>
    <cellStyle name="Percent 2 12 2" xfId="8218" xr:uid="{00000000-0005-0000-0000-0000261E0000}"/>
    <cellStyle name="Percent 2 13" xfId="4964" xr:uid="{00000000-0005-0000-0000-0000271E0000}"/>
    <cellStyle name="Percent 2 2" xfId="199" xr:uid="{00000000-0005-0000-0000-0000281E0000}"/>
    <cellStyle name="Percent 2 2 10" xfId="415" xr:uid="{00000000-0005-0000-0000-0000291E0000}"/>
    <cellStyle name="Percent 2 2 10 2" xfId="4060" xr:uid="{00000000-0005-0000-0000-00002A1E0000}"/>
    <cellStyle name="Percent 2 2 10 2 2" xfId="8526" xr:uid="{00000000-0005-0000-0000-00002B1E0000}"/>
    <cellStyle name="Percent 2 2 10 3" xfId="5272" xr:uid="{00000000-0005-0000-0000-00002C1E0000}"/>
    <cellStyle name="Percent 2 2 11" xfId="3753" xr:uid="{00000000-0005-0000-0000-00002D1E0000}"/>
    <cellStyle name="Percent 2 2 11 2" xfId="8219" xr:uid="{00000000-0005-0000-0000-00002E1E0000}"/>
    <cellStyle name="Percent 2 2 12" xfId="4965" xr:uid="{00000000-0005-0000-0000-00002F1E0000}"/>
    <cellStyle name="Percent 2 2 2" xfId="200" xr:uid="{00000000-0005-0000-0000-0000301E0000}"/>
    <cellStyle name="Percent 2 2 2 10" xfId="4966" xr:uid="{00000000-0005-0000-0000-0000311E0000}"/>
    <cellStyle name="Percent 2 2 2 2" xfId="201" xr:uid="{00000000-0005-0000-0000-0000321E0000}"/>
    <cellStyle name="Percent 2 2 2 2 2" xfId="202" xr:uid="{00000000-0005-0000-0000-0000331E0000}"/>
    <cellStyle name="Percent 2 2 2 2 2 2" xfId="203" xr:uid="{00000000-0005-0000-0000-0000341E0000}"/>
    <cellStyle name="Percent 2 2 2 2 2 2 2" xfId="1670" xr:uid="{00000000-0005-0000-0000-0000351E0000}"/>
    <cellStyle name="Percent 2 2 2 2 2 2 2 2" xfId="1671" xr:uid="{00000000-0005-0000-0000-0000361E0000}"/>
    <cellStyle name="Percent 2 2 2 2 2 2 2 2 2" xfId="3093" xr:uid="{00000000-0005-0000-0000-0000371E0000}"/>
    <cellStyle name="Percent 2 2 2 2 2 2 2 2 2 2" xfId="7565" xr:uid="{00000000-0005-0000-0000-0000381E0000}"/>
    <cellStyle name="Percent 2 2 2 2 2 2 2 2 3" xfId="4425" xr:uid="{00000000-0005-0000-0000-0000391E0000}"/>
    <cellStyle name="Percent 2 2 2 2 2 2 2 2 3 2" xfId="8888" xr:uid="{00000000-0005-0000-0000-00003A1E0000}"/>
    <cellStyle name="Percent 2 2 2 2 2 2 2 2 4" xfId="5637" xr:uid="{00000000-0005-0000-0000-00003B1E0000}"/>
    <cellStyle name="Percent 2 2 2 2 2 2 2 3" xfId="3094" xr:uid="{00000000-0005-0000-0000-00003C1E0000}"/>
    <cellStyle name="Percent 2 2 2 2 2 2 2 3 2" xfId="7566" xr:uid="{00000000-0005-0000-0000-00003D1E0000}"/>
    <cellStyle name="Percent 2 2 2 2 2 2 2 4" xfId="3758" xr:uid="{00000000-0005-0000-0000-00003E1E0000}"/>
    <cellStyle name="Percent 2 2 2 2 2 2 2 4 2" xfId="8224" xr:uid="{00000000-0005-0000-0000-00003F1E0000}"/>
    <cellStyle name="Percent 2 2 2 2 2 2 2 5" xfId="4970" xr:uid="{00000000-0005-0000-0000-0000401E0000}"/>
    <cellStyle name="Percent 2 2 2 2 2 2 3" xfId="1672" xr:uid="{00000000-0005-0000-0000-0000411E0000}"/>
    <cellStyle name="Percent 2 2 2 2 2 2 3 2" xfId="1673" xr:uid="{00000000-0005-0000-0000-0000421E0000}"/>
    <cellStyle name="Percent 2 2 2 2 2 2 3 2 2" xfId="3095" xr:uid="{00000000-0005-0000-0000-0000431E0000}"/>
    <cellStyle name="Percent 2 2 2 2 2 2 3 2 2 2" xfId="7567" xr:uid="{00000000-0005-0000-0000-0000441E0000}"/>
    <cellStyle name="Percent 2 2 2 2 2 2 3 2 3" xfId="6306" xr:uid="{00000000-0005-0000-0000-0000451E0000}"/>
    <cellStyle name="Percent 2 2 2 2 2 2 3 3" xfId="3096" xr:uid="{00000000-0005-0000-0000-0000461E0000}"/>
    <cellStyle name="Percent 2 2 2 2 2 2 3 3 2" xfId="7568" xr:uid="{00000000-0005-0000-0000-0000471E0000}"/>
    <cellStyle name="Percent 2 2 2 2 2 2 3 4" xfId="4064" xr:uid="{00000000-0005-0000-0000-0000481E0000}"/>
    <cellStyle name="Percent 2 2 2 2 2 2 3 4 2" xfId="8530" xr:uid="{00000000-0005-0000-0000-0000491E0000}"/>
    <cellStyle name="Percent 2 2 2 2 2 2 3 5" xfId="5276" xr:uid="{00000000-0005-0000-0000-00004A1E0000}"/>
    <cellStyle name="Percent 2 2 2 2 2 2 4" xfId="1674" xr:uid="{00000000-0005-0000-0000-00004B1E0000}"/>
    <cellStyle name="Percent 2 2 2 2 2 2 4 2" xfId="3097" xr:uid="{00000000-0005-0000-0000-00004C1E0000}"/>
    <cellStyle name="Percent 2 2 2 2 2 2 4 2 2" xfId="7569" xr:uid="{00000000-0005-0000-0000-00004D1E0000}"/>
    <cellStyle name="Percent 2 2 2 2 2 2 4 3" xfId="6307" xr:uid="{00000000-0005-0000-0000-00004E1E0000}"/>
    <cellStyle name="Percent 2 2 2 2 2 2 5" xfId="419" xr:uid="{00000000-0005-0000-0000-00004F1E0000}"/>
    <cellStyle name="Percent 2 2 2 2 2 2 5 2" xfId="6086" xr:uid="{00000000-0005-0000-0000-0000501E0000}"/>
    <cellStyle name="Percent 2 2 2 2 2 2 6" xfId="3757" xr:uid="{00000000-0005-0000-0000-0000511E0000}"/>
    <cellStyle name="Percent 2 2 2 2 2 2 6 2" xfId="8223" xr:uid="{00000000-0005-0000-0000-0000521E0000}"/>
    <cellStyle name="Percent 2 2 2 2 2 2 7" xfId="4969" xr:uid="{00000000-0005-0000-0000-0000531E0000}"/>
    <cellStyle name="Percent 2 2 2 2 2 3" xfId="1675" xr:uid="{00000000-0005-0000-0000-0000541E0000}"/>
    <cellStyle name="Percent 2 2 2 2 2 3 2" xfId="1676" xr:uid="{00000000-0005-0000-0000-0000551E0000}"/>
    <cellStyle name="Percent 2 2 2 2 2 3 2 2" xfId="3098" xr:uid="{00000000-0005-0000-0000-0000561E0000}"/>
    <cellStyle name="Percent 2 2 2 2 2 3 2 2 2" xfId="7570" xr:uid="{00000000-0005-0000-0000-0000571E0000}"/>
    <cellStyle name="Percent 2 2 2 2 2 3 2 3" xfId="4426" xr:uid="{00000000-0005-0000-0000-0000581E0000}"/>
    <cellStyle name="Percent 2 2 2 2 2 3 2 3 2" xfId="8889" xr:uid="{00000000-0005-0000-0000-0000591E0000}"/>
    <cellStyle name="Percent 2 2 2 2 2 3 2 4" xfId="5638" xr:uid="{00000000-0005-0000-0000-00005A1E0000}"/>
    <cellStyle name="Percent 2 2 2 2 2 3 3" xfId="3099" xr:uid="{00000000-0005-0000-0000-00005B1E0000}"/>
    <cellStyle name="Percent 2 2 2 2 2 3 3 2" xfId="7571" xr:uid="{00000000-0005-0000-0000-00005C1E0000}"/>
    <cellStyle name="Percent 2 2 2 2 2 3 4" xfId="3759" xr:uid="{00000000-0005-0000-0000-00005D1E0000}"/>
    <cellStyle name="Percent 2 2 2 2 2 3 4 2" xfId="8225" xr:uid="{00000000-0005-0000-0000-00005E1E0000}"/>
    <cellStyle name="Percent 2 2 2 2 2 3 5" xfId="4971" xr:uid="{00000000-0005-0000-0000-00005F1E0000}"/>
    <cellStyle name="Percent 2 2 2 2 2 4" xfId="1677" xr:uid="{00000000-0005-0000-0000-0000601E0000}"/>
    <cellStyle name="Percent 2 2 2 2 2 4 2" xfId="1678" xr:uid="{00000000-0005-0000-0000-0000611E0000}"/>
    <cellStyle name="Percent 2 2 2 2 2 4 2 2" xfId="3100" xr:uid="{00000000-0005-0000-0000-0000621E0000}"/>
    <cellStyle name="Percent 2 2 2 2 2 4 2 2 2" xfId="7572" xr:uid="{00000000-0005-0000-0000-0000631E0000}"/>
    <cellStyle name="Percent 2 2 2 2 2 4 2 3" xfId="6308" xr:uid="{00000000-0005-0000-0000-0000641E0000}"/>
    <cellStyle name="Percent 2 2 2 2 2 4 3" xfId="3101" xr:uid="{00000000-0005-0000-0000-0000651E0000}"/>
    <cellStyle name="Percent 2 2 2 2 2 4 3 2" xfId="7573" xr:uid="{00000000-0005-0000-0000-0000661E0000}"/>
    <cellStyle name="Percent 2 2 2 2 2 4 4" xfId="4063" xr:uid="{00000000-0005-0000-0000-0000671E0000}"/>
    <cellStyle name="Percent 2 2 2 2 2 4 4 2" xfId="8529" xr:uid="{00000000-0005-0000-0000-0000681E0000}"/>
    <cellStyle name="Percent 2 2 2 2 2 4 5" xfId="5275" xr:uid="{00000000-0005-0000-0000-0000691E0000}"/>
    <cellStyle name="Percent 2 2 2 2 2 5" xfId="1679" xr:uid="{00000000-0005-0000-0000-00006A1E0000}"/>
    <cellStyle name="Percent 2 2 2 2 2 5 2" xfId="3102" xr:uid="{00000000-0005-0000-0000-00006B1E0000}"/>
    <cellStyle name="Percent 2 2 2 2 2 5 2 2" xfId="7574" xr:uid="{00000000-0005-0000-0000-00006C1E0000}"/>
    <cellStyle name="Percent 2 2 2 2 2 5 3" xfId="6309" xr:uid="{00000000-0005-0000-0000-00006D1E0000}"/>
    <cellStyle name="Percent 2 2 2 2 2 6" xfId="418" xr:uid="{00000000-0005-0000-0000-00006E1E0000}"/>
    <cellStyle name="Percent 2 2 2 2 2 6 2" xfId="6087" xr:uid="{00000000-0005-0000-0000-00006F1E0000}"/>
    <cellStyle name="Percent 2 2 2 2 2 7" xfId="3756" xr:uid="{00000000-0005-0000-0000-0000701E0000}"/>
    <cellStyle name="Percent 2 2 2 2 2 7 2" xfId="8222" xr:uid="{00000000-0005-0000-0000-0000711E0000}"/>
    <cellStyle name="Percent 2 2 2 2 2 8" xfId="4968" xr:uid="{00000000-0005-0000-0000-0000721E0000}"/>
    <cellStyle name="Percent 2 2 2 2 3" xfId="204" xr:uid="{00000000-0005-0000-0000-0000731E0000}"/>
    <cellStyle name="Percent 2 2 2 2 3 2" xfId="1680" xr:uid="{00000000-0005-0000-0000-0000741E0000}"/>
    <cellStyle name="Percent 2 2 2 2 3 2 2" xfId="1681" xr:uid="{00000000-0005-0000-0000-0000751E0000}"/>
    <cellStyle name="Percent 2 2 2 2 3 2 2 2" xfId="3103" xr:uid="{00000000-0005-0000-0000-0000761E0000}"/>
    <cellStyle name="Percent 2 2 2 2 3 2 2 2 2" xfId="7575" xr:uid="{00000000-0005-0000-0000-0000771E0000}"/>
    <cellStyle name="Percent 2 2 2 2 3 2 2 3" xfId="4427" xr:uid="{00000000-0005-0000-0000-0000781E0000}"/>
    <cellStyle name="Percent 2 2 2 2 3 2 2 3 2" xfId="8890" xr:uid="{00000000-0005-0000-0000-0000791E0000}"/>
    <cellStyle name="Percent 2 2 2 2 3 2 2 4" xfId="5639" xr:uid="{00000000-0005-0000-0000-00007A1E0000}"/>
    <cellStyle name="Percent 2 2 2 2 3 2 3" xfId="3104" xr:uid="{00000000-0005-0000-0000-00007B1E0000}"/>
    <cellStyle name="Percent 2 2 2 2 3 2 3 2" xfId="7576" xr:uid="{00000000-0005-0000-0000-00007C1E0000}"/>
    <cellStyle name="Percent 2 2 2 2 3 2 4" xfId="3761" xr:uid="{00000000-0005-0000-0000-00007D1E0000}"/>
    <cellStyle name="Percent 2 2 2 2 3 2 4 2" xfId="8227" xr:uid="{00000000-0005-0000-0000-00007E1E0000}"/>
    <cellStyle name="Percent 2 2 2 2 3 2 5" xfId="4973" xr:uid="{00000000-0005-0000-0000-00007F1E0000}"/>
    <cellStyle name="Percent 2 2 2 2 3 3" xfId="1682" xr:uid="{00000000-0005-0000-0000-0000801E0000}"/>
    <cellStyle name="Percent 2 2 2 2 3 3 2" xfId="1683" xr:uid="{00000000-0005-0000-0000-0000811E0000}"/>
    <cellStyle name="Percent 2 2 2 2 3 3 2 2" xfId="3105" xr:uid="{00000000-0005-0000-0000-0000821E0000}"/>
    <cellStyle name="Percent 2 2 2 2 3 3 2 2 2" xfId="7577" xr:uid="{00000000-0005-0000-0000-0000831E0000}"/>
    <cellStyle name="Percent 2 2 2 2 3 3 2 3" xfId="6310" xr:uid="{00000000-0005-0000-0000-0000841E0000}"/>
    <cellStyle name="Percent 2 2 2 2 3 3 3" xfId="3106" xr:uid="{00000000-0005-0000-0000-0000851E0000}"/>
    <cellStyle name="Percent 2 2 2 2 3 3 3 2" xfId="7578" xr:uid="{00000000-0005-0000-0000-0000861E0000}"/>
    <cellStyle name="Percent 2 2 2 2 3 3 4" xfId="4065" xr:uid="{00000000-0005-0000-0000-0000871E0000}"/>
    <cellStyle name="Percent 2 2 2 2 3 3 4 2" xfId="8531" xr:uid="{00000000-0005-0000-0000-0000881E0000}"/>
    <cellStyle name="Percent 2 2 2 2 3 3 5" xfId="5277" xr:uid="{00000000-0005-0000-0000-0000891E0000}"/>
    <cellStyle name="Percent 2 2 2 2 3 4" xfId="1684" xr:uid="{00000000-0005-0000-0000-00008A1E0000}"/>
    <cellStyle name="Percent 2 2 2 2 3 4 2" xfId="3107" xr:uid="{00000000-0005-0000-0000-00008B1E0000}"/>
    <cellStyle name="Percent 2 2 2 2 3 4 2 2" xfId="7579" xr:uid="{00000000-0005-0000-0000-00008C1E0000}"/>
    <cellStyle name="Percent 2 2 2 2 3 4 3" xfId="6311" xr:uid="{00000000-0005-0000-0000-00008D1E0000}"/>
    <cellStyle name="Percent 2 2 2 2 3 5" xfId="420" xr:uid="{00000000-0005-0000-0000-00008E1E0000}"/>
    <cellStyle name="Percent 2 2 2 2 3 5 2" xfId="6084" xr:uid="{00000000-0005-0000-0000-00008F1E0000}"/>
    <cellStyle name="Percent 2 2 2 2 3 6" xfId="3760" xr:uid="{00000000-0005-0000-0000-0000901E0000}"/>
    <cellStyle name="Percent 2 2 2 2 3 6 2" xfId="8226" xr:uid="{00000000-0005-0000-0000-0000911E0000}"/>
    <cellStyle name="Percent 2 2 2 2 3 7" xfId="4972" xr:uid="{00000000-0005-0000-0000-0000921E0000}"/>
    <cellStyle name="Percent 2 2 2 2 4" xfId="1685" xr:uid="{00000000-0005-0000-0000-0000931E0000}"/>
    <cellStyle name="Percent 2 2 2 2 4 2" xfId="1686" xr:uid="{00000000-0005-0000-0000-0000941E0000}"/>
    <cellStyle name="Percent 2 2 2 2 4 2 2" xfId="3108" xr:uid="{00000000-0005-0000-0000-0000951E0000}"/>
    <cellStyle name="Percent 2 2 2 2 4 2 2 2" xfId="7580" xr:uid="{00000000-0005-0000-0000-0000961E0000}"/>
    <cellStyle name="Percent 2 2 2 2 4 2 3" xfId="4428" xr:uid="{00000000-0005-0000-0000-0000971E0000}"/>
    <cellStyle name="Percent 2 2 2 2 4 2 3 2" xfId="8891" xr:uid="{00000000-0005-0000-0000-0000981E0000}"/>
    <cellStyle name="Percent 2 2 2 2 4 2 4" xfId="5640" xr:uid="{00000000-0005-0000-0000-0000991E0000}"/>
    <cellStyle name="Percent 2 2 2 2 4 3" xfId="3109" xr:uid="{00000000-0005-0000-0000-00009A1E0000}"/>
    <cellStyle name="Percent 2 2 2 2 4 3 2" xfId="7581" xr:uid="{00000000-0005-0000-0000-00009B1E0000}"/>
    <cellStyle name="Percent 2 2 2 2 4 4" xfId="3762" xr:uid="{00000000-0005-0000-0000-00009C1E0000}"/>
    <cellStyle name="Percent 2 2 2 2 4 4 2" xfId="8228" xr:uid="{00000000-0005-0000-0000-00009D1E0000}"/>
    <cellStyle name="Percent 2 2 2 2 4 5" xfId="4974" xr:uid="{00000000-0005-0000-0000-00009E1E0000}"/>
    <cellStyle name="Percent 2 2 2 2 5" xfId="1687" xr:uid="{00000000-0005-0000-0000-00009F1E0000}"/>
    <cellStyle name="Percent 2 2 2 2 5 2" xfId="1688" xr:uid="{00000000-0005-0000-0000-0000A01E0000}"/>
    <cellStyle name="Percent 2 2 2 2 5 2 2" xfId="3110" xr:uid="{00000000-0005-0000-0000-0000A11E0000}"/>
    <cellStyle name="Percent 2 2 2 2 5 2 2 2" xfId="7582" xr:uid="{00000000-0005-0000-0000-0000A21E0000}"/>
    <cellStyle name="Percent 2 2 2 2 5 2 3" xfId="6312" xr:uid="{00000000-0005-0000-0000-0000A31E0000}"/>
    <cellStyle name="Percent 2 2 2 2 5 3" xfId="3111" xr:uid="{00000000-0005-0000-0000-0000A41E0000}"/>
    <cellStyle name="Percent 2 2 2 2 5 3 2" xfId="7583" xr:uid="{00000000-0005-0000-0000-0000A51E0000}"/>
    <cellStyle name="Percent 2 2 2 2 5 4" xfId="4062" xr:uid="{00000000-0005-0000-0000-0000A61E0000}"/>
    <cellStyle name="Percent 2 2 2 2 5 4 2" xfId="8528" xr:uid="{00000000-0005-0000-0000-0000A71E0000}"/>
    <cellStyle name="Percent 2 2 2 2 5 5" xfId="5274" xr:uid="{00000000-0005-0000-0000-0000A81E0000}"/>
    <cellStyle name="Percent 2 2 2 2 6" xfId="1689" xr:uid="{00000000-0005-0000-0000-0000A91E0000}"/>
    <cellStyle name="Percent 2 2 2 2 6 2" xfId="3112" xr:uid="{00000000-0005-0000-0000-0000AA1E0000}"/>
    <cellStyle name="Percent 2 2 2 2 6 2 2" xfId="7584" xr:uid="{00000000-0005-0000-0000-0000AB1E0000}"/>
    <cellStyle name="Percent 2 2 2 2 6 3" xfId="6313" xr:uid="{00000000-0005-0000-0000-0000AC1E0000}"/>
    <cellStyle name="Percent 2 2 2 2 7" xfId="417" xr:uid="{00000000-0005-0000-0000-0000AD1E0000}"/>
    <cellStyle name="Percent 2 2 2 2 7 2" xfId="5957" xr:uid="{00000000-0005-0000-0000-0000AE1E0000}"/>
    <cellStyle name="Percent 2 2 2 2 8" xfId="3755" xr:uid="{00000000-0005-0000-0000-0000AF1E0000}"/>
    <cellStyle name="Percent 2 2 2 2 8 2" xfId="8221" xr:uid="{00000000-0005-0000-0000-0000B01E0000}"/>
    <cellStyle name="Percent 2 2 2 2 9" xfId="4967" xr:uid="{00000000-0005-0000-0000-0000B11E0000}"/>
    <cellStyle name="Percent 2 2 2 3" xfId="205" xr:uid="{00000000-0005-0000-0000-0000B21E0000}"/>
    <cellStyle name="Percent 2 2 2 3 2" xfId="206" xr:uid="{00000000-0005-0000-0000-0000B31E0000}"/>
    <cellStyle name="Percent 2 2 2 3 2 2" xfId="1690" xr:uid="{00000000-0005-0000-0000-0000B41E0000}"/>
    <cellStyle name="Percent 2 2 2 3 2 2 2" xfId="1691" xr:uid="{00000000-0005-0000-0000-0000B51E0000}"/>
    <cellStyle name="Percent 2 2 2 3 2 2 2 2" xfId="3113" xr:uid="{00000000-0005-0000-0000-0000B61E0000}"/>
    <cellStyle name="Percent 2 2 2 3 2 2 2 2 2" xfId="7585" xr:uid="{00000000-0005-0000-0000-0000B71E0000}"/>
    <cellStyle name="Percent 2 2 2 3 2 2 2 3" xfId="4429" xr:uid="{00000000-0005-0000-0000-0000B81E0000}"/>
    <cellStyle name="Percent 2 2 2 3 2 2 2 3 2" xfId="8892" xr:uid="{00000000-0005-0000-0000-0000B91E0000}"/>
    <cellStyle name="Percent 2 2 2 3 2 2 2 4" xfId="5641" xr:uid="{00000000-0005-0000-0000-0000BA1E0000}"/>
    <cellStyle name="Percent 2 2 2 3 2 2 3" xfId="3114" xr:uid="{00000000-0005-0000-0000-0000BB1E0000}"/>
    <cellStyle name="Percent 2 2 2 3 2 2 3 2" xfId="7586" xr:uid="{00000000-0005-0000-0000-0000BC1E0000}"/>
    <cellStyle name="Percent 2 2 2 3 2 2 4" xfId="3765" xr:uid="{00000000-0005-0000-0000-0000BD1E0000}"/>
    <cellStyle name="Percent 2 2 2 3 2 2 4 2" xfId="8231" xr:uid="{00000000-0005-0000-0000-0000BE1E0000}"/>
    <cellStyle name="Percent 2 2 2 3 2 2 5" xfId="4977" xr:uid="{00000000-0005-0000-0000-0000BF1E0000}"/>
    <cellStyle name="Percent 2 2 2 3 2 3" xfId="1692" xr:uid="{00000000-0005-0000-0000-0000C01E0000}"/>
    <cellStyle name="Percent 2 2 2 3 2 3 2" xfId="1693" xr:uid="{00000000-0005-0000-0000-0000C11E0000}"/>
    <cellStyle name="Percent 2 2 2 3 2 3 2 2" xfId="3115" xr:uid="{00000000-0005-0000-0000-0000C21E0000}"/>
    <cellStyle name="Percent 2 2 2 3 2 3 2 2 2" xfId="7587" xr:uid="{00000000-0005-0000-0000-0000C31E0000}"/>
    <cellStyle name="Percent 2 2 2 3 2 3 2 3" xfId="6314" xr:uid="{00000000-0005-0000-0000-0000C41E0000}"/>
    <cellStyle name="Percent 2 2 2 3 2 3 3" xfId="3116" xr:uid="{00000000-0005-0000-0000-0000C51E0000}"/>
    <cellStyle name="Percent 2 2 2 3 2 3 3 2" xfId="7588" xr:uid="{00000000-0005-0000-0000-0000C61E0000}"/>
    <cellStyle name="Percent 2 2 2 3 2 3 4" xfId="4067" xr:uid="{00000000-0005-0000-0000-0000C71E0000}"/>
    <cellStyle name="Percent 2 2 2 3 2 3 4 2" xfId="8533" xr:uid="{00000000-0005-0000-0000-0000C81E0000}"/>
    <cellStyle name="Percent 2 2 2 3 2 3 5" xfId="5279" xr:uid="{00000000-0005-0000-0000-0000C91E0000}"/>
    <cellStyle name="Percent 2 2 2 3 2 4" xfId="1694" xr:uid="{00000000-0005-0000-0000-0000CA1E0000}"/>
    <cellStyle name="Percent 2 2 2 3 2 4 2" xfId="3117" xr:uid="{00000000-0005-0000-0000-0000CB1E0000}"/>
    <cellStyle name="Percent 2 2 2 3 2 4 2 2" xfId="7589" xr:uid="{00000000-0005-0000-0000-0000CC1E0000}"/>
    <cellStyle name="Percent 2 2 2 3 2 4 3" xfId="6315" xr:uid="{00000000-0005-0000-0000-0000CD1E0000}"/>
    <cellStyle name="Percent 2 2 2 3 2 5" xfId="422" xr:uid="{00000000-0005-0000-0000-0000CE1E0000}"/>
    <cellStyle name="Percent 2 2 2 3 2 5 2" xfId="5831" xr:uid="{00000000-0005-0000-0000-0000CF1E0000}"/>
    <cellStyle name="Percent 2 2 2 3 2 6" xfId="3764" xr:uid="{00000000-0005-0000-0000-0000D01E0000}"/>
    <cellStyle name="Percent 2 2 2 3 2 6 2" xfId="8230" xr:uid="{00000000-0005-0000-0000-0000D11E0000}"/>
    <cellStyle name="Percent 2 2 2 3 2 7" xfId="4976" xr:uid="{00000000-0005-0000-0000-0000D21E0000}"/>
    <cellStyle name="Percent 2 2 2 3 3" xfId="1695" xr:uid="{00000000-0005-0000-0000-0000D31E0000}"/>
    <cellStyle name="Percent 2 2 2 3 3 2" xfId="1696" xr:uid="{00000000-0005-0000-0000-0000D41E0000}"/>
    <cellStyle name="Percent 2 2 2 3 3 2 2" xfId="3118" xr:uid="{00000000-0005-0000-0000-0000D51E0000}"/>
    <cellStyle name="Percent 2 2 2 3 3 2 2 2" xfId="7590" xr:uid="{00000000-0005-0000-0000-0000D61E0000}"/>
    <cellStyle name="Percent 2 2 2 3 3 2 3" xfId="4430" xr:uid="{00000000-0005-0000-0000-0000D71E0000}"/>
    <cellStyle name="Percent 2 2 2 3 3 2 3 2" xfId="8893" xr:uid="{00000000-0005-0000-0000-0000D81E0000}"/>
    <cellStyle name="Percent 2 2 2 3 3 2 4" xfId="5642" xr:uid="{00000000-0005-0000-0000-0000D91E0000}"/>
    <cellStyle name="Percent 2 2 2 3 3 3" xfId="3119" xr:uid="{00000000-0005-0000-0000-0000DA1E0000}"/>
    <cellStyle name="Percent 2 2 2 3 3 3 2" xfId="7591" xr:uid="{00000000-0005-0000-0000-0000DB1E0000}"/>
    <cellStyle name="Percent 2 2 2 3 3 4" xfId="3766" xr:uid="{00000000-0005-0000-0000-0000DC1E0000}"/>
    <cellStyle name="Percent 2 2 2 3 3 4 2" xfId="8232" xr:uid="{00000000-0005-0000-0000-0000DD1E0000}"/>
    <cellStyle name="Percent 2 2 2 3 3 5" xfId="4978" xr:uid="{00000000-0005-0000-0000-0000DE1E0000}"/>
    <cellStyle name="Percent 2 2 2 3 4" xfId="1697" xr:uid="{00000000-0005-0000-0000-0000DF1E0000}"/>
    <cellStyle name="Percent 2 2 2 3 4 2" xfId="1698" xr:uid="{00000000-0005-0000-0000-0000E01E0000}"/>
    <cellStyle name="Percent 2 2 2 3 4 2 2" xfId="3120" xr:uid="{00000000-0005-0000-0000-0000E11E0000}"/>
    <cellStyle name="Percent 2 2 2 3 4 2 2 2" xfId="7592" xr:uid="{00000000-0005-0000-0000-0000E21E0000}"/>
    <cellStyle name="Percent 2 2 2 3 4 2 3" xfId="6316" xr:uid="{00000000-0005-0000-0000-0000E31E0000}"/>
    <cellStyle name="Percent 2 2 2 3 4 3" xfId="3121" xr:uid="{00000000-0005-0000-0000-0000E41E0000}"/>
    <cellStyle name="Percent 2 2 2 3 4 3 2" xfId="7593" xr:uid="{00000000-0005-0000-0000-0000E51E0000}"/>
    <cellStyle name="Percent 2 2 2 3 4 4" xfId="4066" xr:uid="{00000000-0005-0000-0000-0000E61E0000}"/>
    <cellStyle name="Percent 2 2 2 3 4 4 2" xfId="8532" xr:uid="{00000000-0005-0000-0000-0000E71E0000}"/>
    <cellStyle name="Percent 2 2 2 3 4 5" xfId="5278" xr:uid="{00000000-0005-0000-0000-0000E81E0000}"/>
    <cellStyle name="Percent 2 2 2 3 5" xfId="1699" xr:uid="{00000000-0005-0000-0000-0000E91E0000}"/>
    <cellStyle name="Percent 2 2 2 3 5 2" xfId="3122" xr:uid="{00000000-0005-0000-0000-0000EA1E0000}"/>
    <cellStyle name="Percent 2 2 2 3 5 2 2" xfId="7594" xr:uid="{00000000-0005-0000-0000-0000EB1E0000}"/>
    <cellStyle name="Percent 2 2 2 3 5 3" xfId="6317" xr:uid="{00000000-0005-0000-0000-0000EC1E0000}"/>
    <cellStyle name="Percent 2 2 2 3 6" xfId="421" xr:uid="{00000000-0005-0000-0000-0000ED1E0000}"/>
    <cellStyle name="Percent 2 2 2 3 6 2" xfId="6085" xr:uid="{00000000-0005-0000-0000-0000EE1E0000}"/>
    <cellStyle name="Percent 2 2 2 3 7" xfId="3763" xr:uid="{00000000-0005-0000-0000-0000EF1E0000}"/>
    <cellStyle name="Percent 2 2 2 3 7 2" xfId="8229" xr:uid="{00000000-0005-0000-0000-0000F01E0000}"/>
    <cellStyle name="Percent 2 2 2 3 8" xfId="4975" xr:uid="{00000000-0005-0000-0000-0000F11E0000}"/>
    <cellStyle name="Percent 2 2 2 4" xfId="207" xr:uid="{00000000-0005-0000-0000-0000F21E0000}"/>
    <cellStyle name="Percent 2 2 2 4 2" xfId="1700" xr:uid="{00000000-0005-0000-0000-0000F31E0000}"/>
    <cellStyle name="Percent 2 2 2 4 2 2" xfId="1701" xr:uid="{00000000-0005-0000-0000-0000F41E0000}"/>
    <cellStyle name="Percent 2 2 2 4 2 2 2" xfId="3123" xr:uid="{00000000-0005-0000-0000-0000F51E0000}"/>
    <cellStyle name="Percent 2 2 2 4 2 2 2 2" xfId="7595" xr:uid="{00000000-0005-0000-0000-0000F61E0000}"/>
    <cellStyle name="Percent 2 2 2 4 2 2 3" xfId="4431" xr:uid="{00000000-0005-0000-0000-0000F71E0000}"/>
    <cellStyle name="Percent 2 2 2 4 2 2 3 2" xfId="8894" xr:uid="{00000000-0005-0000-0000-0000F81E0000}"/>
    <cellStyle name="Percent 2 2 2 4 2 2 4" xfId="5643" xr:uid="{00000000-0005-0000-0000-0000F91E0000}"/>
    <cellStyle name="Percent 2 2 2 4 2 3" xfId="3124" xr:uid="{00000000-0005-0000-0000-0000FA1E0000}"/>
    <cellStyle name="Percent 2 2 2 4 2 3 2" xfId="7596" xr:uid="{00000000-0005-0000-0000-0000FB1E0000}"/>
    <cellStyle name="Percent 2 2 2 4 2 4" xfId="3768" xr:uid="{00000000-0005-0000-0000-0000FC1E0000}"/>
    <cellStyle name="Percent 2 2 2 4 2 4 2" xfId="8234" xr:uid="{00000000-0005-0000-0000-0000FD1E0000}"/>
    <cellStyle name="Percent 2 2 2 4 2 5" xfId="4980" xr:uid="{00000000-0005-0000-0000-0000FE1E0000}"/>
    <cellStyle name="Percent 2 2 2 4 3" xfId="1702" xr:uid="{00000000-0005-0000-0000-0000FF1E0000}"/>
    <cellStyle name="Percent 2 2 2 4 3 2" xfId="1703" xr:uid="{00000000-0005-0000-0000-0000001F0000}"/>
    <cellStyle name="Percent 2 2 2 4 3 2 2" xfId="3125" xr:uid="{00000000-0005-0000-0000-0000011F0000}"/>
    <cellStyle name="Percent 2 2 2 4 3 2 2 2" xfId="7597" xr:uid="{00000000-0005-0000-0000-0000021F0000}"/>
    <cellStyle name="Percent 2 2 2 4 3 2 3" xfId="6318" xr:uid="{00000000-0005-0000-0000-0000031F0000}"/>
    <cellStyle name="Percent 2 2 2 4 3 3" xfId="3126" xr:uid="{00000000-0005-0000-0000-0000041F0000}"/>
    <cellStyle name="Percent 2 2 2 4 3 3 2" xfId="7598" xr:uid="{00000000-0005-0000-0000-0000051F0000}"/>
    <cellStyle name="Percent 2 2 2 4 3 4" xfId="4068" xr:uid="{00000000-0005-0000-0000-0000061F0000}"/>
    <cellStyle name="Percent 2 2 2 4 3 4 2" xfId="8534" xr:uid="{00000000-0005-0000-0000-0000071F0000}"/>
    <cellStyle name="Percent 2 2 2 4 3 5" xfId="5280" xr:uid="{00000000-0005-0000-0000-0000081F0000}"/>
    <cellStyle name="Percent 2 2 2 4 4" xfId="1704" xr:uid="{00000000-0005-0000-0000-0000091F0000}"/>
    <cellStyle name="Percent 2 2 2 4 4 2" xfId="3127" xr:uid="{00000000-0005-0000-0000-00000A1F0000}"/>
    <cellStyle name="Percent 2 2 2 4 4 2 2" xfId="7599" xr:uid="{00000000-0005-0000-0000-00000B1F0000}"/>
    <cellStyle name="Percent 2 2 2 4 4 3" xfId="6319" xr:uid="{00000000-0005-0000-0000-00000C1F0000}"/>
    <cellStyle name="Percent 2 2 2 4 5" xfId="423" xr:uid="{00000000-0005-0000-0000-00000D1F0000}"/>
    <cellStyle name="Percent 2 2 2 4 5 2" xfId="5960" xr:uid="{00000000-0005-0000-0000-00000E1F0000}"/>
    <cellStyle name="Percent 2 2 2 4 6" xfId="3767" xr:uid="{00000000-0005-0000-0000-00000F1F0000}"/>
    <cellStyle name="Percent 2 2 2 4 6 2" xfId="8233" xr:uid="{00000000-0005-0000-0000-0000101F0000}"/>
    <cellStyle name="Percent 2 2 2 4 7" xfId="4979" xr:uid="{00000000-0005-0000-0000-0000111F0000}"/>
    <cellStyle name="Percent 2 2 2 5" xfId="1705" xr:uid="{00000000-0005-0000-0000-0000121F0000}"/>
    <cellStyle name="Percent 2 2 2 5 2" xfId="1706" xr:uid="{00000000-0005-0000-0000-0000131F0000}"/>
    <cellStyle name="Percent 2 2 2 5 2 2" xfId="3128" xr:uid="{00000000-0005-0000-0000-0000141F0000}"/>
    <cellStyle name="Percent 2 2 2 5 2 2 2" xfId="7600" xr:uid="{00000000-0005-0000-0000-0000151F0000}"/>
    <cellStyle name="Percent 2 2 2 5 2 3" xfId="4433" xr:uid="{00000000-0005-0000-0000-0000161F0000}"/>
    <cellStyle name="Percent 2 2 2 5 2 3 2" xfId="8896" xr:uid="{00000000-0005-0000-0000-0000171F0000}"/>
    <cellStyle name="Percent 2 2 2 5 2 4" xfId="5645" xr:uid="{00000000-0005-0000-0000-0000181F0000}"/>
    <cellStyle name="Percent 2 2 2 5 3" xfId="3129" xr:uid="{00000000-0005-0000-0000-0000191F0000}"/>
    <cellStyle name="Percent 2 2 2 5 3 2" xfId="4432" xr:uid="{00000000-0005-0000-0000-00001A1F0000}"/>
    <cellStyle name="Percent 2 2 2 5 3 2 2" xfId="8895" xr:uid="{00000000-0005-0000-0000-00001B1F0000}"/>
    <cellStyle name="Percent 2 2 2 5 3 3" xfId="5644" xr:uid="{00000000-0005-0000-0000-00001C1F0000}"/>
    <cellStyle name="Percent 2 2 2 5 4" xfId="3769" xr:uid="{00000000-0005-0000-0000-00001D1F0000}"/>
    <cellStyle name="Percent 2 2 2 5 4 2" xfId="8235" xr:uid="{00000000-0005-0000-0000-00001E1F0000}"/>
    <cellStyle name="Percent 2 2 2 5 5" xfId="4981" xr:uid="{00000000-0005-0000-0000-00001F1F0000}"/>
    <cellStyle name="Percent 2 2 2 6" xfId="1707" xr:uid="{00000000-0005-0000-0000-0000201F0000}"/>
    <cellStyle name="Percent 2 2 2 6 2" xfId="1708" xr:uid="{00000000-0005-0000-0000-0000211F0000}"/>
    <cellStyle name="Percent 2 2 2 6 2 2" xfId="3130" xr:uid="{00000000-0005-0000-0000-0000221F0000}"/>
    <cellStyle name="Percent 2 2 2 6 2 2 2" xfId="7601" xr:uid="{00000000-0005-0000-0000-0000231F0000}"/>
    <cellStyle name="Percent 2 2 2 6 2 3" xfId="6320" xr:uid="{00000000-0005-0000-0000-0000241F0000}"/>
    <cellStyle name="Percent 2 2 2 6 3" xfId="3131" xr:uid="{00000000-0005-0000-0000-0000251F0000}"/>
    <cellStyle name="Percent 2 2 2 6 3 2" xfId="7602" xr:uid="{00000000-0005-0000-0000-0000261F0000}"/>
    <cellStyle name="Percent 2 2 2 6 4" xfId="4434" xr:uid="{00000000-0005-0000-0000-0000271F0000}"/>
    <cellStyle name="Percent 2 2 2 6 4 2" xfId="8897" xr:uid="{00000000-0005-0000-0000-0000281F0000}"/>
    <cellStyle name="Percent 2 2 2 6 5" xfId="5646" xr:uid="{00000000-0005-0000-0000-0000291F0000}"/>
    <cellStyle name="Percent 2 2 2 7" xfId="1709" xr:uid="{00000000-0005-0000-0000-00002A1F0000}"/>
    <cellStyle name="Percent 2 2 2 7 2" xfId="3132" xr:uid="{00000000-0005-0000-0000-00002B1F0000}"/>
    <cellStyle name="Percent 2 2 2 7 2 2" xfId="7603" xr:uid="{00000000-0005-0000-0000-00002C1F0000}"/>
    <cellStyle name="Percent 2 2 2 7 3" xfId="4435" xr:uid="{00000000-0005-0000-0000-00002D1F0000}"/>
    <cellStyle name="Percent 2 2 2 7 3 2" xfId="8898" xr:uid="{00000000-0005-0000-0000-00002E1F0000}"/>
    <cellStyle name="Percent 2 2 2 7 4" xfId="5647" xr:uid="{00000000-0005-0000-0000-00002F1F0000}"/>
    <cellStyle name="Percent 2 2 2 8" xfId="416" xr:uid="{00000000-0005-0000-0000-0000301F0000}"/>
    <cellStyle name="Percent 2 2 2 8 2" xfId="4061" xr:uid="{00000000-0005-0000-0000-0000311F0000}"/>
    <cellStyle name="Percent 2 2 2 8 2 2" xfId="8527" xr:uid="{00000000-0005-0000-0000-0000321F0000}"/>
    <cellStyle name="Percent 2 2 2 8 3" xfId="5273" xr:uid="{00000000-0005-0000-0000-0000331F0000}"/>
    <cellStyle name="Percent 2 2 2 9" xfId="3754" xr:uid="{00000000-0005-0000-0000-0000341F0000}"/>
    <cellStyle name="Percent 2 2 2 9 2" xfId="8220" xr:uid="{00000000-0005-0000-0000-0000351F0000}"/>
    <cellStyle name="Percent 2 2 3" xfId="208" xr:uid="{00000000-0005-0000-0000-0000361F0000}"/>
    <cellStyle name="Percent 2 2 3 2" xfId="209" xr:uid="{00000000-0005-0000-0000-0000371F0000}"/>
    <cellStyle name="Percent 2 2 3 2 2" xfId="210" xr:uid="{00000000-0005-0000-0000-0000381F0000}"/>
    <cellStyle name="Percent 2 2 3 2 2 2" xfId="1710" xr:uid="{00000000-0005-0000-0000-0000391F0000}"/>
    <cellStyle name="Percent 2 2 3 2 2 2 2" xfId="1711" xr:uid="{00000000-0005-0000-0000-00003A1F0000}"/>
    <cellStyle name="Percent 2 2 3 2 2 2 2 2" xfId="3133" xr:uid="{00000000-0005-0000-0000-00003B1F0000}"/>
    <cellStyle name="Percent 2 2 3 2 2 2 2 2 2" xfId="7604" xr:uid="{00000000-0005-0000-0000-00003C1F0000}"/>
    <cellStyle name="Percent 2 2 3 2 2 2 2 3" xfId="4436" xr:uid="{00000000-0005-0000-0000-00003D1F0000}"/>
    <cellStyle name="Percent 2 2 3 2 2 2 2 3 2" xfId="8899" xr:uid="{00000000-0005-0000-0000-00003E1F0000}"/>
    <cellStyle name="Percent 2 2 3 2 2 2 2 4" xfId="5648" xr:uid="{00000000-0005-0000-0000-00003F1F0000}"/>
    <cellStyle name="Percent 2 2 3 2 2 2 3" xfId="3134" xr:uid="{00000000-0005-0000-0000-0000401F0000}"/>
    <cellStyle name="Percent 2 2 3 2 2 2 3 2" xfId="7605" xr:uid="{00000000-0005-0000-0000-0000411F0000}"/>
    <cellStyle name="Percent 2 2 3 2 2 2 4" xfId="3773" xr:uid="{00000000-0005-0000-0000-0000421F0000}"/>
    <cellStyle name="Percent 2 2 3 2 2 2 4 2" xfId="8239" xr:uid="{00000000-0005-0000-0000-0000431F0000}"/>
    <cellStyle name="Percent 2 2 3 2 2 2 5" xfId="4985" xr:uid="{00000000-0005-0000-0000-0000441F0000}"/>
    <cellStyle name="Percent 2 2 3 2 2 3" xfId="1712" xr:uid="{00000000-0005-0000-0000-0000451F0000}"/>
    <cellStyle name="Percent 2 2 3 2 2 3 2" xfId="1713" xr:uid="{00000000-0005-0000-0000-0000461F0000}"/>
    <cellStyle name="Percent 2 2 3 2 2 3 2 2" xfId="3135" xr:uid="{00000000-0005-0000-0000-0000471F0000}"/>
    <cellStyle name="Percent 2 2 3 2 2 3 2 2 2" xfId="7606" xr:uid="{00000000-0005-0000-0000-0000481F0000}"/>
    <cellStyle name="Percent 2 2 3 2 2 3 2 3" xfId="6321" xr:uid="{00000000-0005-0000-0000-0000491F0000}"/>
    <cellStyle name="Percent 2 2 3 2 2 3 3" xfId="3136" xr:uid="{00000000-0005-0000-0000-00004A1F0000}"/>
    <cellStyle name="Percent 2 2 3 2 2 3 3 2" xfId="7607" xr:uid="{00000000-0005-0000-0000-00004B1F0000}"/>
    <cellStyle name="Percent 2 2 3 2 2 3 4" xfId="4071" xr:uid="{00000000-0005-0000-0000-00004C1F0000}"/>
    <cellStyle name="Percent 2 2 3 2 2 3 4 2" xfId="8537" xr:uid="{00000000-0005-0000-0000-00004D1F0000}"/>
    <cellStyle name="Percent 2 2 3 2 2 3 5" xfId="5283" xr:uid="{00000000-0005-0000-0000-00004E1F0000}"/>
    <cellStyle name="Percent 2 2 3 2 2 4" xfId="1714" xr:uid="{00000000-0005-0000-0000-00004F1F0000}"/>
    <cellStyle name="Percent 2 2 3 2 2 4 2" xfId="3137" xr:uid="{00000000-0005-0000-0000-0000501F0000}"/>
    <cellStyle name="Percent 2 2 3 2 2 4 2 2" xfId="7608" xr:uid="{00000000-0005-0000-0000-0000511F0000}"/>
    <cellStyle name="Percent 2 2 3 2 2 4 3" xfId="6322" xr:uid="{00000000-0005-0000-0000-0000521F0000}"/>
    <cellStyle name="Percent 2 2 3 2 2 5" xfId="426" xr:uid="{00000000-0005-0000-0000-0000531F0000}"/>
    <cellStyle name="Percent 2 2 3 2 2 5 2" xfId="5829" xr:uid="{00000000-0005-0000-0000-0000541F0000}"/>
    <cellStyle name="Percent 2 2 3 2 2 6" xfId="3772" xr:uid="{00000000-0005-0000-0000-0000551F0000}"/>
    <cellStyle name="Percent 2 2 3 2 2 6 2" xfId="8238" xr:uid="{00000000-0005-0000-0000-0000561F0000}"/>
    <cellStyle name="Percent 2 2 3 2 2 7" xfId="4984" xr:uid="{00000000-0005-0000-0000-0000571F0000}"/>
    <cellStyle name="Percent 2 2 3 2 3" xfId="1715" xr:uid="{00000000-0005-0000-0000-0000581F0000}"/>
    <cellStyle name="Percent 2 2 3 2 3 2" xfId="1716" xr:uid="{00000000-0005-0000-0000-0000591F0000}"/>
    <cellStyle name="Percent 2 2 3 2 3 2 2" xfId="3138" xr:uid="{00000000-0005-0000-0000-00005A1F0000}"/>
    <cellStyle name="Percent 2 2 3 2 3 2 2 2" xfId="7609" xr:uid="{00000000-0005-0000-0000-00005B1F0000}"/>
    <cellStyle name="Percent 2 2 3 2 3 2 3" xfId="4437" xr:uid="{00000000-0005-0000-0000-00005C1F0000}"/>
    <cellStyle name="Percent 2 2 3 2 3 2 3 2" xfId="8900" xr:uid="{00000000-0005-0000-0000-00005D1F0000}"/>
    <cellStyle name="Percent 2 2 3 2 3 2 4" xfId="5649" xr:uid="{00000000-0005-0000-0000-00005E1F0000}"/>
    <cellStyle name="Percent 2 2 3 2 3 3" xfId="3139" xr:uid="{00000000-0005-0000-0000-00005F1F0000}"/>
    <cellStyle name="Percent 2 2 3 2 3 3 2" xfId="7610" xr:uid="{00000000-0005-0000-0000-0000601F0000}"/>
    <cellStyle name="Percent 2 2 3 2 3 4" xfId="3774" xr:uid="{00000000-0005-0000-0000-0000611F0000}"/>
    <cellStyle name="Percent 2 2 3 2 3 4 2" xfId="8240" xr:uid="{00000000-0005-0000-0000-0000621F0000}"/>
    <cellStyle name="Percent 2 2 3 2 3 5" xfId="4986" xr:uid="{00000000-0005-0000-0000-0000631F0000}"/>
    <cellStyle name="Percent 2 2 3 2 4" xfId="1717" xr:uid="{00000000-0005-0000-0000-0000641F0000}"/>
    <cellStyle name="Percent 2 2 3 2 4 2" xfId="1718" xr:uid="{00000000-0005-0000-0000-0000651F0000}"/>
    <cellStyle name="Percent 2 2 3 2 4 2 2" xfId="3140" xr:uid="{00000000-0005-0000-0000-0000661F0000}"/>
    <cellStyle name="Percent 2 2 3 2 4 2 2 2" xfId="7611" xr:uid="{00000000-0005-0000-0000-0000671F0000}"/>
    <cellStyle name="Percent 2 2 3 2 4 2 3" xfId="6323" xr:uid="{00000000-0005-0000-0000-0000681F0000}"/>
    <cellStyle name="Percent 2 2 3 2 4 3" xfId="3141" xr:uid="{00000000-0005-0000-0000-0000691F0000}"/>
    <cellStyle name="Percent 2 2 3 2 4 3 2" xfId="7612" xr:uid="{00000000-0005-0000-0000-00006A1F0000}"/>
    <cellStyle name="Percent 2 2 3 2 4 4" xfId="4070" xr:uid="{00000000-0005-0000-0000-00006B1F0000}"/>
    <cellStyle name="Percent 2 2 3 2 4 4 2" xfId="8536" xr:uid="{00000000-0005-0000-0000-00006C1F0000}"/>
    <cellStyle name="Percent 2 2 3 2 4 5" xfId="5282" xr:uid="{00000000-0005-0000-0000-00006D1F0000}"/>
    <cellStyle name="Percent 2 2 3 2 5" xfId="1719" xr:uid="{00000000-0005-0000-0000-00006E1F0000}"/>
    <cellStyle name="Percent 2 2 3 2 5 2" xfId="3142" xr:uid="{00000000-0005-0000-0000-00006F1F0000}"/>
    <cellStyle name="Percent 2 2 3 2 5 2 2" xfId="7613" xr:uid="{00000000-0005-0000-0000-0000701F0000}"/>
    <cellStyle name="Percent 2 2 3 2 5 3" xfId="6324" xr:uid="{00000000-0005-0000-0000-0000711F0000}"/>
    <cellStyle name="Percent 2 2 3 2 6" xfId="425" xr:uid="{00000000-0005-0000-0000-0000721F0000}"/>
    <cellStyle name="Percent 2 2 3 2 6 2" xfId="5830" xr:uid="{00000000-0005-0000-0000-0000731F0000}"/>
    <cellStyle name="Percent 2 2 3 2 7" xfId="3771" xr:uid="{00000000-0005-0000-0000-0000741F0000}"/>
    <cellStyle name="Percent 2 2 3 2 7 2" xfId="8237" xr:uid="{00000000-0005-0000-0000-0000751F0000}"/>
    <cellStyle name="Percent 2 2 3 2 8" xfId="4983" xr:uid="{00000000-0005-0000-0000-0000761F0000}"/>
    <cellStyle name="Percent 2 2 3 3" xfId="211" xr:uid="{00000000-0005-0000-0000-0000771F0000}"/>
    <cellStyle name="Percent 2 2 3 3 2" xfId="1720" xr:uid="{00000000-0005-0000-0000-0000781F0000}"/>
    <cellStyle name="Percent 2 2 3 3 2 2" xfId="1721" xr:uid="{00000000-0005-0000-0000-0000791F0000}"/>
    <cellStyle name="Percent 2 2 3 3 2 2 2" xfId="3143" xr:uid="{00000000-0005-0000-0000-00007A1F0000}"/>
    <cellStyle name="Percent 2 2 3 3 2 2 2 2" xfId="7614" xr:uid="{00000000-0005-0000-0000-00007B1F0000}"/>
    <cellStyle name="Percent 2 2 3 3 2 2 3" xfId="4438" xr:uid="{00000000-0005-0000-0000-00007C1F0000}"/>
    <cellStyle name="Percent 2 2 3 3 2 2 3 2" xfId="8901" xr:uid="{00000000-0005-0000-0000-00007D1F0000}"/>
    <cellStyle name="Percent 2 2 3 3 2 2 4" xfId="5650" xr:uid="{00000000-0005-0000-0000-00007E1F0000}"/>
    <cellStyle name="Percent 2 2 3 3 2 3" xfId="3144" xr:uid="{00000000-0005-0000-0000-00007F1F0000}"/>
    <cellStyle name="Percent 2 2 3 3 2 3 2" xfId="7615" xr:uid="{00000000-0005-0000-0000-0000801F0000}"/>
    <cellStyle name="Percent 2 2 3 3 2 4" xfId="3776" xr:uid="{00000000-0005-0000-0000-0000811F0000}"/>
    <cellStyle name="Percent 2 2 3 3 2 4 2" xfId="8242" xr:uid="{00000000-0005-0000-0000-0000821F0000}"/>
    <cellStyle name="Percent 2 2 3 3 2 5" xfId="4988" xr:uid="{00000000-0005-0000-0000-0000831F0000}"/>
    <cellStyle name="Percent 2 2 3 3 3" xfId="1722" xr:uid="{00000000-0005-0000-0000-0000841F0000}"/>
    <cellStyle name="Percent 2 2 3 3 3 2" xfId="1723" xr:uid="{00000000-0005-0000-0000-0000851F0000}"/>
    <cellStyle name="Percent 2 2 3 3 3 2 2" xfId="3145" xr:uid="{00000000-0005-0000-0000-0000861F0000}"/>
    <cellStyle name="Percent 2 2 3 3 3 2 2 2" xfId="7616" xr:uid="{00000000-0005-0000-0000-0000871F0000}"/>
    <cellStyle name="Percent 2 2 3 3 3 2 3" xfId="6325" xr:uid="{00000000-0005-0000-0000-0000881F0000}"/>
    <cellStyle name="Percent 2 2 3 3 3 3" xfId="3146" xr:uid="{00000000-0005-0000-0000-0000891F0000}"/>
    <cellStyle name="Percent 2 2 3 3 3 3 2" xfId="7617" xr:uid="{00000000-0005-0000-0000-00008A1F0000}"/>
    <cellStyle name="Percent 2 2 3 3 3 4" xfId="4072" xr:uid="{00000000-0005-0000-0000-00008B1F0000}"/>
    <cellStyle name="Percent 2 2 3 3 3 4 2" xfId="8538" xr:uid="{00000000-0005-0000-0000-00008C1F0000}"/>
    <cellStyle name="Percent 2 2 3 3 3 5" xfId="5284" xr:uid="{00000000-0005-0000-0000-00008D1F0000}"/>
    <cellStyle name="Percent 2 2 3 3 4" xfId="1724" xr:uid="{00000000-0005-0000-0000-00008E1F0000}"/>
    <cellStyle name="Percent 2 2 3 3 4 2" xfId="3147" xr:uid="{00000000-0005-0000-0000-00008F1F0000}"/>
    <cellStyle name="Percent 2 2 3 3 4 2 2" xfId="7618" xr:uid="{00000000-0005-0000-0000-0000901F0000}"/>
    <cellStyle name="Percent 2 2 3 3 4 3" xfId="6326" xr:uid="{00000000-0005-0000-0000-0000911F0000}"/>
    <cellStyle name="Percent 2 2 3 3 5" xfId="427" xr:uid="{00000000-0005-0000-0000-0000921F0000}"/>
    <cellStyle name="Percent 2 2 3 3 5 2" xfId="5958" xr:uid="{00000000-0005-0000-0000-0000931F0000}"/>
    <cellStyle name="Percent 2 2 3 3 6" xfId="3775" xr:uid="{00000000-0005-0000-0000-0000941F0000}"/>
    <cellStyle name="Percent 2 2 3 3 6 2" xfId="8241" xr:uid="{00000000-0005-0000-0000-0000951F0000}"/>
    <cellStyle name="Percent 2 2 3 3 7" xfId="4987" xr:uid="{00000000-0005-0000-0000-0000961F0000}"/>
    <cellStyle name="Percent 2 2 3 4" xfId="1725" xr:uid="{00000000-0005-0000-0000-0000971F0000}"/>
    <cellStyle name="Percent 2 2 3 4 2" xfId="1726" xr:uid="{00000000-0005-0000-0000-0000981F0000}"/>
    <cellStyle name="Percent 2 2 3 4 2 2" xfId="3148" xr:uid="{00000000-0005-0000-0000-0000991F0000}"/>
    <cellStyle name="Percent 2 2 3 4 2 2 2" xfId="7619" xr:uid="{00000000-0005-0000-0000-00009A1F0000}"/>
    <cellStyle name="Percent 2 2 3 4 2 3" xfId="4439" xr:uid="{00000000-0005-0000-0000-00009B1F0000}"/>
    <cellStyle name="Percent 2 2 3 4 2 3 2" xfId="8902" xr:uid="{00000000-0005-0000-0000-00009C1F0000}"/>
    <cellStyle name="Percent 2 2 3 4 2 4" xfId="5651" xr:uid="{00000000-0005-0000-0000-00009D1F0000}"/>
    <cellStyle name="Percent 2 2 3 4 3" xfId="3149" xr:uid="{00000000-0005-0000-0000-00009E1F0000}"/>
    <cellStyle name="Percent 2 2 3 4 3 2" xfId="7620" xr:uid="{00000000-0005-0000-0000-00009F1F0000}"/>
    <cellStyle name="Percent 2 2 3 4 4" xfId="3777" xr:uid="{00000000-0005-0000-0000-0000A01F0000}"/>
    <cellStyle name="Percent 2 2 3 4 4 2" xfId="8243" xr:uid="{00000000-0005-0000-0000-0000A11F0000}"/>
    <cellStyle name="Percent 2 2 3 4 5" xfId="4989" xr:uid="{00000000-0005-0000-0000-0000A21F0000}"/>
    <cellStyle name="Percent 2 2 3 5" xfId="1727" xr:uid="{00000000-0005-0000-0000-0000A31F0000}"/>
    <cellStyle name="Percent 2 2 3 5 2" xfId="1728" xr:uid="{00000000-0005-0000-0000-0000A41F0000}"/>
    <cellStyle name="Percent 2 2 3 5 2 2" xfId="3150" xr:uid="{00000000-0005-0000-0000-0000A51F0000}"/>
    <cellStyle name="Percent 2 2 3 5 2 2 2" xfId="7621" xr:uid="{00000000-0005-0000-0000-0000A61F0000}"/>
    <cellStyle name="Percent 2 2 3 5 2 3" xfId="6327" xr:uid="{00000000-0005-0000-0000-0000A71F0000}"/>
    <cellStyle name="Percent 2 2 3 5 3" xfId="3151" xr:uid="{00000000-0005-0000-0000-0000A81F0000}"/>
    <cellStyle name="Percent 2 2 3 5 3 2" xfId="7622" xr:uid="{00000000-0005-0000-0000-0000A91F0000}"/>
    <cellStyle name="Percent 2 2 3 5 4" xfId="4069" xr:uid="{00000000-0005-0000-0000-0000AA1F0000}"/>
    <cellStyle name="Percent 2 2 3 5 4 2" xfId="8535" xr:uid="{00000000-0005-0000-0000-0000AB1F0000}"/>
    <cellStyle name="Percent 2 2 3 5 5" xfId="5281" xr:uid="{00000000-0005-0000-0000-0000AC1F0000}"/>
    <cellStyle name="Percent 2 2 3 6" xfId="1729" xr:uid="{00000000-0005-0000-0000-0000AD1F0000}"/>
    <cellStyle name="Percent 2 2 3 6 2" xfId="3152" xr:uid="{00000000-0005-0000-0000-0000AE1F0000}"/>
    <cellStyle name="Percent 2 2 3 6 2 2" xfId="7623" xr:uid="{00000000-0005-0000-0000-0000AF1F0000}"/>
    <cellStyle name="Percent 2 2 3 6 3" xfId="6328" xr:uid="{00000000-0005-0000-0000-0000B01F0000}"/>
    <cellStyle name="Percent 2 2 3 7" xfId="424" xr:uid="{00000000-0005-0000-0000-0000B11F0000}"/>
    <cellStyle name="Percent 2 2 3 7 2" xfId="6083" xr:uid="{00000000-0005-0000-0000-0000B21F0000}"/>
    <cellStyle name="Percent 2 2 3 8" xfId="3770" xr:uid="{00000000-0005-0000-0000-0000B31F0000}"/>
    <cellStyle name="Percent 2 2 3 8 2" xfId="8236" xr:uid="{00000000-0005-0000-0000-0000B41F0000}"/>
    <cellStyle name="Percent 2 2 3 9" xfId="4982" xr:uid="{00000000-0005-0000-0000-0000B51F0000}"/>
    <cellStyle name="Percent 2 2 4" xfId="212" xr:uid="{00000000-0005-0000-0000-0000B61F0000}"/>
    <cellStyle name="Percent 2 2 4 2" xfId="213" xr:uid="{00000000-0005-0000-0000-0000B71F0000}"/>
    <cellStyle name="Percent 2 2 4 2 2" xfId="1730" xr:uid="{00000000-0005-0000-0000-0000B81F0000}"/>
    <cellStyle name="Percent 2 2 4 2 2 2" xfId="1731" xr:uid="{00000000-0005-0000-0000-0000B91F0000}"/>
    <cellStyle name="Percent 2 2 4 2 2 2 2" xfId="3153" xr:uid="{00000000-0005-0000-0000-0000BA1F0000}"/>
    <cellStyle name="Percent 2 2 4 2 2 2 2 2" xfId="7624" xr:uid="{00000000-0005-0000-0000-0000BB1F0000}"/>
    <cellStyle name="Percent 2 2 4 2 2 2 3" xfId="4440" xr:uid="{00000000-0005-0000-0000-0000BC1F0000}"/>
    <cellStyle name="Percent 2 2 4 2 2 2 3 2" xfId="8903" xr:uid="{00000000-0005-0000-0000-0000BD1F0000}"/>
    <cellStyle name="Percent 2 2 4 2 2 2 4" xfId="5652" xr:uid="{00000000-0005-0000-0000-0000BE1F0000}"/>
    <cellStyle name="Percent 2 2 4 2 2 3" xfId="3154" xr:uid="{00000000-0005-0000-0000-0000BF1F0000}"/>
    <cellStyle name="Percent 2 2 4 2 2 3 2" xfId="7625" xr:uid="{00000000-0005-0000-0000-0000C01F0000}"/>
    <cellStyle name="Percent 2 2 4 2 2 4" xfId="3780" xr:uid="{00000000-0005-0000-0000-0000C11F0000}"/>
    <cellStyle name="Percent 2 2 4 2 2 4 2" xfId="8246" xr:uid="{00000000-0005-0000-0000-0000C21F0000}"/>
    <cellStyle name="Percent 2 2 4 2 2 5" xfId="4992" xr:uid="{00000000-0005-0000-0000-0000C31F0000}"/>
    <cellStyle name="Percent 2 2 4 2 3" xfId="1732" xr:uid="{00000000-0005-0000-0000-0000C41F0000}"/>
    <cellStyle name="Percent 2 2 4 2 3 2" xfId="1733" xr:uid="{00000000-0005-0000-0000-0000C51F0000}"/>
    <cellStyle name="Percent 2 2 4 2 3 2 2" xfId="3155" xr:uid="{00000000-0005-0000-0000-0000C61F0000}"/>
    <cellStyle name="Percent 2 2 4 2 3 2 2 2" xfId="7626" xr:uid="{00000000-0005-0000-0000-0000C71F0000}"/>
    <cellStyle name="Percent 2 2 4 2 3 2 3" xfId="6329" xr:uid="{00000000-0005-0000-0000-0000C81F0000}"/>
    <cellStyle name="Percent 2 2 4 2 3 3" xfId="3156" xr:uid="{00000000-0005-0000-0000-0000C91F0000}"/>
    <cellStyle name="Percent 2 2 4 2 3 3 2" xfId="7627" xr:uid="{00000000-0005-0000-0000-0000CA1F0000}"/>
    <cellStyle name="Percent 2 2 4 2 3 4" xfId="4074" xr:uid="{00000000-0005-0000-0000-0000CB1F0000}"/>
    <cellStyle name="Percent 2 2 4 2 3 4 2" xfId="8540" xr:uid="{00000000-0005-0000-0000-0000CC1F0000}"/>
    <cellStyle name="Percent 2 2 4 2 3 5" xfId="5286" xr:uid="{00000000-0005-0000-0000-0000CD1F0000}"/>
    <cellStyle name="Percent 2 2 4 2 4" xfId="1734" xr:uid="{00000000-0005-0000-0000-0000CE1F0000}"/>
    <cellStyle name="Percent 2 2 4 2 4 2" xfId="3157" xr:uid="{00000000-0005-0000-0000-0000CF1F0000}"/>
    <cellStyle name="Percent 2 2 4 2 4 2 2" xfId="7628" xr:uid="{00000000-0005-0000-0000-0000D01F0000}"/>
    <cellStyle name="Percent 2 2 4 2 4 3" xfId="6330" xr:uid="{00000000-0005-0000-0000-0000D11F0000}"/>
    <cellStyle name="Percent 2 2 4 2 5" xfId="429" xr:uid="{00000000-0005-0000-0000-0000D21F0000}"/>
    <cellStyle name="Percent 2 2 4 2 5 2" xfId="5828" xr:uid="{00000000-0005-0000-0000-0000D31F0000}"/>
    <cellStyle name="Percent 2 2 4 2 6" xfId="3779" xr:uid="{00000000-0005-0000-0000-0000D41F0000}"/>
    <cellStyle name="Percent 2 2 4 2 6 2" xfId="8245" xr:uid="{00000000-0005-0000-0000-0000D51F0000}"/>
    <cellStyle name="Percent 2 2 4 2 7" xfId="4991" xr:uid="{00000000-0005-0000-0000-0000D61F0000}"/>
    <cellStyle name="Percent 2 2 4 3" xfId="1735" xr:uid="{00000000-0005-0000-0000-0000D71F0000}"/>
    <cellStyle name="Percent 2 2 4 3 2" xfId="1736" xr:uid="{00000000-0005-0000-0000-0000D81F0000}"/>
    <cellStyle name="Percent 2 2 4 3 2 2" xfId="3158" xr:uid="{00000000-0005-0000-0000-0000D91F0000}"/>
    <cellStyle name="Percent 2 2 4 3 2 2 2" xfId="7629" xr:uid="{00000000-0005-0000-0000-0000DA1F0000}"/>
    <cellStyle name="Percent 2 2 4 3 2 3" xfId="4441" xr:uid="{00000000-0005-0000-0000-0000DB1F0000}"/>
    <cellStyle name="Percent 2 2 4 3 2 3 2" xfId="8904" xr:uid="{00000000-0005-0000-0000-0000DC1F0000}"/>
    <cellStyle name="Percent 2 2 4 3 2 4" xfId="5653" xr:uid="{00000000-0005-0000-0000-0000DD1F0000}"/>
    <cellStyle name="Percent 2 2 4 3 3" xfId="3159" xr:uid="{00000000-0005-0000-0000-0000DE1F0000}"/>
    <cellStyle name="Percent 2 2 4 3 3 2" xfId="7630" xr:uid="{00000000-0005-0000-0000-0000DF1F0000}"/>
    <cellStyle name="Percent 2 2 4 3 4" xfId="3781" xr:uid="{00000000-0005-0000-0000-0000E01F0000}"/>
    <cellStyle name="Percent 2 2 4 3 4 2" xfId="8247" xr:uid="{00000000-0005-0000-0000-0000E11F0000}"/>
    <cellStyle name="Percent 2 2 4 3 5" xfId="4993" xr:uid="{00000000-0005-0000-0000-0000E21F0000}"/>
    <cellStyle name="Percent 2 2 4 4" xfId="1737" xr:uid="{00000000-0005-0000-0000-0000E31F0000}"/>
    <cellStyle name="Percent 2 2 4 4 2" xfId="1738" xr:uid="{00000000-0005-0000-0000-0000E41F0000}"/>
    <cellStyle name="Percent 2 2 4 4 2 2" xfId="3160" xr:uid="{00000000-0005-0000-0000-0000E51F0000}"/>
    <cellStyle name="Percent 2 2 4 4 2 2 2" xfId="7631" xr:uid="{00000000-0005-0000-0000-0000E61F0000}"/>
    <cellStyle name="Percent 2 2 4 4 2 3" xfId="6331" xr:uid="{00000000-0005-0000-0000-0000E71F0000}"/>
    <cellStyle name="Percent 2 2 4 4 3" xfId="3161" xr:uid="{00000000-0005-0000-0000-0000E81F0000}"/>
    <cellStyle name="Percent 2 2 4 4 3 2" xfId="7632" xr:uid="{00000000-0005-0000-0000-0000E91F0000}"/>
    <cellStyle name="Percent 2 2 4 4 4" xfId="4073" xr:uid="{00000000-0005-0000-0000-0000EA1F0000}"/>
    <cellStyle name="Percent 2 2 4 4 4 2" xfId="8539" xr:uid="{00000000-0005-0000-0000-0000EB1F0000}"/>
    <cellStyle name="Percent 2 2 4 4 5" xfId="5285" xr:uid="{00000000-0005-0000-0000-0000EC1F0000}"/>
    <cellStyle name="Percent 2 2 4 5" xfId="1739" xr:uid="{00000000-0005-0000-0000-0000ED1F0000}"/>
    <cellStyle name="Percent 2 2 4 5 2" xfId="3162" xr:uid="{00000000-0005-0000-0000-0000EE1F0000}"/>
    <cellStyle name="Percent 2 2 4 5 2 2" xfId="7633" xr:uid="{00000000-0005-0000-0000-0000EF1F0000}"/>
    <cellStyle name="Percent 2 2 4 5 3" xfId="6332" xr:uid="{00000000-0005-0000-0000-0000F01F0000}"/>
    <cellStyle name="Percent 2 2 4 6" xfId="428" xr:uid="{00000000-0005-0000-0000-0000F11F0000}"/>
    <cellStyle name="Percent 2 2 4 6 2" xfId="6082" xr:uid="{00000000-0005-0000-0000-0000F21F0000}"/>
    <cellStyle name="Percent 2 2 4 7" xfId="3778" xr:uid="{00000000-0005-0000-0000-0000F31F0000}"/>
    <cellStyle name="Percent 2 2 4 7 2" xfId="8244" xr:uid="{00000000-0005-0000-0000-0000F41F0000}"/>
    <cellStyle name="Percent 2 2 4 8" xfId="4990" xr:uid="{00000000-0005-0000-0000-0000F51F0000}"/>
    <cellStyle name="Percent 2 2 5" xfId="214" xr:uid="{00000000-0005-0000-0000-0000F61F0000}"/>
    <cellStyle name="Percent 2 2 5 2" xfId="1740" xr:uid="{00000000-0005-0000-0000-0000F71F0000}"/>
    <cellStyle name="Percent 2 2 5 2 2" xfId="1741" xr:uid="{00000000-0005-0000-0000-0000F81F0000}"/>
    <cellStyle name="Percent 2 2 5 2 2 2" xfId="1742" xr:uid="{00000000-0005-0000-0000-0000F91F0000}"/>
    <cellStyle name="Percent 2 2 5 2 2 2 2" xfId="3163" xr:uid="{00000000-0005-0000-0000-0000FA1F0000}"/>
    <cellStyle name="Percent 2 2 5 2 2 2 2 2" xfId="7634" xr:uid="{00000000-0005-0000-0000-0000FB1F0000}"/>
    <cellStyle name="Percent 2 2 5 2 2 2 3" xfId="4442" xr:uid="{00000000-0005-0000-0000-0000FC1F0000}"/>
    <cellStyle name="Percent 2 2 5 2 2 2 3 2" xfId="8905" xr:uid="{00000000-0005-0000-0000-0000FD1F0000}"/>
    <cellStyle name="Percent 2 2 5 2 2 2 4" xfId="5654" xr:uid="{00000000-0005-0000-0000-0000FE1F0000}"/>
    <cellStyle name="Percent 2 2 5 2 2 3" xfId="3164" xr:uid="{00000000-0005-0000-0000-0000FF1F0000}"/>
    <cellStyle name="Percent 2 2 5 2 2 3 2" xfId="7635" xr:uid="{00000000-0005-0000-0000-000000200000}"/>
    <cellStyle name="Percent 2 2 5 2 2 4" xfId="3784" xr:uid="{00000000-0005-0000-0000-000001200000}"/>
    <cellStyle name="Percent 2 2 5 2 2 4 2" xfId="8250" xr:uid="{00000000-0005-0000-0000-000002200000}"/>
    <cellStyle name="Percent 2 2 5 2 2 5" xfId="4996" xr:uid="{00000000-0005-0000-0000-000003200000}"/>
    <cellStyle name="Percent 2 2 5 2 3" xfId="1743" xr:uid="{00000000-0005-0000-0000-000004200000}"/>
    <cellStyle name="Percent 2 2 5 2 3 2" xfId="1744" xr:uid="{00000000-0005-0000-0000-000005200000}"/>
    <cellStyle name="Percent 2 2 5 2 3 2 2" xfId="3165" xr:uid="{00000000-0005-0000-0000-000006200000}"/>
    <cellStyle name="Percent 2 2 5 2 3 2 2 2" xfId="7636" xr:uid="{00000000-0005-0000-0000-000007200000}"/>
    <cellStyle name="Percent 2 2 5 2 3 2 3" xfId="6333" xr:uid="{00000000-0005-0000-0000-000008200000}"/>
    <cellStyle name="Percent 2 2 5 2 3 3" xfId="3166" xr:uid="{00000000-0005-0000-0000-000009200000}"/>
    <cellStyle name="Percent 2 2 5 2 3 3 2" xfId="7637" xr:uid="{00000000-0005-0000-0000-00000A200000}"/>
    <cellStyle name="Percent 2 2 5 2 3 4" xfId="4076" xr:uid="{00000000-0005-0000-0000-00000B200000}"/>
    <cellStyle name="Percent 2 2 5 2 3 4 2" xfId="8542" xr:uid="{00000000-0005-0000-0000-00000C200000}"/>
    <cellStyle name="Percent 2 2 5 2 3 5" xfId="5288" xr:uid="{00000000-0005-0000-0000-00000D200000}"/>
    <cellStyle name="Percent 2 2 5 2 4" xfId="1745" xr:uid="{00000000-0005-0000-0000-00000E200000}"/>
    <cellStyle name="Percent 2 2 5 2 4 2" xfId="3167" xr:uid="{00000000-0005-0000-0000-00000F200000}"/>
    <cellStyle name="Percent 2 2 5 2 4 2 2" xfId="7638" xr:uid="{00000000-0005-0000-0000-000010200000}"/>
    <cellStyle name="Percent 2 2 5 2 4 3" xfId="6334" xr:uid="{00000000-0005-0000-0000-000011200000}"/>
    <cellStyle name="Percent 2 2 5 2 5" xfId="3168" xr:uid="{00000000-0005-0000-0000-000012200000}"/>
    <cellStyle name="Percent 2 2 5 2 5 2" xfId="7639" xr:uid="{00000000-0005-0000-0000-000013200000}"/>
    <cellStyle name="Percent 2 2 5 2 6" xfId="3783" xr:uid="{00000000-0005-0000-0000-000014200000}"/>
    <cellStyle name="Percent 2 2 5 2 6 2" xfId="8249" xr:uid="{00000000-0005-0000-0000-000015200000}"/>
    <cellStyle name="Percent 2 2 5 2 7" xfId="4995" xr:uid="{00000000-0005-0000-0000-000016200000}"/>
    <cellStyle name="Percent 2 2 5 3" xfId="1746" xr:uid="{00000000-0005-0000-0000-000017200000}"/>
    <cellStyle name="Percent 2 2 5 3 2" xfId="1747" xr:uid="{00000000-0005-0000-0000-000018200000}"/>
    <cellStyle name="Percent 2 2 5 3 2 2" xfId="3169" xr:uid="{00000000-0005-0000-0000-000019200000}"/>
    <cellStyle name="Percent 2 2 5 3 2 2 2" xfId="7640" xr:uid="{00000000-0005-0000-0000-00001A200000}"/>
    <cellStyle name="Percent 2 2 5 3 2 3" xfId="4443" xr:uid="{00000000-0005-0000-0000-00001B200000}"/>
    <cellStyle name="Percent 2 2 5 3 2 3 2" xfId="8906" xr:uid="{00000000-0005-0000-0000-00001C200000}"/>
    <cellStyle name="Percent 2 2 5 3 2 4" xfId="5655" xr:uid="{00000000-0005-0000-0000-00001D200000}"/>
    <cellStyle name="Percent 2 2 5 3 3" xfId="3170" xr:uid="{00000000-0005-0000-0000-00001E200000}"/>
    <cellStyle name="Percent 2 2 5 3 3 2" xfId="7641" xr:uid="{00000000-0005-0000-0000-00001F200000}"/>
    <cellStyle name="Percent 2 2 5 3 4" xfId="3785" xr:uid="{00000000-0005-0000-0000-000020200000}"/>
    <cellStyle name="Percent 2 2 5 3 4 2" xfId="8251" xr:uid="{00000000-0005-0000-0000-000021200000}"/>
    <cellStyle name="Percent 2 2 5 3 5" xfId="4997" xr:uid="{00000000-0005-0000-0000-000022200000}"/>
    <cellStyle name="Percent 2 2 5 4" xfId="1748" xr:uid="{00000000-0005-0000-0000-000023200000}"/>
    <cellStyle name="Percent 2 2 5 4 2" xfId="1749" xr:uid="{00000000-0005-0000-0000-000024200000}"/>
    <cellStyle name="Percent 2 2 5 4 2 2" xfId="3171" xr:uid="{00000000-0005-0000-0000-000025200000}"/>
    <cellStyle name="Percent 2 2 5 4 2 2 2" xfId="7642" xr:uid="{00000000-0005-0000-0000-000026200000}"/>
    <cellStyle name="Percent 2 2 5 4 2 3" xfId="6335" xr:uid="{00000000-0005-0000-0000-000027200000}"/>
    <cellStyle name="Percent 2 2 5 4 3" xfId="3172" xr:uid="{00000000-0005-0000-0000-000028200000}"/>
    <cellStyle name="Percent 2 2 5 4 3 2" xfId="7643" xr:uid="{00000000-0005-0000-0000-000029200000}"/>
    <cellStyle name="Percent 2 2 5 4 4" xfId="4075" xr:uid="{00000000-0005-0000-0000-00002A200000}"/>
    <cellStyle name="Percent 2 2 5 4 4 2" xfId="8541" xr:uid="{00000000-0005-0000-0000-00002B200000}"/>
    <cellStyle name="Percent 2 2 5 4 5" xfId="5287" xr:uid="{00000000-0005-0000-0000-00002C200000}"/>
    <cellStyle name="Percent 2 2 5 5" xfId="1750" xr:uid="{00000000-0005-0000-0000-00002D200000}"/>
    <cellStyle name="Percent 2 2 5 5 2" xfId="3173" xr:uid="{00000000-0005-0000-0000-00002E200000}"/>
    <cellStyle name="Percent 2 2 5 5 2 2" xfId="7644" xr:uid="{00000000-0005-0000-0000-00002F200000}"/>
    <cellStyle name="Percent 2 2 5 5 3" xfId="6336" xr:uid="{00000000-0005-0000-0000-000030200000}"/>
    <cellStyle name="Percent 2 2 5 6" xfId="430" xr:uid="{00000000-0005-0000-0000-000031200000}"/>
    <cellStyle name="Percent 2 2 5 6 2" xfId="5959" xr:uid="{00000000-0005-0000-0000-000032200000}"/>
    <cellStyle name="Percent 2 2 5 7" xfId="3782" xr:uid="{00000000-0005-0000-0000-000033200000}"/>
    <cellStyle name="Percent 2 2 5 7 2" xfId="8248" xr:uid="{00000000-0005-0000-0000-000034200000}"/>
    <cellStyle name="Percent 2 2 5 8" xfId="4994" xr:uid="{00000000-0005-0000-0000-000035200000}"/>
    <cellStyle name="Percent 2 2 6" xfId="1751" xr:uid="{00000000-0005-0000-0000-000036200000}"/>
    <cellStyle name="Percent 2 2 6 2" xfId="1752" xr:uid="{00000000-0005-0000-0000-000037200000}"/>
    <cellStyle name="Percent 2 2 6 2 2" xfId="1753" xr:uid="{00000000-0005-0000-0000-000038200000}"/>
    <cellStyle name="Percent 2 2 6 2 2 2" xfId="3174" xr:uid="{00000000-0005-0000-0000-000039200000}"/>
    <cellStyle name="Percent 2 2 6 2 2 2 2" xfId="7645" xr:uid="{00000000-0005-0000-0000-00003A200000}"/>
    <cellStyle name="Percent 2 2 6 2 2 3" xfId="4444" xr:uid="{00000000-0005-0000-0000-00003B200000}"/>
    <cellStyle name="Percent 2 2 6 2 2 3 2" xfId="8907" xr:uid="{00000000-0005-0000-0000-00003C200000}"/>
    <cellStyle name="Percent 2 2 6 2 2 4" xfId="5656" xr:uid="{00000000-0005-0000-0000-00003D200000}"/>
    <cellStyle name="Percent 2 2 6 2 3" xfId="3175" xr:uid="{00000000-0005-0000-0000-00003E200000}"/>
    <cellStyle name="Percent 2 2 6 2 3 2" xfId="7646" xr:uid="{00000000-0005-0000-0000-00003F200000}"/>
    <cellStyle name="Percent 2 2 6 2 4" xfId="3787" xr:uid="{00000000-0005-0000-0000-000040200000}"/>
    <cellStyle name="Percent 2 2 6 2 4 2" xfId="8253" xr:uid="{00000000-0005-0000-0000-000041200000}"/>
    <cellStyle name="Percent 2 2 6 2 5" xfId="4999" xr:uid="{00000000-0005-0000-0000-000042200000}"/>
    <cellStyle name="Percent 2 2 6 3" xfId="1754" xr:uid="{00000000-0005-0000-0000-000043200000}"/>
    <cellStyle name="Percent 2 2 6 3 2" xfId="1755" xr:uid="{00000000-0005-0000-0000-000044200000}"/>
    <cellStyle name="Percent 2 2 6 3 2 2" xfId="3176" xr:uid="{00000000-0005-0000-0000-000045200000}"/>
    <cellStyle name="Percent 2 2 6 3 2 2 2" xfId="7647" xr:uid="{00000000-0005-0000-0000-000046200000}"/>
    <cellStyle name="Percent 2 2 6 3 2 3" xfId="6337" xr:uid="{00000000-0005-0000-0000-000047200000}"/>
    <cellStyle name="Percent 2 2 6 3 3" xfId="3177" xr:uid="{00000000-0005-0000-0000-000048200000}"/>
    <cellStyle name="Percent 2 2 6 3 3 2" xfId="7648" xr:uid="{00000000-0005-0000-0000-000049200000}"/>
    <cellStyle name="Percent 2 2 6 3 4" xfId="4077" xr:uid="{00000000-0005-0000-0000-00004A200000}"/>
    <cellStyle name="Percent 2 2 6 3 4 2" xfId="8543" xr:uid="{00000000-0005-0000-0000-00004B200000}"/>
    <cellStyle name="Percent 2 2 6 3 5" xfId="5289" xr:uid="{00000000-0005-0000-0000-00004C200000}"/>
    <cellStyle name="Percent 2 2 6 4" xfId="1756" xr:uid="{00000000-0005-0000-0000-00004D200000}"/>
    <cellStyle name="Percent 2 2 6 4 2" xfId="3178" xr:uid="{00000000-0005-0000-0000-00004E200000}"/>
    <cellStyle name="Percent 2 2 6 4 2 2" xfId="7649" xr:uid="{00000000-0005-0000-0000-00004F200000}"/>
    <cellStyle name="Percent 2 2 6 4 3" xfId="6338" xr:uid="{00000000-0005-0000-0000-000050200000}"/>
    <cellStyle name="Percent 2 2 6 5" xfId="3179" xr:uid="{00000000-0005-0000-0000-000051200000}"/>
    <cellStyle name="Percent 2 2 6 5 2" xfId="7650" xr:uid="{00000000-0005-0000-0000-000052200000}"/>
    <cellStyle name="Percent 2 2 6 6" xfId="3786" xr:uid="{00000000-0005-0000-0000-000053200000}"/>
    <cellStyle name="Percent 2 2 6 6 2" xfId="8252" xr:uid="{00000000-0005-0000-0000-000054200000}"/>
    <cellStyle name="Percent 2 2 6 7" xfId="4998" xr:uid="{00000000-0005-0000-0000-000055200000}"/>
    <cellStyle name="Percent 2 2 7" xfId="1757" xr:uid="{00000000-0005-0000-0000-000056200000}"/>
    <cellStyle name="Percent 2 2 7 2" xfId="1758" xr:uid="{00000000-0005-0000-0000-000057200000}"/>
    <cellStyle name="Percent 2 2 7 2 2" xfId="3180" xr:uid="{00000000-0005-0000-0000-000058200000}"/>
    <cellStyle name="Percent 2 2 7 2 2 2" xfId="7651" xr:uid="{00000000-0005-0000-0000-000059200000}"/>
    <cellStyle name="Percent 2 2 7 2 3" xfId="4446" xr:uid="{00000000-0005-0000-0000-00005A200000}"/>
    <cellStyle name="Percent 2 2 7 2 3 2" xfId="8909" xr:uid="{00000000-0005-0000-0000-00005B200000}"/>
    <cellStyle name="Percent 2 2 7 2 4" xfId="5658" xr:uid="{00000000-0005-0000-0000-00005C200000}"/>
    <cellStyle name="Percent 2 2 7 3" xfId="3181" xr:uid="{00000000-0005-0000-0000-00005D200000}"/>
    <cellStyle name="Percent 2 2 7 3 2" xfId="4445" xr:uid="{00000000-0005-0000-0000-00005E200000}"/>
    <cellStyle name="Percent 2 2 7 3 2 2" xfId="8908" xr:uid="{00000000-0005-0000-0000-00005F200000}"/>
    <cellStyle name="Percent 2 2 7 3 3" xfId="5657" xr:uid="{00000000-0005-0000-0000-000060200000}"/>
    <cellStyle name="Percent 2 2 7 4" xfId="3788" xr:uid="{00000000-0005-0000-0000-000061200000}"/>
    <cellStyle name="Percent 2 2 7 4 2" xfId="8254" xr:uid="{00000000-0005-0000-0000-000062200000}"/>
    <cellStyle name="Percent 2 2 7 5" xfId="5000" xr:uid="{00000000-0005-0000-0000-000063200000}"/>
    <cellStyle name="Percent 2 2 8" xfId="1759" xr:uid="{00000000-0005-0000-0000-000064200000}"/>
    <cellStyle name="Percent 2 2 8 2" xfId="1760" xr:uid="{00000000-0005-0000-0000-000065200000}"/>
    <cellStyle name="Percent 2 2 8 2 2" xfId="3182" xr:uid="{00000000-0005-0000-0000-000066200000}"/>
    <cellStyle name="Percent 2 2 8 2 2 2" xfId="7652" xr:uid="{00000000-0005-0000-0000-000067200000}"/>
    <cellStyle name="Percent 2 2 8 2 3" xfId="6339" xr:uid="{00000000-0005-0000-0000-000068200000}"/>
    <cellStyle name="Percent 2 2 8 3" xfId="3183" xr:uid="{00000000-0005-0000-0000-000069200000}"/>
    <cellStyle name="Percent 2 2 8 3 2" xfId="7653" xr:uid="{00000000-0005-0000-0000-00006A200000}"/>
    <cellStyle name="Percent 2 2 8 4" xfId="4447" xr:uid="{00000000-0005-0000-0000-00006B200000}"/>
    <cellStyle name="Percent 2 2 8 4 2" xfId="8910" xr:uid="{00000000-0005-0000-0000-00006C200000}"/>
    <cellStyle name="Percent 2 2 8 5" xfId="5659" xr:uid="{00000000-0005-0000-0000-00006D200000}"/>
    <cellStyle name="Percent 2 2 9" xfId="1761" xr:uid="{00000000-0005-0000-0000-00006E200000}"/>
    <cellStyle name="Percent 2 2 9 2" xfId="3184" xr:uid="{00000000-0005-0000-0000-00006F200000}"/>
    <cellStyle name="Percent 2 2 9 2 2" xfId="7654" xr:uid="{00000000-0005-0000-0000-000070200000}"/>
    <cellStyle name="Percent 2 2 9 3" xfId="4448" xr:uid="{00000000-0005-0000-0000-000071200000}"/>
    <cellStyle name="Percent 2 2 9 3 2" xfId="8911" xr:uid="{00000000-0005-0000-0000-000072200000}"/>
    <cellStyle name="Percent 2 2 9 4" xfId="5660" xr:uid="{00000000-0005-0000-0000-000073200000}"/>
    <cellStyle name="Percent 2 3" xfId="215" xr:uid="{00000000-0005-0000-0000-000074200000}"/>
    <cellStyle name="Percent 2 3 10" xfId="3789" xr:uid="{00000000-0005-0000-0000-000075200000}"/>
    <cellStyle name="Percent 2 3 10 2" xfId="8255" xr:uid="{00000000-0005-0000-0000-000076200000}"/>
    <cellStyle name="Percent 2 3 11" xfId="5001" xr:uid="{00000000-0005-0000-0000-000077200000}"/>
    <cellStyle name="Percent 2 3 2" xfId="216" xr:uid="{00000000-0005-0000-0000-000078200000}"/>
    <cellStyle name="Percent 2 3 2 2" xfId="217" xr:uid="{00000000-0005-0000-0000-000079200000}"/>
    <cellStyle name="Percent 2 3 2 2 2" xfId="218" xr:uid="{00000000-0005-0000-0000-00007A200000}"/>
    <cellStyle name="Percent 2 3 2 2 2 2" xfId="1762" xr:uid="{00000000-0005-0000-0000-00007B200000}"/>
    <cellStyle name="Percent 2 3 2 2 2 2 2" xfId="1763" xr:uid="{00000000-0005-0000-0000-00007C200000}"/>
    <cellStyle name="Percent 2 3 2 2 2 2 2 2" xfId="3185" xr:uid="{00000000-0005-0000-0000-00007D200000}"/>
    <cellStyle name="Percent 2 3 2 2 2 2 2 2 2" xfId="7655" xr:uid="{00000000-0005-0000-0000-00007E200000}"/>
    <cellStyle name="Percent 2 3 2 2 2 2 2 3" xfId="4449" xr:uid="{00000000-0005-0000-0000-00007F200000}"/>
    <cellStyle name="Percent 2 3 2 2 2 2 2 3 2" xfId="8912" xr:uid="{00000000-0005-0000-0000-000080200000}"/>
    <cellStyle name="Percent 2 3 2 2 2 2 2 4" xfId="5661" xr:uid="{00000000-0005-0000-0000-000081200000}"/>
    <cellStyle name="Percent 2 3 2 2 2 2 3" xfId="3186" xr:uid="{00000000-0005-0000-0000-000082200000}"/>
    <cellStyle name="Percent 2 3 2 2 2 2 3 2" xfId="7656" xr:uid="{00000000-0005-0000-0000-000083200000}"/>
    <cellStyle name="Percent 2 3 2 2 2 2 4" xfId="3793" xr:uid="{00000000-0005-0000-0000-000084200000}"/>
    <cellStyle name="Percent 2 3 2 2 2 2 4 2" xfId="8259" xr:uid="{00000000-0005-0000-0000-000085200000}"/>
    <cellStyle name="Percent 2 3 2 2 2 2 5" xfId="5005" xr:uid="{00000000-0005-0000-0000-000086200000}"/>
    <cellStyle name="Percent 2 3 2 2 2 3" xfId="1764" xr:uid="{00000000-0005-0000-0000-000087200000}"/>
    <cellStyle name="Percent 2 3 2 2 2 3 2" xfId="1765" xr:uid="{00000000-0005-0000-0000-000088200000}"/>
    <cellStyle name="Percent 2 3 2 2 2 3 2 2" xfId="3187" xr:uid="{00000000-0005-0000-0000-000089200000}"/>
    <cellStyle name="Percent 2 3 2 2 2 3 2 2 2" xfId="7657" xr:uid="{00000000-0005-0000-0000-00008A200000}"/>
    <cellStyle name="Percent 2 3 2 2 2 3 2 3" xfId="6340" xr:uid="{00000000-0005-0000-0000-00008B200000}"/>
    <cellStyle name="Percent 2 3 2 2 2 3 3" xfId="3188" xr:uid="{00000000-0005-0000-0000-00008C200000}"/>
    <cellStyle name="Percent 2 3 2 2 2 3 3 2" xfId="7658" xr:uid="{00000000-0005-0000-0000-00008D200000}"/>
    <cellStyle name="Percent 2 3 2 2 2 3 4" xfId="4081" xr:uid="{00000000-0005-0000-0000-00008E200000}"/>
    <cellStyle name="Percent 2 3 2 2 2 3 4 2" xfId="8547" xr:uid="{00000000-0005-0000-0000-00008F200000}"/>
    <cellStyle name="Percent 2 3 2 2 2 3 5" xfId="5293" xr:uid="{00000000-0005-0000-0000-000090200000}"/>
    <cellStyle name="Percent 2 3 2 2 2 4" xfId="1766" xr:uid="{00000000-0005-0000-0000-000091200000}"/>
    <cellStyle name="Percent 2 3 2 2 2 4 2" xfId="3189" xr:uid="{00000000-0005-0000-0000-000092200000}"/>
    <cellStyle name="Percent 2 3 2 2 2 4 2 2" xfId="7659" xr:uid="{00000000-0005-0000-0000-000093200000}"/>
    <cellStyle name="Percent 2 3 2 2 2 4 3" xfId="6341" xr:uid="{00000000-0005-0000-0000-000094200000}"/>
    <cellStyle name="Percent 2 3 2 2 2 5" xfId="434" xr:uid="{00000000-0005-0000-0000-000095200000}"/>
    <cellStyle name="Percent 2 3 2 2 2 5 2" xfId="5825" xr:uid="{00000000-0005-0000-0000-000096200000}"/>
    <cellStyle name="Percent 2 3 2 2 2 6" xfId="3792" xr:uid="{00000000-0005-0000-0000-000097200000}"/>
    <cellStyle name="Percent 2 3 2 2 2 6 2" xfId="8258" xr:uid="{00000000-0005-0000-0000-000098200000}"/>
    <cellStyle name="Percent 2 3 2 2 2 7" xfId="5004" xr:uid="{00000000-0005-0000-0000-000099200000}"/>
    <cellStyle name="Percent 2 3 2 2 3" xfId="1767" xr:uid="{00000000-0005-0000-0000-00009A200000}"/>
    <cellStyle name="Percent 2 3 2 2 3 2" xfId="1768" xr:uid="{00000000-0005-0000-0000-00009B200000}"/>
    <cellStyle name="Percent 2 3 2 2 3 2 2" xfId="3190" xr:uid="{00000000-0005-0000-0000-00009C200000}"/>
    <cellStyle name="Percent 2 3 2 2 3 2 2 2" xfId="7660" xr:uid="{00000000-0005-0000-0000-00009D200000}"/>
    <cellStyle name="Percent 2 3 2 2 3 2 3" xfId="4450" xr:uid="{00000000-0005-0000-0000-00009E200000}"/>
    <cellStyle name="Percent 2 3 2 2 3 2 3 2" xfId="8913" xr:uid="{00000000-0005-0000-0000-00009F200000}"/>
    <cellStyle name="Percent 2 3 2 2 3 2 4" xfId="5662" xr:uid="{00000000-0005-0000-0000-0000A0200000}"/>
    <cellStyle name="Percent 2 3 2 2 3 3" xfId="3191" xr:uid="{00000000-0005-0000-0000-0000A1200000}"/>
    <cellStyle name="Percent 2 3 2 2 3 3 2" xfId="7661" xr:uid="{00000000-0005-0000-0000-0000A2200000}"/>
    <cellStyle name="Percent 2 3 2 2 3 4" xfId="3794" xr:uid="{00000000-0005-0000-0000-0000A3200000}"/>
    <cellStyle name="Percent 2 3 2 2 3 4 2" xfId="8260" xr:uid="{00000000-0005-0000-0000-0000A4200000}"/>
    <cellStyle name="Percent 2 3 2 2 3 5" xfId="5006" xr:uid="{00000000-0005-0000-0000-0000A5200000}"/>
    <cellStyle name="Percent 2 3 2 2 4" xfId="1769" xr:uid="{00000000-0005-0000-0000-0000A6200000}"/>
    <cellStyle name="Percent 2 3 2 2 4 2" xfId="1770" xr:uid="{00000000-0005-0000-0000-0000A7200000}"/>
    <cellStyle name="Percent 2 3 2 2 4 2 2" xfId="3192" xr:uid="{00000000-0005-0000-0000-0000A8200000}"/>
    <cellStyle name="Percent 2 3 2 2 4 2 2 2" xfId="7662" xr:uid="{00000000-0005-0000-0000-0000A9200000}"/>
    <cellStyle name="Percent 2 3 2 2 4 2 3" xfId="6342" xr:uid="{00000000-0005-0000-0000-0000AA200000}"/>
    <cellStyle name="Percent 2 3 2 2 4 3" xfId="3193" xr:uid="{00000000-0005-0000-0000-0000AB200000}"/>
    <cellStyle name="Percent 2 3 2 2 4 3 2" xfId="7663" xr:uid="{00000000-0005-0000-0000-0000AC200000}"/>
    <cellStyle name="Percent 2 3 2 2 4 4" xfId="4080" xr:uid="{00000000-0005-0000-0000-0000AD200000}"/>
    <cellStyle name="Percent 2 3 2 2 4 4 2" xfId="8546" xr:uid="{00000000-0005-0000-0000-0000AE200000}"/>
    <cellStyle name="Percent 2 3 2 2 4 5" xfId="5292" xr:uid="{00000000-0005-0000-0000-0000AF200000}"/>
    <cellStyle name="Percent 2 3 2 2 5" xfId="1771" xr:uid="{00000000-0005-0000-0000-0000B0200000}"/>
    <cellStyle name="Percent 2 3 2 2 5 2" xfId="3194" xr:uid="{00000000-0005-0000-0000-0000B1200000}"/>
    <cellStyle name="Percent 2 3 2 2 5 2 2" xfId="7664" xr:uid="{00000000-0005-0000-0000-0000B2200000}"/>
    <cellStyle name="Percent 2 3 2 2 5 3" xfId="6343" xr:uid="{00000000-0005-0000-0000-0000B3200000}"/>
    <cellStyle name="Percent 2 3 2 2 6" xfId="433" xr:uid="{00000000-0005-0000-0000-0000B4200000}"/>
    <cellStyle name="Percent 2 3 2 2 6 2" xfId="5826" xr:uid="{00000000-0005-0000-0000-0000B5200000}"/>
    <cellStyle name="Percent 2 3 2 2 7" xfId="3791" xr:uid="{00000000-0005-0000-0000-0000B6200000}"/>
    <cellStyle name="Percent 2 3 2 2 7 2" xfId="8257" xr:uid="{00000000-0005-0000-0000-0000B7200000}"/>
    <cellStyle name="Percent 2 3 2 2 8" xfId="5003" xr:uid="{00000000-0005-0000-0000-0000B8200000}"/>
    <cellStyle name="Percent 2 3 2 3" xfId="219" xr:uid="{00000000-0005-0000-0000-0000B9200000}"/>
    <cellStyle name="Percent 2 3 2 3 2" xfId="1772" xr:uid="{00000000-0005-0000-0000-0000BA200000}"/>
    <cellStyle name="Percent 2 3 2 3 2 2" xfId="1773" xr:uid="{00000000-0005-0000-0000-0000BB200000}"/>
    <cellStyle name="Percent 2 3 2 3 2 2 2" xfId="3195" xr:uid="{00000000-0005-0000-0000-0000BC200000}"/>
    <cellStyle name="Percent 2 3 2 3 2 2 2 2" xfId="7665" xr:uid="{00000000-0005-0000-0000-0000BD200000}"/>
    <cellStyle name="Percent 2 3 2 3 2 2 3" xfId="4451" xr:uid="{00000000-0005-0000-0000-0000BE200000}"/>
    <cellStyle name="Percent 2 3 2 3 2 2 3 2" xfId="8914" xr:uid="{00000000-0005-0000-0000-0000BF200000}"/>
    <cellStyle name="Percent 2 3 2 3 2 2 4" xfId="5663" xr:uid="{00000000-0005-0000-0000-0000C0200000}"/>
    <cellStyle name="Percent 2 3 2 3 2 3" xfId="3196" xr:uid="{00000000-0005-0000-0000-0000C1200000}"/>
    <cellStyle name="Percent 2 3 2 3 2 3 2" xfId="7666" xr:uid="{00000000-0005-0000-0000-0000C2200000}"/>
    <cellStyle name="Percent 2 3 2 3 2 4" xfId="3796" xr:uid="{00000000-0005-0000-0000-0000C3200000}"/>
    <cellStyle name="Percent 2 3 2 3 2 4 2" xfId="8262" xr:uid="{00000000-0005-0000-0000-0000C4200000}"/>
    <cellStyle name="Percent 2 3 2 3 2 5" xfId="5008" xr:uid="{00000000-0005-0000-0000-0000C5200000}"/>
    <cellStyle name="Percent 2 3 2 3 3" xfId="1774" xr:uid="{00000000-0005-0000-0000-0000C6200000}"/>
    <cellStyle name="Percent 2 3 2 3 3 2" xfId="1775" xr:uid="{00000000-0005-0000-0000-0000C7200000}"/>
    <cellStyle name="Percent 2 3 2 3 3 2 2" xfId="3197" xr:uid="{00000000-0005-0000-0000-0000C8200000}"/>
    <cellStyle name="Percent 2 3 2 3 3 2 2 2" xfId="7667" xr:uid="{00000000-0005-0000-0000-0000C9200000}"/>
    <cellStyle name="Percent 2 3 2 3 3 2 3" xfId="6344" xr:uid="{00000000-0005-0000-0000-0000CA200000}"/>
    <cellStyle name="Percent 2 3 2 3 3 3" xfId="3198" xr:uid="{00000000-0005-0000-0000-0000CB200000}"/>
    <cellStyle name="Percent 2 3 2 3 3 3 2" xfId="7668" xr:uid="{00000000-0005-0000-0000-0000CC200000}"/>
    <cellStyle name="Percent 2 3 2 3 3 4" xfId="4082" xr:uid="{00000000-0005-0000-0000-0000CD200000}"/>
    <cellStyle name="Percent 2 3 2 3 3 4 2" xfId="8548" xr:uid="{00000000-0005-0000-0000-0000CE200000}"/>
    <cellStyle name="Percent 2 3 2 3 3 5" xfId="5294" xr:uid="{00000000-0005-0000-0000-0000CF200000}"/>
    <cellStyle name="Percent 2 3 2 3 4" xfId="1776" xr:uid="{00000000-0005-0000-0000-0000D0200000}"/>
    <cellStyle name="Percent 2 3 2 3 4 2" xfId="3199" xr:uid="{00000000-0005-0000-0000-0000D1200000}"/>
    <cellStyle name="Percent 2 3 2 3 4 2 2" xfId="7669" xr:uid="{00000000-0005-0000-0000-0000D2200000}"/>
    <cellStyle name="Percent 2 3 2 3 4 3" xfId="6345" xr:uid="{00000000-0005-0000-0000-0000D3200000}"/>
    <cellStyle name="Percent 2 3 2 3 5" xfId="435" xr:uid="{00000000-0005-0000-0000-0000D4200000}"/>
    <cellStyle name="Percent 2 3 2 3 5 2" xfId="5824" xr:uid="{00000000-0005-0000-0000-0000D5200000}"/>
    <cellStyle name="Percent 2 3 2 3 6" xfId="3795" xr:uid="{00000000-0005-0000-0000-0000D6200000}"/>
    <cellStyle name="Percent 2 3 2 3 6 2" xfId="8261" xr:uid="{00000000-0005-0000-0000-0000D7200000}"/>
    <cellStyle name="Percent 2 3 2 3 7" xfId="5007" xr:uid="{00000000-0005-0000-0000-0000D8200000}"/>
    <cellStyle name="Percent 2 3 2 4" xfId="1777" xr:uid="{00000000-0005-0000-0000-0000D9200000}"/>
    <cellStyle name="Percent 2 3 2 4 2" xfId="1778" xr:uid="{00000000-0005-0000-0000-0000DA200000}"/>
    <cellStyle name="Percent 2 3 2 4 2 2" xfId="3200" xr:uid="{00000000-0005-0000-0000-0000DB200000}"/>
    <cellStyle name="Percent 2 3 2 4 2 2 2" xfId="7670" xr:uid="{00000000-0005-0000-0000-0000DC200000}"/>
    <cellStyle name="Percent 2 3 2 4 2 3" xfId="4452" xr:uid="{00000000-0005-0000-0000-0000DD200000}"/>
    <cellStyle name="Percent 2 3 2 4 2 3 2" xfId="8915" xr:uid="{00000000-0005-0000-0000-0000DE200000}"/>
    <cellStyle name="Percent 2 3 2 4 2 4" xfId="5664" xr:uid="{00000000-0005-0000-0000-0000DF200000}"/>
    <cellStyle name="Percent 2 3 2 4 3" xfId="3201" xr:uid="{00000000-0005-0000-0000-0000E0200000}"/>
    <cellStyle name="Percent 2 3 2 4 3 2" xfId="7671" xr:uid="{00000000-0005-0000-0000-0000E1200000}"/>
    <cellStyle name="Percent 2 3 2 4 4" xfId="3797" xr:uid="{00000000-0005-0000-0000-0000E2200000}"/>
    <cellStyle name="Percent 2 3 2 4 4 2" xfId="8263" xr:uid="{00000000-0005-0000-0000-0000E3200000}"/>
    <cellStyle name="Percent 2 3 2 4 5" xfId="5009" xr:uid="{00000000-0005-0000-0000-0000E4200000}"/>
    <cellStyle name="Percent 2 3 2 5" xfId="1779" xr:uid="{00000000-0005-0000-0000-0000E5200000}"/>
    <cellStyle name="Percent 2 3 2 5 2" xfId="1780" xr:uid="{00000000-0005-0000-0000-0000E6200000}"/>
    <cellStyle name="Percent 2 3 2 5 2 2" xfId="3202" xr:uid="{00000000-0005-0000-0000-0000E7200000}"/>
    <cellStyle name="Percent 2 3 2 5 2 2 2" xfId="7672" xr:uid="{00000000-0005-0000-0000-0000E8200000}"/>
    <cellStyle name="Percent 2 3 2 5 2 3" xfId="6346" xr:uid="{00000000-0005-0000-0000-0000E9200000}"/>
    <cellStyle name="Percent 2 3 2 5 3" xfId="3203" xr:uid="{00000000-0005-0000-0000-0000EA200000}"/>
    <cellStyle name="Percent 2 3 2 5 3 2" xfId="7673" xr:uid="{00000000-0005-0000-0000-0000EB200000}"/>
    <cellStyle name="Percent 2 3 2 5 4" xfId="4079" xr:uid="{00000000-0005-0000-0000-0000EC200000}"/>
    <cellStyle name="Percent 2 3 2 5 4 2" xfId="8545" xr:uid="{00000000-0005-0000-0000-0000ED200000}"/>
    <cellStyle name="Percent 2 3 2 5 5" xfId="5291" xr:uid="{00000000-0005-0000-0000-0000EE200000}"/>
    <cellStyle name="Percent 2 3 2 6" xfId="1781" xr:uid="{00000000-0005-0000-0000-0000EF200000}"/>
    <cellStyle name="Percent 2 3 2 6 2" xfId="3204" xr:uid="{00000000-0005-0000-0000-0000F0200000}"/>
    <cellStyle name="Percent 2 3 2 6 2 2" xfId="7674" xr:uid="{00000000-0005-0000-0000-0000F1200000}"/>
    <cellStyle name="Percent 2 3 2 6 3" xfId="6347" xr:uid="{00000000-0005-0000-0000-0000F2200000}"/>
    <cellStyle name="Percent 2 3 2 7" xfId="432" xr:uid="{00000000-0005-0000-0000-0000F3200000}"/>
    <cellStyle name="Percent 2 3 2 7 2" xfId="5827" xr:uid="{00000000-0005-0000-0000-0000F4200000}"/>
    <cellStyle name="Percent 2 3 2 8" xfId="3790" xr:uid="{00000000-0005-0000-0000-0000F5200000}"/>
    <cellStyle name="Percent 2 3 2 8 2" xfId="8256" xr:uid="{00000000-0005-0000-0000-0000F6200000}"/>
    <cellStyle name="Percent 2 3 2 9" xfId="5002" xr:uid="{00000000-0005-0000-0000-0000F7200000}"/>
    <cellStyle name="Percent 2 3 3" xfId="220" xr:uid="{00000000-0005-0000-0000-0000F8200000}"/>
    <cellStyle name="Percent 2 3 3 2" xfId="221" xr:uid="{00000000-0005-0000-0000-0000F9200000}"/>
    <cellStyle name="Percent 2 3 3 2 2" xfId="1782" xr:uid="{00000000-0005-0000-0000-0000FA200000}"/>
    <cellStyle name="Percent 2 3 3 2 2 2" xfId="1783" xr:uid="{00000000-0005-0000-0000-0000FB200000}"/>
    <cellStyle name="Percent 2 3 3 2 2 2 2" xfId="3205" xr:uid="{00000000-0005-0000-0000-0000FC200000}"/>
    <cellStyle name="Percent 2 3 3 2 2 2 2 2" xfId="7675" xr:uid="{00000000-0005-0000-0000-0000FD200000}"/>
    <cellStyle name="Percent 2 3 3 2 2 2 3" xfId="4453" xr:uid="{00000000-0005-0000-0000-0000FE200000}"/>
    <cellStyle name="Percent 2 3 3 2 2 2 3 2" xfId="8916" xr:uid="{00000000-0005-0000-0000-0000FF200000}"/>
    <cellStyle name="Percent 2 3 3 2 2 2 4" xfId="5665" xr:uid="{00000000-0005-0000-0000-000000210000}"/>
    <cellStyle name="Percent 2 3 3 2 2 3" xfId="3206" xr:uid="{00000000-0005-0000-0000-000001210000}"/>
    <cellStyle name="Percent 2 3 3 2 2 3 2" xfId="7676" xr:uid="{00000000-0005-0000-0000-000002210000}"/>
    <cellStyle name="Percent 2 3 3 2 2 4" xfId="3800" xr:uid="{00000000-0005-0000-0000-000003210000}"/>
    <cellStyle name="Percent 2 3 3 2 2 4 2" xfId="8266" xr:uid="{00000000-0005-0000-0000-000004210000}"/>
    <cellStyle name="Percent 2 3 3 2 2 5" xfId="5012" xr:uid="{00000000-0005-0000-0000-000005210000}"/>
    <cellStyle name="Percent 2 3 3 2 3" xfId="1784" xr:uid="{00000000-0005-0000-0000-000006210000}"/>
    <cellStyle name="Percent 2 3 3 2 3 2" xfId="1785" xr:uid="{00000000-0005-0000-0000-000007210000}"/>
    <cellStyle name="Percent 2 3 3 2 3 2 2" xfId="3207" xr:uid="{00000000-0005-0000-0000-000008210000}"/>
    <cellStyle name="Percent 2 3 3 2 3 2 2 2" xfId="7677" xr:uid="{00000000-0005-0000-0000-000009210000}"/>
    <cellStyle name="Percent 2 3 3 2 3 2 3" xfId="6348" xr:uid="{00000000-0005-0000-0000-00000A210000}"/>
    <cellStyle name="Percent 2 3 3 2 3 3" xfId="3208" xr:uid="{00000000-0005-0000-0000-00000B210000}"/>
    <cellStyle name="Percent 2 3 3 2 3 3 2" xfId="7678" xr:uid="{00000000-0005-0000-0000-00000C210000}"/>
    <cellStyle name="Percent 2 3 3 2 3 4" xfId="4084" xr:uid="{00000000-0005-0000-0000-00000D210000}"/>
    <cellStyle name="Percent 2 3 3 2 3 4 2" xfId="8550" xr:uid="{00000000-0005-0000-0000-00000E210000}"/>
    <cellStyle name="Percent 2 3 3 2 3 5" xfId="5296" xr:uid="{00000000-0005-0000-0000-00000F210000}"/>
    <cellStyle name="Percent 2 3 3 2 4" xfId="1786" xr:uid="{00000000-0005-0000-0000-000010210000}"/>
    <cellStyle name="Percent 2 3 3 2 4 2" xfId="3209" xr:uid="{00000000-0005-0000-0000-000011210000}"/>
    <cellStyle name="Percent 2 3 3 2 4 2 2" xfId="7679" xr:uid="{00000000-0005-0000-0000-000012210000}"/>
    <cellStyle name="Percent 2 3 3 2 4 3" xfId="6349" xr:uid="{00000000-0005-0000-0000-000013210000}"/>
    <cellStyle name="Percent 2 3 3 2 5" xfId="437" xr:uid="{00000000-0005-0000-0000-000014210000}"/>
    <cellStyle name="Percent 2 3 3 2 5 2" xfId="6081" xr:uid="{00000000-0005-0000-0000-000015210000}"/>
    <cellStyle name="Percent 2 3 3 2 6" xfId="3799" xr:uid="{00000000-0005-0000-0000-000016210000}"/>
    <cellStyle name="Percent 2 3 3 2 6 2" xfId="8265" xr:uid="{00000000-0005-0000-0000-000017210000}"/>
    <cellStyle name="Percent 2 3 3 2 7" xfId="5011" xr:uid="{00000000-0005-0000-0000-000018210000}"/>
    <cellStyle name="Percent 2 3 3 3" xfId="1787" xr:uid="{00000000-0005-0000-0000-000019210000}"/>
    <cellStyle name="Percent 2 3 3 3 2" xfId="1788" xr:uid="{00000000-0005-0000-0000-00001A210000}"/>
    <cellStyle name="Percent 2 3 3 3 2 2" xfId="3210" xr:uid="{00000000-0005-0000-0000-00001B210000}"/>
    <cellStyle name="Percent 2 3 3 3 2 2 2" xfId="7680" xr:uid="{00000000-0005-0000-0000-00001C210000}"/>
    <cellStyle name="Percent 2 3 3 3 2 3" xfId="4454" xr:uid="{00000000-0005-0000-0000-00001D210000}"/>
    <cellStyle name="Percent 2 3 3 3 2 3 2" xfId="8917" xr:uid="{00000000-0005-0000-0000-00001E210000}"/>
    <cellStyle name="Percent 2 3 3 3 2 4" xfId="5666" xr:uid="{00000000-0005-0000-0000-00001F210000}"/>
    <cellStyle name="Percent 2 3 3 3 3" xfId="3211" xr:uid="{00000000-0005-0000-0000-000020210000}"/>
    <cellStyle name="Percent 2 3 3 3 3 2" xfId="7681" xr:uid="{00000000-0005-0000-0000-000021210000}"/>
    <cellStyle name="Percent 2 3 3 3 4" xfId="3801" xr:uid="{00000000-0005-0000-0000-000022210000}"/>
    <cellStyle name="Percent 2 3 3 3 4 2" xfId="8267" xr:uid="{00000000-0005-0000-0000-000023210000}"/>
    <cellStyle name="Percent 2 3 3 3 5" xfId="5013" xr:uid="{00000000-0005-0000-0000-000024210000}"/>
    <cellStyle name="Percent 2 3 3 4" xfId="1789" xr:uid="{00000000-0005-0000-0000-000025210000}"/>
    <cellStyle name="Percent 2 3 3 4 2" xfId="1790" xr:uid="{00000000-0005-0000-0000-000026210000}"/>
    <cellStyle name="Percent 2 3 3 4 2 2" xfId="3212" xr:uid="{00000000-0005-0000-0000-000027210000}"/>
    <cellStyle name="Percent 2 3 3 4 2 2 2" xfId="7682" xr:uid="{00000000-0005-0000-0000-000028210000}"/>
    <cellStyle name="Percent 2 3 3 4 2 3" xfId="6350" xr:uid="{00000000-0005-0000-0000-000029210000}"/>
    <cellStyle name="Percent 2 3 3 4 3" xfId="3213" xr:uid="{00000000-0005-0000-0000-00002A210000}"/>
    <cellStyle name="Percent 2 3 3 4 3 2" xfId="7683" xr:uid="{00000000-0005-0000-0000-00002B210000}"/>
    <cellStyle name="Percent 2 3 3 4 4" xfId="4083" xr:uid="{00000000-0005-0000-0000-00002C210000}"/>
    <cellStyle name="Percent 2 3 3 4 4 2" xfId="8549" xr:uid="{00000000-0005-0000-0000-00002D210000}"/>
    <cellStyle name="Percent 2 3 3 4 5" xfId="5295" xr:uid="{00000000-0005-0000-0000-00002E210000}"/>
    <cellStyle name="Percent 2 3 3 5" xfId="1791" xr:uid="{00000000-0005-0000-0000-00002F210000}"/>
    <cellStyle name="Percent 2 3 3 5 2" xfId="3214" xr:uid="{00000000-0005-0000-0000-000030210000}"/>
    <cellStyle name="Percent 2 3 3 5 2 2" xfId="7684" xr:uid="{00000000-0005-0000-0000-000031210000}"/>
    <cellStyle name="Percent 2 3 3 5 3" xfId="6351" xr:uid="{00000000-0005-0000-0000-000032210000}"/>
    <cellStyle name="Percent 2 3 3 6" xfId="436" xr:uid="{00000000-0005-0000-0000-000033210000}"/>
    <cellStyle name="Percent 2 3 3 6 2" xfId="5951" xr:uid="{00000000-0005-0000-0000-000034210000}"/>
    <cellStyle name="Percent 2 3 3 7" xfId="3798" xr:uid="{00000000-0005-0000-0000-000035210000}"/>
    <cellStyle name="Percent 2 3 3 7 2" xfId="8264" xr:uid="{00000000-0005-0000-0000-000036210000}"/>
    <cellStyle name="Percent 2 3 3 8" xfId="5010" xr:uid="{00000000-0005-0000-0000-000037210000}"/>
    <cellStyle name="Percent 2 3 4" xfId="222" xr:uid="{00000000-0005-0000-0000-000038210000}"/>
    <cellStyle name="Percent 2 3 4 2" xfId="1792" xr:uid="{00000000-0005-0000-0000-000039210000}"/>
    <cellStyle name="Percent 2 3 4 2 2" xfId="1793" xr:uid="{00000000-0005-0000-0000-00003A210000}"/>
    <cellStyle name="Percent 2 3 4 2 2 2" xfId="1794" xr:uid="{00000000-0005-0000-0000-00003B210000}"/>
    <cellStyle name="Percent 2 3 4 2 2 2 2" xfId="3215" xr:uid="{00000000-0005-0000-0000-00003C210000}"/>
    <cellStyle name="Percent 2 3 4 2 2 2 2 2" xfId="7685" xr:uid="{00000000-0005-0000-0000-00003D210000}"/>
    <cellStyle name="Percent 2 3 4 2 2 2 3" xfId="4455" xr:uid="{00000000-0005-0000-0000-00003E210000}"/>
    <cellStyle name="Percent 2 3 4 2 2 2 3 2" xfId="8918" xr:uid="{00000000-0005-0000-0000-00003F210000}"/>
    <cellStyle name="Percent 2 3 4 2 2 2 4" xfId="5667" xr:uid="{00000000-0005-0000-0000-000040210000}"/>
    <cellStyle name="Percent 2 3 4 2 2 3" xfId="3216" xr:uid="{00000000-0005-0000-0000-000041210000}"/>
    <cellStyle name="Percent 2 3 4 2 2 3 2" xfId="7686" xr:uid="{00000000-0005-0000-0000-000042210000}"/>
    <cellStyle name="Percent 2 3 4 2 2 4" xfId="3804" xr:uid="{00000000-0005-0000-0000-000043210000}"/>
    <cellStyle name="Percent 2 3 4 2 2 4 2" xfId="8270" xr:uid="{00000000-0005-0000-0000-000044210000}"/>
    <cellStyle name="Percent 2 3 4 2 2 5" xfId="5016" xr:uid="{00000000-0005-0000-0000-000045210000}"/>
    <cellStyle name="Percent 2 3 4 2 3" xfId="1795" xr:uid="{00000000-0005-0000-0000-000046210000}"/>
    <cellStyle name="Percent 2 3 4 2 3 2" xfId="1796" xr:uid="{00000000-0005-0000-0000-000047210000}"/>
    <cellStyle name="Percent 2 3 4 2 3 2 2" xfId="3217" xr:uid="{00000000-0005-0000-0000-000048210000}"/>
    <cellStyle name="Percent 2 3 4 2 3 2 2 2" xfId="7687" xr:uid="{00000000-0005-0000-0000-000049210000}"/>
    <cellStyle name="Percent 2 3 4 2 3 2 3" xfId="6352" xr:uid="{00000000-0005-0000-0000-00004A210000}"/>
    <cellStyle name="Percent 2 3 4 2 3 3" xfId="3218" xr:uid="{00000000-0005-0000-0000-00004B210000}"/>
    <cellStyle name="Percent 2 3 4 2 3 3 2" xfId="7688" xr:uid="{00000000-0005-0000-0000-00004C210000}"/>
    <cellStyle name="Percent 2 3 4 2 3 4" xfId="4086" xr:uid="{00000000-0005-0000-0000-00004D210000}"/>
    <cellStyle name="Percent 2 3 4 2 3 4 2" xfId="8552" xr:uid="{00000000-0005-0000-0000-00004E210000}"/>
    <cellStyle name="Percent 2 3 4 2 3 5" xfId="5298" xr:uid="{00000000-0005-0000-0000-00004F210000}"/>
    <cellStyle name="Percent 2 3 4 2 4" xfId="1797" xr:uid="{00000000-0005-0000-0000-000050210000}"/>
    <cellStyle name="Percent 2 3 4 2 4 2" xfId="3219" xr:uid="{00000000-0005-0000-0000-000051210000}"/>
    <cellStyle name="Percent 2 3 4 2 4 2 2" xfId="7689" xr:uid="{00000000-0005-0000-0000-000052210000}"/>
    <cellStyle name="Percent 2 3 4 2 4 3" xfId="6353" xr:uid="{00000000-0005-0000-0000-000053210000}"/>
    <cellStyle name="Percent 2 3 4 2 5" xfId="3220" xr:uid="{00000000-0005-0000-0000-000054210000}"/>
    <cellStyle name="Percent 2 3 4 2 5 2" xfId="7690" xr:uid="{00000000-0005-0000-0000-000055210000}"/>
    <cellStyle name="Percent 2 3 4 2 6" xfId="3803" xr:uid="{00000000-0005-0000-0000-000056210000}"/>
    <cellStyle name="Percent 2 3 4 2 6 2" xfId="8269" xr:uid="{00000000-0005-0000-0000-000057210000}"/>
    <cellStyle name="Percent 2 3 4 2 7" xfId="5015" xr:uid="{00000000-0005-0000-0000-000058210000}"/>
    <cellStyle name="Percent 2 3 4 3" xfId="1798" xr:uid="{00000000-0005-0000-0000-000059210000}"/>
    <cellStyle name="Percent 2 3 4 3 2" xfId="1799" xr:uid="{00000000-0005-0000-0000-00005A210000}"/>
    <cellStyle name="Percent 2 3 4 3 2 2" xfId="3221" xr:uid="{00000000-0005-0000-0000-00005B210000}"/>
    <cellStyle name="Percent 2 3 4 3 2 2 2" xfId="7691" xr:uid="{00000000-0005-0000-0000-00005C210000}"/>
    <cellStyle name="Percent 2 3 4 3 2 3" xfId="4456" xr:uid="{00000000-0005-0000-0000-00005D210000}"/>
    <cellStyle name="Percent 2 3 4 3 2 3 2" xfId="8919" xr:uid="{00000000-0005-0000-0000-00005E210000}"/>
    <cellStyle name="Percent 2 3 4 3 2 4" xfId="5668" xr:uid="{00000000-0005-0000-0000-00005F210000}"/>
    <cellStyle name="Percent 2 3 4 3 3" xfId="3222" xr:uid="{00000000-0005-0000-0000-000060210000}"/>
    <cellStyle name="Percent 2 3 4 3 3 2" xfId="7692" xr:uid="{00000000-0005-0000-0000-000061210000}"/>
    <cellStyle name="Percent 2 3 4 3 4" xfId="3805" xr:uid="{00000000-0005-0000-0000-000062210000}"/>
    <cellStyle name="Percent 2 3 4 3 4 2" xfId="8271" xr:uid="{00000000-0005-0000-0000-000063210000}"/>
    <cellStyle name="Percent 2 3 4 3 5" xfId="5017" xr:uid="{00000000-0005-0000-0000-000064210000}"/>
    <cellStyle name="Percent 2 3 4 4" xfId="1800" xr:uid="{00000000-0005-0000-0000-000065210000}"/>
    <cellStyle name="Percent 2 3 4 4 2" xfId="1801" xr:uid="{00000000-0005-0000-0000-000066210000}"/>
    <cellStyle name="Percent 2 3 4 4 2 2" xfId="3223" xr:uid="{00000000-0005-0000-0000-000067210000}"/>
    <cellStyle name="Percent 2 3 4 4 2 2 2" xfId="7693" xr:uid="{00000000-0005-0000-0000-000068210000}"/>
    <cellStyle name="Percent 2 3 4 4 2 3" xfId="6354" xr:uid="{00000000-0005-0000-0000-000069210000}"/>
    <cellStyle name="Percent 2 3 4 4 3" xfId="3224" xr:uid="{00000000-0005-0000-0000-00006A210000}"/>
    <cellStyle name="Percent 2 3 4 4 3 2" xfId="7694" xr:uid="{00000000-0005-0000-0000-00006B210000}"/>
    <cellStyle name="Percent 2 3 4 4 4" xfId="4085" xr:uid="{00000000-0005-0000-0000-00006C210000}"/>
    <cellStyle name="Percent 2 3 4 4 4 2" xfId="8551" xr:uid="{00000000-0005-0000-0000-00006D210000}"/>
    <cellStyle name="Percent 2 3 4 4 5" xfId="5297" xr:uid="{00000000-0005-0000-0000-00006E210000}"/>
    <cellStyle name="Percent 2 3 4 5" xfId="1802" xr:uid="{00000000-0005-0000-0000-00006F210000}"/>
    <cellStyle name="Percent 2 3 4 5 2" xfId="3225" xr:uid="{00000000-0005-0000-0000-000070210000}"/>
    <cellStyle name="Percent 2 3 4 5 2 2" xfId="7695" xr:uid="{00000000-0005-0000-0000-000071210000}"/>
    <cellStyle name="Percent 2 3 4 5 3" xfId="6355" xr:uid="{00000000-0005-0000-0000-000072210000}"/>
    <cellStyle name="Percent 2 3 4 6" xfId="438" xr:uid="{00000000-0005-0000-0000-000073210000}"/>
    <cellStyle name="Percent 2 3 4 6 2" xfId="6080" xr:uid="{00000000-0005-0000-0000-000074210000}"/>
    <cellStyle name="Percent 2 3 4 7" xfId="3802" xr:uid="{00000000-0005-0000-0000-000075210000}"/>
    <cellStyle name="Percent 2 3 4 7 2" xfId="8268" xr:uid="{00000000-0005-0000-0000-000076210000}"/>
    <cellStyle name="Percent 2 3 4 8" xfId="5014" xr:uid="{00000000-0005-0000-0000-000077210000}"/>
    <cellStyle name="Percent 2 3 5" xfId="1803" xr:uid="{00000000-0005-0000-0000-000078210000}"/>
    <cellStyle name="Percent 2 3 5 2" xfId="1804" xr:uid="{00000000-0005-0000-0000-000079210000}"/>
    <cellStyle name="Percent 2 3 5 2 2" xfId="1805" xr:uid="{00000000-0005-0000-0000-00007A210000}"/>
    <cellStyle name="Percent 2 3 5 2 2 2" xfId="3226" xr:uid="{00000000-0005-0000-0000-00007B210000}"/>
    <cellStyle name="Percent 2 3 5 2 2 2 2" xfId="7696" xr:uid="{00000000-0005-0000-0000-00007C210000}"/>
    <cellStyle name="Percent 2 3 5 2 2 3" xfId="4457" xr:uid="{00000000-0005-0000-0000-00007D210000}"/>
    <cellStyle name="Percent 2 3 5 2 2 3 2" xfId="8920" xr:uid="{00000000-0005-0000-0000-00007E210000}"/>
    <cellStyle name="Percent 2 3 5 2 2 4" xfId="5669" xr:uid="{00000000-0005-0000-0000-00007F210000}"/>
    <cellStyle name="Percent 2 3 5 2 3" xfId="3227" xr:uid="{00000000-0005-0000-0000-000080210000}"/>
    <cellStyle name="Percent 2 3 5 2 3 2" xfId="7697" xr:uid="{00000000-0005-0000-0000-000081210000}"/>
    <cellStyle name="Percent 2 3 5 2 4" xfId="3807" xr:uid="{00000000-0005-0000-0000-000082210000}"/>
    <cellStyle name="Percent 2 3 5 2 4 2" xfId="8273" xr:uid="{00000000-0005-0000-0000-000083210000}"/>
    <cellStyle name="Percent 2 3 5 2 5" xfId="5019" xr:uid="{00000000-0005-0000-0000-000084210000}"/>
    <cellStyle name="Percent 2 3 5 3" xfId="1806" xr:uid="{00000000-0005-0000-0000-000085210000}"/>
    <cellStyle name="Percent 2 3 5 3 2" xfId="1807" xr:uid="{00000000-0005-0000-0000-000086210000}"/>
    <cellStyle name="Percent 2 3 5 3 2 2" xfId="3228" xr:uid="{00000000-0005-0000-0000-000087210000}"/>
    <cellStyle name="Percent 2 3 5 3 2 2 2" xfId="7698" xr:uid="{00000000-0005-0000-0000-000088210000}"/>
    <cellStyle name="Percent 2 3 5 3 2 3" xfId="6356" xr:uid="{00000000-0005-0000-0000-000089210000}"/>
    <cellStyle name="Percent 2 3 5 3 3" xfId="3229" xr:uid="{00000000-0005-0000-0000-00008A210000}"/>
    <cellStyle name="Percent 2 3 5 3 3 2" xfId="7699" xr:uid="{00000000-0005-0000-0000-00008B210000}"/>
    <cellStyle name="Percent 2 3 5 3 4" xfId="4087" xr:uid="{00000000-0005-0000-0000-00008C210000}"/>
    <cellStyle name="Percent 2 3 5 3 4 2" xfId="8553" xr:uid="{00000000-0005-0000-0000-00008D210000}"/>
    <cellStyle name="Percent 2 3 5 3 5" xfId="5299" xr:uid="{00000000-0005-0000-0000-00008E210000}"/>
    <cellStyle name="Percent 2 3 5 4" xfId="1808" xr:uid="{00000000-0005-0000-0000-00008F210000}"/>
    <cellStyle name="Percent 2 3 5 4 2" xfId="3230" xr:uid="{00000000-0005-0000-0000-000090210000}"/>
    <cellStyle name="Percent 2 3 5 4 2 2" xfId="7700" xr:uid="{00000000-0005-0000-0000-000091210000}"/>
    <cellStyle name="Percent 2 3 5 4 3" xfId="6357" xr:uid="{00000000-0005-0000-0000-000092210000}"/>
    <cellStyle name="Percent 2 3 5 5" xfId="3231" xr:uid="{00000000-0005-0000-0000-000093210000}"/>
    <cellStyle name="Percent 2 3 5 5 2" xfId="7701" xr:uid="{00000000-0005-0000-0000-000094210000}"/>
    <cellStyle name="Percent 2 3 5 6" xfId="3806" xr:uid="{00000000-0005-0000-0000-000095210000}"/>
    <cellStyle name="Percent 2 3 5 6 2" xfId="8272" xr:uid="{00000000-0005-0000-0000-000096210000}"/>
    <cellStyle name="Percent 2 3 5 7" xfId="5018" xr:uid="{00000000-0005-0000-0000-000097210000}"/>
    <cellStyle name="Percent 2 3 6" xfId="1809" xr:uid="{00000000-0005-0000-0000-000098210000}"/>
    <cellStyle name="Percent 2 3 6 2" xfId="1810" xr:uid="{00000000-0005-0000-0000-000099210000}"/>
    <cellStyle name="Percent 2 3 6 2 2" xfId="3232" xr:uid="{00000000-0005-0000-0000-00009A210000}"/>
    <cellStyle name="Percent 2 3 6 2 2 2" xfId="7702" xr:uid="{00000000-0005-0000-0000-00009B210000}"/>
    <cellStyle name="Percent 2 3 6 2 3" xfId="4459" xr:uid="{00000000-0005-0000-0000-00009C210000}"/>
    <cellStyle name="Percent 2 3 6 2 3 2" xfId="8922" xr:uid="{00000000-0005-0000-0000-00009D210000}"/>
    <cellStyle name="Percent 2 3 6 2 4" xfId="5671" xr:uid="{00000000-0005-0000-0000-00009E210000}"/>
    <cellStyle name="Percent 2 3 6 3" xfId="3233" xr:uid="{00000000-0005-0000-0000-00009F210000}"/>
    <cellStyle name="Percent 2 3 6 3 2" xfId="4458" xr:uid="{00000000-0005-0000-0000-0000A0210000}"/>
    <cellStyle name="Percent 2 3 6 3 2 2" xfId="8921" xr:uid="{00000000-0005-0000-0000-0000A1210000}"/>
    <cellStyle name="Percent 2 3 6 3 3" xfId="5670" xr:uid="{00000000-0005-0000-0000-0000A2210000}"/>
    <cellStyle name="Percent 2 3 6 4" xfId="3808" xr:uid="{00000000-0005-0000-0000-0000A3210000}"/>
    <cellStyle name="Percent 2 3 6 4 2" xfId="8274" xr:uid="{00000000-0005-0000-0000-0000A4210000}"/>
    <cellStyle name="Percent 2 3 6 5" xfId="5020" xr:uid="{00000000-0005-0000-0000-0000A5210000}"/>
    <cellStyle name="Percent 2 3 7" xfId="1811" xr:uid="{00000000-0005-0000-0000-0000A6210000}"/>
    <cellStyle name="Percent 2 3 7 2" xfId="1812" xr:uid="{00000000-0005-0000-0000-0000A7210000}"/>
    <cellStyle name="Percent 2 3 7 2 2" xfId="3234" xr:uid="{00000000-0005-0000-0000-0000A8210000}"/>
    <cellStyle name="Percent 2 3 7 2 2 2" xfId="7703" xr:uid="{00000000-0005-0000-0000-0000A9210000}"/>
    <cellStyle name="Percent 2 3 7 2 3" xfId="6358" xr:uid="{00000000-0005-0000-0000-0000AA210000}"/>
    <cellStyle name="Percent 2 3 7 3" xfId="3235" xr:uid="{00000000-0005-0000-0000-0000AB210000}"/>
    <cellStyle name="Percent 2 3 7 3 2" xfId="7704" xr:uid="{00000000-0005-0000-0000-0000AC210000}"/>
    <cellStyle name="Percent 2 3 7 4" xfId="4460" xr:uid="{00000000-0005-0000-0000-0000AD210000}"/>
    <cellStyle name="Percent 2 3 7 4 2" xfId="8923" xr:uid="{00000000-0005-0000-0000-0000AE210000}"/>
    <cellStyle name="Percent 2 3 7 5" xfId="5672" xr:uid="{00000000-0005-0000-0000-0000AF210000}"/>
    <cellStyle name="Percent 2 3 8" xfId="1813" xr:uid="{00000000-0005-0000-0000-0000B0210000}"/>
    <cellStyle name="Percent 2 3 8 2" xfId="3236" xr:uid="{00000000-0005-0000-0000-0000B1210000}"/>
    <cellStyle name="Percent 2 3 8 2 2" xfId="7705" xr:uid="{00000000-0005-0000-0000-0000B2210000}"/>
    <cellStyle name="Percent 2 3 8 3" xfId="4461" xr:uid="{00000000-0005-0000-0000-0000B3210000}"/>
    <cellStyle name="Percent 2 3 8 3 2" xfId="8924" xr:uid="{00000000-0005-0000-0000-0000B4210000}"/>
    <cellStyle name="Percent 2 3 8 4" xfId="5673" xr:uid="{00000000-0005-0000-0000-0000B5210000}"/>
    <cellStyle name="Percent 2 3 9" xfId="431" xr:uid="{00000000-0005-0000-0000-0000B6210000}"/>
    <cellStyle name="Percent 2 3 9 2" xfId="4078" xr:uid="{00000000-0005-0000-0000-0000B7210000}"/>
    <cellStyle name="Percent 2 3 9 2 2" xfId="8544" xr:uid="{00000000-0005-0000-0000-0000B8210000}"/>
    <cellStyle name="Percent 2 3 9 3" xfId="5290" xr:uid="{00000000-0005-0000-0000-0000B9210000}"/>
    <cellStyle name="Percent 2 4" xfId="223" xr:uid="{00000000-0005-0000-0000-0000BA210000}"/>
    <cellStyle name="Percent 2 4 2" xfId="224" xr:uid="{00000000-0005-0000-0000-0000BB210000}"/>
    <cellStyle name="Percent 2 4 2 2" xfId="225" xr:uid="{00000000-0005-0000-0000-0000BC210000}"/>
    <cellStyle name="Percent 2 4 2 2 2" xfId="1814" xr:uid="{00000000-0005-0000-0000-0000BD210000}"/>
    <cellStyle name="Percent 2 4 2 2 2 2" xfId="1815" xr:uid="{00000000-0005-0000-0000-0000BE210000}"/>
    <cellStyle name="Percent 2 4 2 2 2 2 2" xfId="3237" xr:uid="{00000000-0005-0000-0000-0000BF210000}"/>
    <cellStyle name="Percent 2 4 2 2 2 2 2 2" xfId="7706" xr:uid="{00000000-0005-0000-0000-0000C0210000}"/>
    <cellStyle name="Percent 2 4 2 2 2 2 3" xfId="4462" xr:uid="{00000000-0005-0000-0000-0000C1210000}"/>
    <cellStyle name="Percent 2 4 2 2 2 2 3 2" xfId="8925" xr:uid="{00000000-0005-0000-0000-0000C2210000}"/>
    <cellStyle name="Percent 2 4 2 2 2 2 4" xfId="5674" xr:uid="{00000000-0005-0000-0000-0000C3210000}"/>
    <cellStyle name="Percent 2 4 2 2 2 3" xfId="3238" xr:uid="{00000000-0005-0000-0000-0000C4210000}"/>
    <cellStyle name="Percent 2 4 2 2 2 3 2" xfId="7707" xr:uid="{00000000-0005-0000-0000-0000C5210000}"/>
    <cellStyle name="Percent 2 4 2 2 2 4" xfId="3812" xr:uid="{00000000-0005-0000-0000-0000C6210000}"/>
    <cellStyle name="Percent 2 4 2 2 2 4 2" xfId="8278" xr:uid="{00000000-0005-0000-0000-0000C7210000}"/>
    <cellStyle name="Percent 2 4 2 2 2 5" xfId="5024" xr:uid="{00000000-0005-0000-0000-0000C8210000}"/>
    <cellStyle name="Percent 2 4 2 2 3" xfId="1816" xr:uid="{00000000-0005-0000-0000-0000C9210000}"/>
    <cellStyle name="Percent 2 4 2 2 3 2" xfId="1817" xr:uid="{00000000-0005-0000-0000-0000CA210000}"/>
    <cellStyle name="Percent 2 4 2 2 3 2 2" xfId="3239" xr:uid="{00000000-0005-0000-0000-0000CB210000}"/>
    <cellStyle name="Percent 2 4 2 2 3 2 2 2" xfId="7708" xr:uid="{00000000-0005-0000-0000-0000CC210000}"/>
    <cellStyle name="Percent 2 4 2 2 3 2 3" xfId="6359" xr:uid="{00000000-0005-0000-0000-0000CD210000}"/>
    <cellStyle name="Percent 2 4 2 2 3 3" xfId="3240" xr:uid="{00000000-0005-0000-0000-0000CE210000}"/>
    <cellStyle name="Percent 2 4 2 2 3 3 2" xfId="7709" xr:uid="{00000000-0005-0000-0000-0000CF210000}"/>
    <cellStyle name="Percent 2 4 2 2 3 4" xfId="4090" xr:uid="{00000000-0005-0000-0000-0000D0210000}"/>
    <cellStyle name="Percent 2 4 2 2 3 4 2" xfId="8556" xr:uid="{00000000-0005-0000-0000-0000D1210000}"/>
    <cellStyle name="Percent 2 4 2 2 3 5" xfId="5302" xr:uid="{00000000-0005-0000-0000-0000D2210000}"/>
    <cellStyle name="Percent 2 4 2 2 4" xfId="1818" xr:uid="{00000000-0005-0000-0000-0000D3210000}"/>
    <cellStyle name="Percent 2 4 2 2 4 2" xfId="3241" xr:uid="{00000000-0005-0000-0000-0000D4210000}"/>
    <cellStyle name="Percent 2 4 2 2 4 2 2" xfId="7710" xr:uid="{00000000-0005-0000-0000-0000D5210000}"/>
    <cellStyle name="Percent 2 4 2 2 4 3" xfId="6360" xr:uid="{00000000-0005-0000-0000-0000D6210000}"/>
    <cellStyle name="Percent 2 4 2 2 5" xfId="441" xr:uid="{00000000-0005-0000-0000-0000D7210000}"/>
    <cellStyle name="Percent 2 4 2 2 5 2" xfId="5823" xr:uid="{00000000-0005-0000-0000-0000D8210000}"/>
    <cellStyle name="Percent 2 4 2 2 6" xfId="3811" xr:uid="{00000000-0005-0000-0000-0000D9210000}"/>
    <cellStyle name="Percent 2 4 2 2 6 2" xfId="8277" xr:uid="{00000000-0005-0000-0000-0000DA210000}"/>
    <cellStyle name="Percent 2 4 2 2 7" xfId="5023" xr:uid="{00000000-0005-0000-0000-0000DB210000}"/>
    <cellStyle name="Percent 2 4 2 3" xfId="1819" xr:uid="{00000000-0005-0000-0000-0000DC210000}"/>
    <cellStyle name="Percent 2 4 2 3 2" xfId="1820" xr:uid="{00000000-0005-0000-0000-0000DD210000}"/>
    <cellStyle name="Percent 2 4 2 3 2 2" xfId="3242" xr:uid="{00000000-0005-0000-0000-0000DE210000}"/>
    <cellStyle name="Percent 2 4 2 3 2 2 2" xfId="7711" xr:uid="{00000000-0005-0000-0000-0000DF210000}"/>
    <cellStyle name="Percent 2 4 2 3 2 3" xfId="4463" xr:uid="{00000000-0005-0000-0000-0000E0210000}"/>
    <cellStyle name="Percent 2 4 2 3 2 3 2" xfId="8926" xr:uid="{00000000-0005-0000-0000-0000E1210000}"/>
    <cellStyle name="Percent 2 4 2 3 2 4" xfId="5675" xr:uid="{00000000-0005-0000-0000-0000E2210000}"/>
    <cellStyle name="Percent 2 4 2 3 3" xfId="3243" xr:uid="{00000000-0005-0000-0000-0000E3210000}"/>
    <cellStyle name="Percent 2 4 2 3 3 2" xfId="7712" xr:uid="{00000000-0005-0000-0000-0000E4210000}"/>
    <cellStyle name="Percent 2 4 2 3 4" xfId="3813" xr:uid="{00000000-0005-0000-0000-0000E5210000}"/>
    <cellStyle name="Percent 2 4 2 3 4 2" xfId="8279" xr:uid="{00000000-0005-0000-0000-0000E6210000}"/>
    <cellStyle name="Percent 2 4 2 3 5" xfId="5025" xr:uid="{00000000-0005-0000-0000-0000E7210000}"/>
    <cellStyle name="Percent 2 4 2 4" xfId="1821" xr:uid="{00000000-0005-0000-0000-0000E8210000}"/>
    <cellStyle name="Percent 2 4 2 4 2" xfId="1822" xr:uid="{00000000-0005-0000-0000-0000E9210000}"/>
    <cellStyle name="Percent 2 4 2 4 2 2" xfId="3244" xr:uid="{00000000-0005-0000-0000-0000EA210000}"/>
    <cellStyle name="Percent 2 4 2 4 2 2 2" xfId="7713" xr:uid="{00000000-0005-0000-0000-0000EB210000}"/>
    <cellStyle name="Percent 2 4 2 4 2 3" xfId="6361" xr:uid="{00000000-0005-0000-0000-0000EC210000}"/>
    <cellStyle name="Percent 2 4 2 4 3" xfId="3245" xr:uid="{00000000-0005-0000-0000-0000ED210000}"/>
    <cellStyle name="Percent 2 4 2 4 3 2" xfId="7714" xr:uid="{00000000-0005-0000-0000-0000EE210000}"/>
    <cellStyle name="Percent 2 4 2 4 4" xfId="4089" xr:uid="{00000000-0005-0000-0000-0000EF210000}"/>
    <cellStyle name="Percent 2 4 2 4 4 2" xfId="8555" xr:uid="{00000000-0005-0000-0000-0000F0210000}"/>
    <cellStyle name="Percent 2 4 2 4 5" xfId="5301" xr:uid="{00000000-0005-0000-0000-0000F1210000}"/>
    <cellStyle name="Percent 2 4 2 5" xfId="1823" xr:uid="{00000000-0005-0000-0000-0000F2210000}"/>
    <cellStyle name="Percent 2 4 2 5 2" xfId="3246" xr:uid="{00000000-0005-0000-0000-0000F3210000}"/>
    <cellStyle name="Percent 2 4 2 5 2 2" xfId="7715" xr:uid="{00000000-0005-0000-0000-0000F4210000}"/>
    <cellStyle name="Percent 2 4 2 5 3" xfId="6362" xr:uid="{00000000-0005-0000-0000-0000F5210000}"/>
    <cellStyle name="Percent 2 4 2 6" xfId="440" xr:uid="{00000000-0005-0000-0000-0000F6210000}"/>
    <cellStyle name="Percent 2 4 2 6 2" xfId="6079" xr:uid="{00000000-0005-0000-0000-0000F7210000}"/>
    <cellStyle name="Percent 2 4 2 7" xfId="3810" xr:uid="{00000000-0005-0000-0000-0000F8210000}"/>
    <cellStyle name="Percent 2 4 2 7 2" xfId="8276" xr:uid="{00000000-0005-0000-0000-0000F9210000}"/>
    <cellStyle name="Percent 2 4 2 8" xfId="5022" xr:uid="{00000000-0005-0000-0000-0000FA210000}"/>
    <cellStyle name="Percent 2 4 3" xfId="226" xr:uid="{00000000-0005-0000-0000-0000FB210000}"/>
    <cellStyle name="Percent 2 4 3 2" xfId="1824" xr:uid="{00000000-0005-0000-0000-0000FC210000}"/>
    <cellStyle name="Percent 2 4 3 2 2" xfId="1825" xr:uid="{00000000-0005-0000-0000-0000FD210000}"/>
    <cellStyle name="Percent 2 4 3 2 2 2" xfId="3247" xr:uid="{00000000-0005-0000-0000-0000FE210000}"/>
    <cellStyle name="Percent 2 4 3 2 2 2 2" xfId="7716" xr:uid="{00000000-0005-0000-0000-0000FF210000}"/>
    <cellStyle name="Percent 2 4 3 2 2 3" xfId="4464" xr:uid="{00000000-0005-0000-0000-000000220000}"/>
    <cellStyle name="Percent 2 4 3 2 2 3 2" xfId="8927" xr:uid="{00000000-0005-0000-0000-000001220000}"/>
    <cellStyle name="Percent 2 4 3 2 2 4" xfId="5676" xr:uid="{00000000-0005-0000-0000-000002220000}"/>
    <cellStyle name="Percent 2 4 3 2 3" xfId="3248" xr:uid="{00000000-0005-0000-0000-000003220000}"/>
    <cellStyle name="Percent 2 4 3 2 3 2" xfId="7717" xr:uid="{00000000-0005-0000-0000-000004220000}"/>
    <cellStyle name="Percent 2 4 3 2 4" xfId="3815" xr:uid="{00000000-0005-0000-0000-000005220000}"/>
    <cellStyle name="Percent 2 4 3 2 4 2" xfId="8281" xr:uid="{00000000-0005-0000-0000-000006220000}"/>
    <cellStyle name="Percent 2 4 3 2 5" xfId="5027" xr:uid="{00000000-0005-0000-0000-000007220000}"/>
    <cellStyle name="Percent 2 4 3 3" xfId="1826" xr:uid="{00000000-0005-0000-0000-000008220000}"/>
    <cellStyle name="Percent 2 4 3 3 2" xfId="1827" xr:uid="{00000000-0005-0000-0000-000009220000}"/>
    <cellStyle name="Percent 2 4 3 3 2 2" xfId="3249" xr:uid="{00000000-0005-0000-0000-00000A220000}"/>
    <cellStyle name="Percent 2 4 3 3 2 2 2" xfId="7718" xr:uid="{00000000-0005-0000-0000-00000B220000}"/>
    <cellStyle name="Percent 2 4 3 3 2 3" xfId="6363" xr:uid="{00000000-0005-0000-0000-00000C220000}"/>
    <cellStyle name="Percent 2 4 3 3 3" xfId="3250" xr:uid="{00000000-0005-0000-0000-00000D220000}"/>
    <cellStyle name="Percent 2 4 3 3 3 2" xfId="7719" xr:uid="{00000000-0005-0000-0000-00000E220000}"/>
    <cellStyle name="Percent 2 4 3 3 4" xfId="4091" xr:uid="{00000000-0005-0000-0000-00000F220000}"/>
    <cellStyle name="Percent 2 4 3 3 4 2" xfId="8557" xr:uid="{00000000-0005-0000-0000-000010220000}"/>
    <cellStyle name="Percent 2 4 3 3 5" xfId="5303" xr:uid="{00000000-0005-0000-0000-000011220000}"/>
    <cellStyle name="Percent 2 4 3 4" xfId="1828" xr:uid="{00000000-0005-0000-0000-000012220000}"/>
    <cellStyle name="Percent 2 4 3 4 2" xfId="3251" xr:uid="{00000000-0005-0000-0000-000013220000}"/>
    <cellStyle name="Percent 2 4 3 4 2 2" xfId="7720" xr:uid="{00000000-0005-0000-0000-000014220000}"/>
    <cellStyle name="Percent 2 4 3 4 3" xfId="6364" xr:uid="{00000000-0005-0000-0000-000015220000}"/>
    <cellStyle name="Percent 2 4 3 5" xfId="442" xr:uid="{00000000-0005-0000-0000-000016220000}"/>
    <cellStyle name="Percent 2 4 3 5 2" xfId="5956" xr:uid="{00000000-0005-0000-0000-000017220000}"/>
    <cellStyle name="Percent 2 4 3 6" xfId="3814" xr:uid="{00000000-0005-0000-0000-000018220000}"/>
    <cellStyle name="Percent 2 4 3 6 2" xfId="8280" xr:uid="{00000000-0005-0000-0000-000019220000}"/>
    <cellStyle name="Percent 2 4 3 7" xfId="5026" xr:uid="{00000000-0005-0000-0000-00001A220000}"/>
    <cellStyle name="Percent 2 4 4" xfId="1829" xr:uid="{00000000-0005-0000-0000-00001B220000}"/>
    <cellStyle name="Percent 2 4 4 2" xfId="1830" xr:uid="{00000000-0005-0000-0000-00001C220000}"/>
    <cellStyle name="Percent 2 4 4 2 2" xfId="3252" xr:uid="{00000000-0005-0000-0000-00001D220000}"/>
    <cellStyle name="Percent 2 4 4 2 2 2" xfId="7721" xr:uid="{00000000-0005-0000-0000-00001E220000}"/>
    <cellStyle name="Percent 2 4 4 2 3" xfId="4466" xr:uid="{00000000-0005-0000-0000-00001F220000}"/>
    <cellStyle name="Percent 2 4 4 2 3 2" xfId="8929" xr:uid="{00000000-0005-0000-0000-000020220000}"/>
    <cellStyle name="Percent 2 4 4 2 4" xfId="5678" xr:uid="{00000000-0005-0000-0000-000021220000}"/>
    <cellStyle name="Percent 2 4 4 3" xfId="3253" xr:uid="{00000000-0005-0000-0000-000022220000}"/>
    <cellStyle name="Percent 2 4 4 3 2" xfId="4465" xr:uid="{00000000-0005-0000-0000-000023220000}"/>
    <cellStyle name="Percent 2 4 4 3 2 2" xfId="8928" xr:uid="{00000000-0005-0000-0000-000024220000}"/>
    <cellStyle name="Percent 2 4 4 3 3" xfId="5677" xr:uid="{00000000-0005-0000-0000-000025220000}"/>
    <cellStyle name="Percent 2 4 4 4" xfId="3816" xr:uid="{00000000-0005-0000-0000-000026220000}"/>
    <cellStyle name="Percent 2 4 4 4 2" xfId="8282" xr:uid="{00000000-0005-0000-0000-000027220000}"/>
    <cellStyle name="Percent 2 4 4 5" xfId="5028" xr:uid="{00000000-0005-0000-0000-000028220000}"/>
    <cellStyle name="Percent 2 4 5" xfId="1831" xr:uid="{00000000-0005-0000-0000-000029220000}"/>
    <cellStyle name="Percent 2 4 5 2" xfId="1832" xr:uid="{00000000-0005-0000-0000-00002A220000}"/>
    <cellStyle name="Percent 2 4 5 2 2" xfId="3254" xr:uid="{00000000-0005-0000-0000-00002B220000}"/>
    <cellStyle name="Percent 2 4 5 2 2 2" xfId="7722" xr:uid="{00000000-0005-0000-0000-00002C220000}"/>
    <cellStyle name="Percent 2 4 5 2 3" xfId="6365" xr:uid="{00000000-0005-0000-0000-00002D220000}"/>
    <cellStyle name="Percent 2 4 5 3" xfId="3255" xr:uid="{00000000-0005-0000-0000-00002E220000}"/>
    <cellStyle name="Percent 2 4 5 3 2" xfId="7723" xr:uid="{00000000-0005-0000-0000-00002F220000}"/>
    <cellStyle name="Percent 2 4 5 4" xfId="4467" xr:uid="{00000000-0005-0000-0000-000030220000}"/>
    <cellStyle name="Percent 2 4 5 4 2" xfId="8930" xr:uid="{00000000-0005-0000-0000-000031220000}"/>
    <cellStyle name="Percent 2 4 5 5" xfId="5679" xr:uid="{00000000-0005-0000-0000-000032220000}"/>
    <cellStyle name="Percent 2 4 6" xfId="1833" xr:uid="{00000000-0005-0000-0000-000033220000}"/>
    <cellStyle name="Percent 2 4 6 2" xfId="3256" xr:uid="{00000000-0005-0000-0000-000034220000}"/>
    <cellStyle name="Percent 2 4 6 2 2" xfId="7724" xr:uid="{00000000-0005-0000-0000-000035220000}"/>
    <cellStyle name="Percent 2 4 6 3" xfId="4468" xr:uid="{00000000-0005-0000-0000-000036220000}"/>
    <cellStyle name="Percent 2 4 6 3 2" xfId="8931" xr:uid="{00000000-0005-0000-0000-000037220000}"/>
    <cellStyle name="Percent 2 4 6 4" xfId="5680" xr:uid="{00000000-0005-0000-0000-000038220000}"/>
    <cellStyle name="Percent 2 4 7" xfId="439" xr:uid="{00000000-0005-0000-0000-000039220000}"/>
    <cellStyle name="Percent 2 4 7 2" xfId="4088" xr:uid="{00000000-0005-0000-0000-00003A220000}"/>
    <cellStyle name="Percent 2 4 7 2 2" xfId="8554" xr:uid="{00000000-0005-0000-0000-00003B220000}"/>
    <cellStyle name="Percent 2 4 7 3" xfId="5300" xr:uid="{00000000-0005-0000-0000-00003C220000}"/>
    <cellStyle name="Percent 2 4 8" xfId="3809" xr:uid="{00000000-0005-0000-0000-00003D220000}"/>
    <cellStyle name="Percent 2 4 8 2" xfId="8275" xr:uid="{00000000-0005-0000-0000-00003E220000}"/>
    <cellStyle name="Percent 2 4 9" xfId="5021" xr:uid="{00000000-0005-0000-0000-00003F220000}"/>
    <cellStyle name="Percent 2 5" xfId="227" xr:uid="{00000000-0005-0000-0000-000040220000}"/>
    <cellStyle name="Percent 2 5 2" xfId="228" xr:uid="{00000000-0005-0000-0000-000041220000}"/>
    <cellStyle name="Percent 2 5 2 2" xfId="1834" xr:uid="{00000000-0005-0000-0000-000042220000}"/>
    <cellStyle name="Percent 2 5 2 2 2" xfId="1835" xr:uid="{00000000-0005-0000-0000-000043220000}"/>
    <cellStyle name="Percent 2 5 2 2 2 2" xfId="3257" xr:uid="{00000000-0005-0000-0000-000044220000}"/>
    <cellStyle name="Percent 2 5 2 2 2 2 2" xfId="7725" xr:uid="{00000000-0005-0000-0000-000045220000}"/>
    <cellStyle name="Percent 2 5 2 2 2 3" xfId="4469" xr:uid="{00000000-0005-0000-0000-000046220000}"/>
    <cellStyle name="Percent 2 5 2 2 2 3 2" xfId="8932" xr:uid="{00000000-0005-0000-0000-000047220000}"/>
    <cellStyle name="Percent 2 5 2 2 2 4" xfId="5681" xr:uid="{00000000-0005-0000-0000-000048220000}"/>
    <cellStyle name="Percent 2 5 2 2 3" xfId="3258" xr:uid="{00000000-0005-0000-0000-000049220000}"/>
    <cellStyle name="Percent 2 5 2 2 3 2" xfId="7726" xr:uid="{00000000-0005-0000-0000-00004A220000}"/>
    <cellStyle name="Percent 2 5 2 2 4" xfId="3819" xr:uid="{00000000-0005-0000-0000-00004B220000}"/>
    <cellStyle name="Percent 2 5 2 2 4 2" xfId="8285" xr:uid="{00000000-0005-0000-0000-00004C220000}"/>
    <cellStyle name="Percent 2 5 2 2 5" xfId="5031" xr:uid="{00000000-0005-0000-0000-00004D220000}"/>
    <cellStyle name="Percent 2 5 2 3" xfId="1836" xr:uid="{00000000-0005-0000-0000-00004E220000}"/>
    <cellStyle name="Percent 2 5 2 3 2" xfId="1837" xr:uid="{00000000-0005-0000-0000-00004F220000}"/>
    <cellStyle name="Percent 2 5 2 3 2 2" xfId="3259" xr:uid="{00000000-0005-0000-0000-000050220000}"/>
    <cellStyle name="Percent 2 5 2 3 2 2 2" xfId="7727" xr:uid="{00000000-0005-0000-0000-000051220000}"/>
    <cellStyle name="Percent 2 5 2 3 2 3" xfId="6366" xr:uid="{00000000-0005-0000-0000-000052220000}"/>
    <cellStyle name="Percent 2 5 2 3 3" xfId="3260" xr:uid="{00000000-0005-0000-0000-000053220000}"/>
    <cellStyle name="Percent 2 5 2 3 3 2" xfId="7728" xr:uid="{00000000-0005-0000-0000-000054220000}"/>
    <cellStyle name="Percent 2 5 2 3 4" xfId="4093" xr:uid="{00000000-0005-0000-0000-000055220000}"/>
    <cellStyle name="Percent 2 5 2 3 4 2" xfId="8559" xr:uid="{00000000-0005-0000-0000-000056220000}"/>
    <cellStyle name="Percent 2 5 2 3 5" xfId="5305" xr:uid="{00000000-0005-0000-0000-000057220000}"/>
    <cellStyle name="Percent 2 5 2 4" xfId="1838" xr:uid="{00000000-0005-0000-0000-000058220000}"/>
    <cellStyle name="Percent 2 5 2 4 2" xfId="3261" xr:uid="{00000000-0005-0000-0000-000059220000}"/>
    <cellStyle name="Percent 2 5 2 4 2 2" xfId="7729" xr:uid="{00000000-0005-0000-0000-00005A220000}"/>
    <cellStyle name="Percent 2 5 2 4 3" xfId="6367" xr:uid="{00000000-0005-0000-0000-00005B220000}"/>
    <cellStyle name="Percent 2 5 2 5" xfId="444" xr:uid="{00000000-0005-0000-0000-00005C220000}"/>
    <cellStyle name="Percent 2 5 2 5 2" xfId="5822" xr:uid="{00000000-0005-0000-0000-00005D220000}"/>
    <cellStyle name="Percent 2 5 2 6" xfId="3818" xr:uid="{00000000-0005-0000-0000-00005E220000}"/>
    <cellStyle name="Percent 2 5 2 6 2" xfId="8284" xr:uid="{00000000-0005-0000-0000-00005F220000}"/>
    <cellStyle name="Percent 2 5 2 7" xfId="5030" xr:uid="{00000000-0005-0000-0000-000060220000}"/>
    <cellStyle name="Percent 2 5 3" xfId="1839" xr:uid="{00000000-0005-0000-0000-000061220000}"/>
    <cellStyle name="Percent 2 5 3 2" xfId="1840" xr:uid="{00000000-0005-0000-0000-000062220000}"/>
    <cellStyle name="Percent 2 5 3 2 2" xfId="3262" xr:uid="{00000000-0005-0000-0000-000063220000}"/>
    <cellStyle name="Percent 2 5 3 2 2 2" xfId="7730" xr:uid="{00000000-0005-0000-0000-000064220000}"/>
    <cellStyle name="Percent 2 5 3 2 3" xfId="4470" xr:uid="{00000000-0005-0000-0000-000065220000}"/>
    <cellStyle name="Percent 2 5 3 2 3 2" xfId="8933" xr:uid="{00000000-0005-0000-0000-000066220000}"/>
    <cellStyle name="Percent 2 5 3 2 4" xfId="5682" xr:uid="{00000000-0005-0000-0000-000067220000}"/>
    <cellStyle name="Percent 2 5 3 3" xfId="3263" xr:uid="{00000000-0005-0000-0000-000068220000}"/>
    <cellStyle name="Percent 2 5 3 3 2" xfId="7731" xr:uid="{00000000-0005-0000-0000-000069220000}"/>
    <cellStyle name="Percent 2 5 3 4" xfId="3820" xr:uid="{00000000-0005-0000-0000-00006A220000}"/>
    <cellStyle name="Percent 2 5 3 4 2" xfId="8286" xr:uid="{00000000-0005-0000-0000-00006B220000}"/>
    <cellStyle name="Percent 2 5 3 5" xfId="5032" xr:uid="{00000000-0005-0000-0000-00006C220000}"/>
    <cellStyle name="Percent 2 5 4" xfId="1841" xr:uid="{00000000-0005-0000-0000-00006D220000}"/>
    <cellStyle name="Percent 2 5 4 2" xfId="1842" xr:uid="{00000000-0005-0000-0000-00006E220000}"/>
    <cellStyle name="Percent 2 5 4 2 2" xfId="3264" xr:uid="{00000000-0005-0000-0000-00006F220000}"/>
    <cellStyle name="Percent 2 5 4 2 2 2" xfId="7732" xr:uid="{00000000-0005-0000-0000-000070220000}"/>
    <cellStyle name="Percent 2 5 4 2 3" xfId="6368" xr:uid="{00000000-0005-0000-0000-000071220000}"/>
    <cellStyle name="Percent 2 5 4 3" xfId="3265" xr:uid="{00000000-0005-0000-0000-000072220000}"/>
    <cellStyle name="Percent 2 5 4 3 2" xfId="7733" xr:uid="{00000000-0005-0000-0000-000073220000}"/>
    <cellStyle name="Percent 2 5 4 4" xfId="4092" xr:uid="{00000000-0005-0000-0000-000074220000}"/>
    <cellStyle name="Percent 2 5 4 4 2" xfId="8558" xr:uid="{00000000-0005-0000-0000-000075220000}"/>
    <cellStyle name="Percent 2 5 4 5" xfId="5304" xr:uid="{00000000-0005-0000-0000-000076220000}"/>
    <cellStyle name="Percent 2 5 5" xfId="1843" xr:uid="{00000000-0005-0000-0000-000077220000}"/>
    <cellStyle name="Percent 2 5 5 2" xfId="3266" xr:uid="{00000000-0005-0000-0000-000078220000}"/>
    <cellStyle name="Percent 2 5 5 2 2" xfId="7734" xr:uid="{00000000-0005-0000-0000-000079220000}"/>
    <cellStyle name="Percent 2 5 5 3" xfId="6369" xr:uid="{00000000-0005-0000-0000-00007A220000}"/>
    <cellStyle name="Percent 2 5 6" xfId="443" xr:uid="{00000000-0005-0000-0000-00007B220000}"/>
    <cellStyle name="Percent 2 5 6 2" xfId="6078" xr:uid="{00000000-0005-0000-0000-00007C220000}"/>
    <cellStyle name="Percent 2 5 7" xfId="3817" xr:uid="{00000000-0005-0000-0000-00007D220000}"/>
    <cellStyle name="Percent 2 5 7 2" xfId="8283" xr:uid="{00000000-0005-0000-0000-00007E220000}"/>
    <cellStyle name="Percent 2 5 8" xfId="5029" xr:uid="{00000000-0005-0000-0000-00007F220000}"/>
    <cellStyle name="Percent 2 6" xfId="229" xr:uid="{00000000-0005-0000-0000-000080220000}"/>
    <cellStyle name="Percent 2 6 2" xfId="1844" xr:uid="{00000000-0005-0000-0000-000081220000}"/>
    <cellStyle name="Percent 2 6 2 2" xfId="1845" xr:uid="{00000000-0005-0000-0000-000082220000}"/>
    <cellStyle name="Percent 2 6 2 2 2" xfId="1846" xr:uid="{00000000-0005-0000-0000-000083220000}"/>
    <cellStyle name="Percent 2 6 2 2 2 2" xfId="3267" xr:uid="{00000000-0005-0000-0000-000084220000}"/>
    <cellStyle name="Percent 2 6 2 2 2 2 2" xfId="7735" xr:uid="{00000000-0005-0000-0000-000085220000}"/>
    <cellStyle name="Percent 2 6 2 2 2 3" xfId="4471" xr:uid="{00000000-0005-0000-0000-000086220000}"/>
    <cellStyle name="Percent 2 6 2 2 2 3 2" xfId="8934" xr:uid="{00000000-0005-0000-0000-000087220000}"/>
    <cellStyle name="Percent 2 6 2 2 2 4" xfId="5683" xr:uid="{00000000-0005-0000-0000-000088220000}"/>
    <cellStyle name="Percent 2 6 2 2 3" xfId="3268" xr:uid="{00000000-0005-0000-0000-000089220000}"/>
    <cellStyle name="Percent 2 6 2 2 3 2" xfId="7736" xr:uid="{00000000-0005-0000-0000-00008A220000}"/>
    <cellStyle name="Percent 2 6 2 2 4" xfId="3823" xr:uid="{00000000-0005-0000-0000-00008B220000}"/>
    <cellStyle name="Percent 2 6 2 2 4 2" xfId="8289" xr:uid="{00000000-0005-0000-0000-00008C220000}"/>
    <cellStyle name="Percent 2 6 2 2 5" xfId="5035" xr:uid="{00000000-0005-0000-0000-00008D220000}"/>
    <cellStyle name="Percent 2 6 2 3" xfId="1847" xr:uid="{00000000-0005-0000-0000-00008E220000}"/>
    <cellStyle name="Percent 2 6 2 3 2" xfId="1848" xr:uid="{00000000-0005-0000-0000-00008F220000}"/>
    <cellStyle name="Percent 2 6 2 3 2 2" xfId="3269" xr:uid="{00000000-0005-0000-0000-000090220000}"/>
    <cellStyle name="Percent 2 6 2 3 2 2 2" xfId="7737" xr:uid="{00000000-0005-0000-0000-000091220000}"/>
    <cellStyle name="Percent 2 6 2 3 2 3" xfId="6370" xr:uid="{00000000-0005-0000-0000-000092220000}"/>
    <cellStyle name="Percent 2 6 2 3 3" xfId="3270" xr:uid="{00000000-0005-0000-0000-000093220000}"/>
    <cellStyle name="Percent 2 6 2 3 3 2" xfId="7738" xr:uid="{00000000-0005-0000-0000-000094220000}"/>
    <cellStyle name="Percent 2 6 2 3 4" xfId="4095" xr:uid="{00000000-0005-0000-0000-000095220000}"/>
    <cellStyle name="Percent 2 6 2 3 4 2" xfId="8561" xr:uid="{00000000-0005-0000-0000-000096220000}"/>
    <cellStyle name="Percent 2 6 2 3 5" xfId="5307" xr:uid="{00000000-0005-0000-0000-000097220000}"/>
    <cellStyle name="Percent 2 6 2 4" xfId="1849" xr:uid="{00000000-0005-0000-0000-000098220000}"/>
    <cellStyle name="Percent 2 6 2 4 2" xfId="3271" xr:uid="{00000000-0005-0000-0000-000099220000}"/>
    <cellStyle name="Percent 2 6 2 4 2 2" xfId="7739" xr:uid="{00000000-0005-0000-0000-00009A220000}"/>
    <cellStyle name="Percent 2 6 2 4 3" xfId="6371" xr:uid="{00000000-0005-0000-0000-00009B220000}"/>
    <cellStyle name="Percent 2 6 2 5" xfId="3272" xr:uid="{00000000-0005-0000-0000-00009C220000}"/>
    <cellStyle name="Percent 2 6 2 5 2" xfId="7740" xr:uid="{00000000-0005-0000-0000-00009D220000}"/>
    <cellStyle name="Percent 2 6 2 6" xfId="3822" xr:uid="{00000000-0005-0000-0000-00009E220000}"/>
    <cellStyle name="Percent 2 6 2 6 2" xfId="8288" xr:uid="{00000000-0005-0000-0000-00009F220000}"/>
    <cellStyle name="Percent 2 6 2 7" xfId="5034" xr:uid="{00000000-0005-0000-0000-0000A0220000}"/>
    <cellStyle name="Percent 2 6 3" xfId="1850" xr:uid="{00000000-0005-0000-0000-0000A1220000}"/>
    <cellStyle name="Percent 2 6 3 2" xfId="1851" xr:uid="{00000000-0005-0000-0000-0000A2220000}"/>
    <cellStyle name="Percent 2 6 3 2 2" xfId="3273" xr:uid="{00000000-0005-0000-0000-0000A3220000}"/>
    <cellStyle name="Percent 2 6 3 2 2 2" xfId="7741" xr:uid="{00000000-0005-0000-0000-0000A4220000}"/>
    <cellStyle name="Percent 2 6 3 2 3" xfId="4472" xr:uid="{00000000-0005-0000-0000-0000A5220000}"/>
    <cellStyle name="Percent 2 6 3 2 3 2" xfId="8935" xr:uid="{00000000-0005-0000-0000-0000A6220000}"/>
    <cellStyle name="Percent 2 6 3 2 4" xfId="5684" xr:uid="{00000000-0005-0000-0000-0000A7220000}"/>
    <cellStyle name="Percent 2 6 3 3" xfId="3274" xr:uid="{00000000-0005-0000-0000-0000A8220000}"/>
    <cellStyle name="Percent 2 6 3 3 2" xfId="7742" xr:uid="{00000000-0005-0000-0000-0000A9220000}"/>
    <cellStyle name="Percent 2 6 3 4" xfId="3824" xr:uid="{00000000-0005-0000-0000-0000AA220000}"/>
    <cellStyle name="Percent 2 6 3 4 2" xfId="8290" xr:uid="{00000000-0005-0000-0000-0000AB220000}"/>
    <cellStyle name="Percent 2 6 3 5" xfId="5036" xr:uid="{00000000-0005-0000-0000-0000AC220000}"/>
    <cellStyle name="Percent 2 6 4" xfId="1852" xr:uid="{00000000-0005-0000-0000-0000AD220000}"/>
    <cellStyle name="Percent 2 6 4 2" xfId="1853" xr:uid="{00000000-0005-0000-0000-0000AE220000}"/>
    <cellStyle name="Percent 2 6 4 2 2" xfId="3275" xr:uid="{00000000-0005-0000-0000-0000AF220000}"/>
    <cellStyle name="Percent 2 6 4 2 2 2" xfId="7743" xr:uid="{00000000-0005-0000-0000-0000B0220000}"/>
    <cellStyle name="Percent 2 6 4 2 3" xfId="6372" xr:uid="{00000000-0005-0000-0000-0000B1220000}"/>
    <cellStyle name="Percent 2 6 4 3" xfId="3276" xr:uid="{00000000-0005-0000-0000-0000B2220000}"/>
    <cellStyle name="Percent 2 6 4 3 2" xfId="7744" xr:uid="{00000000-0005-0000-0000-0000B3220000}"/>
    <cellStyle name="Percent 2 6 4 4" xfId="4094" xr:uid="{00000000-0005-0000-0000-0000B4220000}"/>
    <cellStyle name="Percent 2 6 4 4 2" xfId="8560" xr:uid="{00000000-0005-0000-0000-0000B5220000}"/>
    <cellStyle name="Percent 2 6 4 5" xfId="5306" xr:uid="{00000000-0005-0000-0000-0000B6220000}"/>
    <cellStyle name="Percent 2 6 5" xfId="1854" xr:uid="{00000000-0005-0000-0000-0000B7220000}"/>
    <cellStyle name="Percent 2 6 5 2" xfId="3277" xr:uid="{00000000-0005-0000-0000-0000B8220000}"/>
    <cellStyle name="Percent 2 6 5 2 2" xfId="7745" xr:uid="{00000000-0005-0000-0000-0000B9220000}"/>
    <cellStyle name="Percent 2 6 5 3" xfId="6373" xr:uid="{00000000-0005-0000-0000-0000BA220000}"/>
    <cellStyle name="Percent 2 6 6" xfId="445" xr:uid="{00000000-0005-0000-0000-0000BB220000}"/>
    <cellStyle name="Percent 2 6 6 2" xfId="5821" xr:uid="{00000000-0005-0000-0000-0000BC220000}"/>
    <cellStyle name="Percent 2 6 7" xfId="3821" xr:uid="{00000000-0005-0000-0000-0000BD220000}"/>
    <cellStyle name="Percent 2 6 7 2" xfId="8287" xr:uid="{00000000-0005-0000-0000-0000BE220000}"/>
    <cellStyle name="Percent 2 6 8" xfId="5033" xr:uid="{00000000-0005-0000-0000-0000BF220000}"/>
    <cellStyle name="Percent 2 7" xfId="1855" xr:uid="{00000000-0005-0000-0000-0000C0220000}"/>
    <cellStyle name="Percent 2 7 2" xfId="1856" xr:uid="{00000000-0005-0000-0000-0000C1220000}"/>
    <cellStyle name="Percent 2 7 2 2" xfId="1857" xr:uid="{00000000-0005-0000-0000-0000C2220000}"/>
    <cellStyle name="Percent 2 7 2 2 2" xfId="3278" xr:uid="{00000000-0005-0000-0000-0000C3220000}"/>
    <cellStyle name="Percent 2 7 2 2 2 2" xfId="7746" xr:uid="{00000000-0005-0000-0000-0000C4220000}"/>
    <cellStyle name="Percent 2 7 2 2 3" xfId="4473" xr:uid="{00000000-0005-0000-0000-0000C5220000}"/>
    <cellStyle name="Percent 2 7 2 2 3 2" xfId="8936" xr:uid="{00000000-0005-0000-0000-0000C6220000}"/>
    <cellStyle name="Percent 2 7 2 2 4" xfId="5685" xr:uid="{00000000-0005-0000-0000-0000C7220000}"/>
    <cellStyle name="Percent 2 7 2 3" xfId="3279" xr:uid="{00000000-0005-0000-0000-0000C8220000}"/>
    <cellStyle name="Percent 2 7 2 3 2" xfId="7747" xr:uid="{00000000-0005-0000-0000-0000C9220000}"/>
    <cellStyle name="Percent 2 7 2 4" xfId="3826" xr:uid="{00000000-0005-0000-0000-0000CA220000}"/>
    <cellStyle name="Percent 2 7 2 4 2" xfId="8292" xr:uid="{00000000-0005-0000-0000-0000CB220000}"/>
    <cellStyle name="Percent 2 7 2 5" xfId="5038" xr:uid="{00000000-0005-0000-0000-0000CC220000}"/>
    <cellStyle name="Percent 2 7 3" xfId="1858" xr:uid="{00000000-0005-0000-0000-0000CD220000}"/>
    <cellStyle name="Percent 2 7 3 2" xfId="1859" xr:uid="{00000000-0005-0000-0000-0000CE220000}"/>
    <cellStyle name="Percent 2 7 3 2 2" xfId="3280" xr:uid="{00000000-0005-0000-0000-0000CF220000}"/>
    <cellStyle name="Percent 2 7 3 2 2 2" xfId="7748" xr:uid="{00000000-0005-0000-0000-0000D0220000}"/>
    <cellStyle name="Percent 2 7 3 2 3" xfId="6374" xr:uid="{00000000-0005-0000-0000-0000D1220000}"/>
    <cellStyle name="Percent 2 7 3 3" xfId="3281" xr:uid="{00000000-0005-0000-0000-0000D2220000}"/>
    <cellStyle name="Percent 2 7 3 3 2" xfId="7749" xr:uid="{00000000-0005-0000-0000-0000D3220000}"/>
    <cellStyle name="Percent 2 7 3 4" xfId="4096" xr:uid="{00000000-0005-0000-0000-0000D4220000}"/>
    <cellStyle name="Percent 2 7 3 4 2" xfId="8562" xr:uid="{00000000-0005-0000-0000-0000D5220000}"/>
    <cellStyle name="Percent 2 7 3 5" xfId="5308" xr:uid="{00000000-0005-0000-0000-0000D6220000}"/>
    <cellStyle name="Percent 2 7 4" xfId="1860" xr:uid="{00000000-0005-0000-0000-0000D7220000}"/>
    <cellStyle name="Percent 2 7 4 2" xfId="3282" xr:uid="{00000000-0005-0000-0000-0000D8220000}"/>
    <cellStyle name="Percent 2 7 4 2 2" xfId="7750" xr:uid="{00000000-0005-0000-0000-0000D9220000}"/>
    <cellStyle name="Percent 2 7 4 3" xfId="6375" xr:uid="{00000000-0005-0000-0000-0000DA220000}"/>
    <cellStyle name="Percent 2 7 5" xfId="3283" xr:uid="{00000000-0005-0000-0000-0000DB220000}"/>
    <cellStyle name="Percent 2 7 5 2" xfId="7751" xr:uid="{00000000-0005-0000-0000-0000DC220000}"/>
    <cellStyle name="Percent 2 7 6" xfId="3825" xr:uid="{00000000-0005-0000-0000-0000DD220000}"/>
    <cellStyle name="Percent 2 7 6 2" xfId="8291" xr:uid="{00000000-0005-0000-0000-0000DE220000}"/>
    <cellStyle name="Percent 2 7 7" xfId="5037" xr:uid="{00000000-0005-0000-0000-0000DF220000}"/>
    <cellStyle name="Percent 2 8" xfId="1861" xr:uid="{00000000-0005-0000-0000-0000E0220000}"/>
    <cellStyle name="Percent 2 8 2" xfId="1862" xr:uid="{00000000-0005-0000-0000-0000E1220000}"/>
    <cellStyle name="Percent 2 8 2 2" xfId="3284" xr:uid="{00000000-0005-0000-0000-0000E2220000}"/>
    <cellStyle name="Percent 2 8 2 2 2" xfId="7752" xr:uid="{00000000-0005-0000-0000-0000E3220000}"/>
    <cellStyle name="Percent 2 8 2 3" xfId="4475" xr:uid="{00000000-0005-0000-0000-0000E4220000}"/>
    <cellStyle name="Percent 2 8 2 3 2" xfId="8938" xr:uid="{00000000-0005-0000-0000-0000E5220000}"/>
    <cellStyle name="Percent 2 8 2 4" xfId="5687" xr:uid="{00000000-0005-0000-0000-0000E6220000}"/>
    <cellStyle name="Percent 2 8 3" xfId="3285" xr:uid="{00000000-0005-0000-0000-0000E7220000}"/>
    <cellStyle name="Percent 2 8 3 2" xfId="4474" xr:uid="{00000000-0005-0000-0000-0000E8220000}"/>
    <cellStyle name="Percent 2 8 3 2 2" xfId="8937" xr:uid="{00000000-0005-0000-0000-0000E9220000}"/>
    <cellStyle name="Percent 2 8 3 3" xfId="5686" xr:uid="{00000000-0005-0000-0000-0000EA220000}"/>
    <cellStyle name="Percent 2 8 4" xfId="3827" xr:uid="{00000000-0005-0000-0000-0000EB220000}"/>
    <cellStyle name="Percent 2 8 4 2" xfId="8293" xr:uid="{00000000-0005-0000-0000-0000EC220000}"/>
    <cellStyle name="Percent 2 8 5" xfId="5039" xr:uid="{00000000-0005-0000-0000-0000ED220000}"/>
    <cellStyle name="Percent 2 9" xfId="1863" xr:uid="{00000000-0005-0000-0000-0000EE220000}"/>
    <cellStyle name="Percent 2 9 2" xfId="1864" xr:uid="{00000000-0005-0000-0000-0000EF220000}"/>
    <cellStyle name="Percent 2 9 2 2" xfId="3286" xr:uid="{00000000-0005-0000-0000-0000F0220000}"/>
    <cellStyle name="Percent 2 9 2 2 2" xfId="7753" xr:uid="{00000000-0005-0000-0000-0000F1220000}"/>
    <cellStyle name="Percent 2 9 2 3" xfId="6376" xr:uid="{00000000-0005-0000-0000-0000F2220000}"/>
    <cellStyle name="Percent 2 9 3" xfId="3287" xr:uid="{00000000-0005-0000-0000-0000F3220000}"/>
    <cellStyle name="Percent 2 9 3 2" xfId="7754" xr:uid="{00000000-0005-0000-0000-0000F4220000}"/>
    <cellStyle name="Percent 2 9 4" xfId="4476" xr:uid="{00000000-0005-0000-0000-0000F5220000}"/>
    <cellStyle name="Percent 2 9 4 2" xfId="8939" xr:uid="{00000000-0005-0000-0000-0000F6220000}"/>
    <cellStyle name="Percent 2 9 5" xfId="5688" xr:uid="{00000000-0005-0000-0000-0000F7220000}"/>
    <cellStyle name="Percent 3" xfId="1865" xr:uid="{00000000-0005-0000-0000-0000F8220000}"/>
  </cellStyles>
  <dxfs count="2">
    <dxf>
      <fill>
        <patternFill>
          <bgColor theme="9" tint="0.39994506668294322"/>
        </patternFill>
      </fill>
    </dxf>
    <dxf>
      <fill>
        <patternFill>
          <bgColor theme="5"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1400175</xdr:colOff>
          <xdr:row>3</xdr:row>
          <xdr:rowOff>47625</xdr:rowOff>
        </xdr:from>
        <xdr:to>
          <xdr:col>1</xdr:col>
          <xdr:colOff>2314575</xdr:colOff>
          <xdr:row>7</xdr:row>
          <xdr:rowOff>85725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20219B63-5475-42B3-8765-E289980921B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45893</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8011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PUTER2\Documents\Schools-%20ALL\S.D.%20141\AFR17%2035%20050%2014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Opinion-Notes 35"/>
      <sheetName val="DeficitAFRSum Calc 36"/>
      <sheetName val="AUDITCHECK"/>
      <sheetName val="Single Audit Cover"/>
      <sheetName val="Single Audit Checklist"/>
      <sheetName val="SEFA Reconcile"/>
      <sheetName val="SEFA"/>
      <sheetName val="SEFA (2)"/>
      <sheetName val="SEFA NOTES"/>
      <sheetName val="SF&amp;QC Sec-1"/>
      <sheetName val="SF&amp;QC Sec-2"/>
      <sheetName val="SF&amp;QC Sec-3"/>
      <sheetName val="SSPAF"/>
      <sheetName val="CAP"/>
      <sheetName val="AFR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A7" t="str">
            <v>OTTAWA ELEMENTARY SCHOOLS</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34" t="s">
        <v>405</v>
      </c>
      <c r="J1" s="2035"/>
      <c r="K1" s="2035"/>
      <c r="L1" s="2035"/>
      <c r="M1" s="2035"/>
      <c r="N1" s="2035"/>
      <c r="O1" s="2035"/>
      <c r="P1" s="2035"/>
      <c r="Q1" s="2035"/>
      <c r="R1" s="2035"/>
      <c r="S1" s="2035"/>
    </row>
    <row r="2" spans="1:28" ht="12" customHeight="1" x14ac:dyDescent="0.2">
      <c r="A2" s="47" t="s">
        <v>1990</v>
      </c>
      <c r="D2" s="48"/>
      <c r="I2" s="2036" t="s">
        <v>979</v>
      </c>
      <c r="J2" s="2035"/>
      <c r="K2" s="2035"/>
      <c r="L2" s="2035"/>
      <c r="M2" s="2035"/>
      <c r="N2" s="2035"/>
      <c r="O2" s="2035"/>
      <c r="P2" s="2035"/>
      <c r="Q2" s="2035"/>
      <c r="R2" s="2035"/>
      <c r="S2" s="2035"/>
    </row>
    <row r="3" spans="1:28" ht="12" customHeight="1" x14ac:dyDescent="0.2">
      <c r="A3" s="155" t="s">
        <v>1942</v>
      </c>
      <c r="B3" s="156"/>
      <c r="C3" s="156"/>
      <c r="D3" s="157"/>
      <c r="I3" s="2036" t="s">
        <v>52</v>
      </c>
      <c r="J3" s="2035"/>
      <c r="K3" s="2035"/>
      <c r="L3" s="2035"/>
      <c r="M3" s="2035"/>
      <c r="N3" s="2035"/>
      <c r="O3" s="2035"/>
      <c r="P3" s="2035"/>
      <c r="Q3" s="2035"/>
      <c r="R3" s="2035"/>
      <c r="S3" s="2035"/>
    </row>
    <row r="4" spans="1:28" ht="12" customHeight="1" x14ac:dyDescent="0.2">
      <c r="A4" s="37"/>
      <c r="I4" s="2036" t="s">
        <v>524</v>
      </c>
      <c r="J4" s="2035"/>
      <c r="K4" s="2035"/>
      <c r="L4" s="2035"/>
      <c r="M4" s="2035"/>
      <c r="N4" s="2035"/>
      <c r="O4" s="2035"/>
      <c r="P4" s="2035"/>
      <c r="Q4" s="2035"/>
      <c r="R4" s="2035"/>
      <c r="S4" s="2035"/>
    </row>
    <row r="5" spans="1:28" ht="14.1" customHeight="1" x14ac:dyDescent="0.2">
      <c r="B5" s="104" t="s">
        <v>2062</v>
      </c>
      <c r="C5" s="26" t="s">
        <v>910</v>
      </c>
      <c r="D5" s="84"/>
      <c r="E5" s="84"/>
      <c r="H5" s="38"/>
      <c r="I5" s="2044" t="s">
        <v>680</v>
      </c>
      <c r="J5" s="2043"/>
      <c r="K5" s="2043"/>
      <c r="L5" s="2043"/>
      <c r="M5" s="2043"/>
      <c r="N5" s="2043"/>
      <c r="O5" s="2043"/>
      <c r="P5" s="2043"/>
      <c r="Q5" s="2043"/>
      <c r="R5" s="2043"/>
      <c r="S5" s="2043"/>
    </row>
    <row r="6" spans="1:28" ht="14.1" customHeight="1" x14ac:dyDescent="0.2">
      <c r="B6" s="104"/>
      <c r="C6" s="26" t="s">
        <v>911</v>
      </c>
      <c r="D6" s="84"/>
      <c r="E6" s="84"/>
      <c r="I6" s="2042" t="s">
        <v>883</v>
      </c>
      <c r="J6" s="2043"/>
      <c r="K6" s="2043"/>
      <c r="L6" s="2043"/>
      <c r="M6" s="2043"/>
      <c r="N6" s="2043"/>
      <c r="O6" s="2043"/>
      <c r="P6" s="2043"/>
      <c r="Q6" s="2043"/>
      <c r="R6" s="2043"/>
      <c r="S6" s="2043"/>
    </row>
    <row r="7" spans="1:28" ht="12.2" customHeight="1" x14ac:dyDescent="0.2">
      <c r="I7" s="2037">
        <v>43646</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674</v>
      </c>
      <c r="J9" s="2040"/>
      <c r="K9" s="2040"/>
      <c r="L9" s="2040"/>
      <c r="M9" s="2040"/>
      <c r="N9" s="2040"/>
      <c r="O9" s="2040"/>
      <c r="P9" s="2040"/>
      <c r="Q9" s="2040"/>
      <c r="R9" s="2040"/>
      <c r="S9" s="2041"/>
      <c r="T9" s="2055" t="s">
        <v>533</v>
      </c>
      <c r="U9" s="2056"/>
      <c r="V9" s="2056"/>
      <c r="W9" s="2056"/>
      <c r="X9" s="2056"/>
      <c r="Y9" s="2056"/>
      <c r="Z9" s="2056"/>
      <c r="AA9" s="2057"/>
    </row>
    <row r="10" spans="1:28" ht="13.5" customHeight="1" x14ac:dyDescent="0.2">
      <c r="A10" s="2062" t="s">
        <v>675</v>
      </c>
      <c r="B10" s="2063"/>
      <c r="C10" s="2063"/>
      <c r="D10" s="2063"/>
      <c r="E10" s="2063"/>
      <c r="F10" s="2063"/>
      <c r="G10" s="2063"/>
      <c r="H10" s="2064"/>
      <c r="I10" s="29"/>
      <c r="J10" s="30"/>
      <c r="K10" s="28"/>
      <c r="R10" s="30"/>
      <c r="S10" s="30"/>
      <c r="T10" s="2058"/>
      <c r="U10" s="2043"/>
      <c r="V10" s="2043"/>
      <c r="W10" s="2043"/>
      <c r="X10" s="2043"/>
      <c r="Y10" s="2043"/>
      <c r="Z10" s="2043"/>
      <c r="AA10" s="2049"/>
    </row>
    <row r="11" spans="1:28" ht="14.25" customHeight="1" x14ac:dyDescent="0.2">
      <c r="A11" s="2065" t="s">
        <v>955</v>
      </c>
      <c r="B11" s="2066"/>
      <c r="C11" s="2066"/>
      <c r="D11" s="2066"/>
      <c r="E11" s="2066"/>
      <c r="F11" s="2066"/>
      <c r="G11" s="2066"/>
      <c r="H11" s="2067"/>
      <c r="I11" s="27"/>
      <c r="J11" s="74"/>
      <c r="K11" s="27"/>
      <c r="O11" s="148" t="s">
        <v>2062</v>
      </c>
      <c r="P11" s="100" t="s">
        <v>201</v>
      </c>
      <c r="Q11" s="30"/>
      <c r="R11" s="28"/>
      <c r="S11" s="27"/>
      <c r="T11" s="2059"/>
      <c r="U11" s="2060"/>
      <c r="V11" s="2060"/>
      <c r="W11" s="2060"/>
      <c r="X11" s="2060"/>
      <c r="Y11" s="2060"/>
      <c r="Z11" s="2060"/>
      <c r="AA11" s="206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69">
        <v>35050141002</v>
      </c>
      <c r="B13" s="2070"/>
      <c r="C13" s="2070"/>
      <c r="D13" s="2070"/>
      <c r="E13" s="2070"/>
      <c r="F13" s="2070"/>
      <c r="G13" s="2070"/>
      <c r="H13" s="2071"/>
      <c r="I13" s="31"/>
      <c r="J13" s="30"/>
      <c r="K13" s="28"/>
      <c r="L13" s="30"/>
      <c r="M13" s="30"/>
      <c r="N13" s="30"/>
      <c r="O13" s="30"/>
      <c r="P13" s="30"/>
      <c r="Q13" s="30"/>
      <c r="R13" s="30"/>
      <c r="S13" s="30"/>
      <c r="T13" s="2074" t="s">
        <v>2063</v>
      </c>
      <c r="U13" s="2075"/>
      <c r="V13" s="2075"/>
      <c r="W13" s="2075"/>
      <c r="X13" s="2075"/>
      <c r="Y13" s="2076"/>
      <c r="Z13" s="2076"/>
      <c r="AA13" s="207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68" t="s">
        <v>2081</v>
      </c>
      <c r="B15" s="2072"/>
      <c r="C15" s="2072"/>
      <c r="D15" s="2072"/>
      <c r="E15" s="2072"/>
      <c r="F15" s="2072"/>
      <c r="G15" s="2072"/>
      <c r="H15" s="2073"/>
      <c r="T15" s="2078" t="s">
        <v>2064</v>
      </c>
      <c r="U15" s="2022"/>
      <c r="V15" s="2022"/>
      <c r="W15" s="2022"/>
      <c r="X15" s="2022"/>
      <c r="Y15" s="2079"/>
      <c r="Z15" s="2079"/>
      <c r="AA15" s="208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8" t="s">
        <v>3977</v>
      </c>
      <c r="B17" s="2029"/>
      <c r="C17" s="2029"/>
      <c r="D17" s="2029"/>
      <c r="E17" s="2029"/>
      <c r="F17" s="2029"/>
      <c r="G17" s="2029"/>
      <c r="H17" s="2054"/>
      <c r="T17" s="2085" t="s">
        <v>2065</v>
      </c>
      <c r="U17" s="2086"/>
      <c r="V17" s="2086"/>
      <c r="W17" s="2086"/>
      <c r="X17" s="2086"/>
      <c r="Y17" s="2086"/>
      <c r="Z17" s="2086"/>
      <c r="AA17" s="2087"/>
    </row>
    <row r="18" spans="1:27" ht="13.5" customHeight="1" x14ac:dyDescent="0.2">
      <c r="A18" s="85" t="s">
        <v>530</v>
      </c>
      <c r="B18" s="76"/>
      <c r="C18" s="72"/>
      <c r="D18" s="76"/>
      <c r="E18" s="76"/>
      <c r="F18" s="76"/>
      <c r="G18" s="76"/>
      <c r="H18" s="56"/>
      <c r="I18" s="2053" t="s">
        <v>676</v>
      </c>
      <c r="J18" s="2004"/>
      <c r="K18" s="2004"/>
      <c r="L18" s="2004"/>
      <c r="M18" s="2004"/>
      <c r="N18" s="2004"/>
      <c r="O18" s="2004"/>
      <c r="P18" s="2004"/>
      <c r="Q18" s="2004"/>
      <c r="R18" s="2004"/>
      <c r="S18" s="2005"/>
      <c r="T18" s="85" t="s">
        <v>711</v>
      </c>
      <c r="U18" s="51"/>
      <c r="V18" s="72"/>
      <c r="W18" s="50"/>
      <c r="X18" s="85" t="s">
        <v>266</v>
      </c>
      <c r="Y18" s="81"/>
      <c r="Z18" s="159" t="s">
        <v>677</v>
      </c>
      <c r="AA18" s="46"/>
    </row>
    <row r="19" spans="1:27" ht="13.5" customHeight="1" x14ac:dyDescent="0.2">
      <c r="A19" s="2068" t="s">
        <v>2082</v>
      </c>
      <c r="B19" s="2014"/>
      <c r="C19" s="2014"/>
      <c r="D19" s="2014"/>
      <c r="E19" s="2014"/>
      <c r="F19" s="2014"/>
      <c r="G19" s="2014"/>
      <c r="H19" s="1994"/>
      <c r="I19" s="30"/>
      <c r="J19" s="99"/>
      <c r="K19" s="40"/>
      <c r="L19" s="38"/>
      <c r="M19" s="112" t="s">
        <v>315</v>
      </c>
      <c r="P19" s="27"/>
      <c r="Q19" s="27"/>
      <c r="R19" s="27"/>
      <c r="S19" s="31"/>
      <c r="T19" s="2068" t="s">
        <v>2066</v>
      </c>
      <c r="U19" s="1993"/>
      <c r="V19" s="1993"/>
      <c r="W19" s="1994"/>
      <c r="X19" s="2083" t="s">
        <v>2067</v>
      </c>
      <c r="Y19" s="2084"/>
      <c r="Z19" s="2081">
        <v>61350</v>
      </c>
      <c r="AA19" s="208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2" t="s">
        <v>2083</v>
      </c>
      <c r="B21" s="1993"/>
      <c r="C21" s="1993"/>
      <c r="D21" s="1993"/>
      <c r="E21" s="1993"/>
      <c r="F21" s="1993"/>
      <c r="G21" s="1993"/>
      <c r="H21" s="1994"/>
      <c r="I21" s="2048" t="s">
        <v>678</v>
      </c>
      <c r="J21" s="2043"/>
      <c r="K21" s="2043"/>
      <c r="L21" s="2043"/>
      <c r="M21" s="2043"/>
      <c r="N21" s="2043"/>
      <c r="O21" s="2043"/>
      <c r="P21" s="2043"/>
      <c r="Q21" s="2043"/>
      <c r="R21" s="2043"/>
      <c r="S21" s="2049"/>
      <c r="T21" s="2092" t="s">
        <v>2068</v>
      </c>
      <c r="U21" s="2093"/>
      <c r="V21" s="2093"/>
      <c r="W21" s="2093"/>
      <c r="X21" s="2098" t="s">
        <v>2069</v>
      </c>
      <c r="Y21" s="2099"/>
      <c r="Z21" s="2099"/>
      <c r="AA21" s="2100"/>
    </row>
    <row r="22" spans="1:27" ht="13.5" customHeight="1" x14ac:dyDescent="0.2">
      <c r="A22" s="87" t="s">
        <v>531</v>
      </c>
      <c r="B22" s="59"/>
      <c r="C22" s="59"/>
      <c r="D22" s="59"/>
      <c r="E22" s="59"/>
      <c r="F22" s="59"/>
      <c r="G22" s="59"/>
      <c r="H22" s="60"/>
      <c r="I22" s="2050" t="s">
        <v>1429</v>
      </c>
      <c r="J22" s="2051"/>
      <c r="K22" s="2051"/>
      <c r="L22" s="2051"/>
      <c r="M22" s="2051"/>
      <c r="N22" s="2051"/>
      <c r="O22" s="2051"/>
      <c r="P22" s="2051"/>
      <c r="Q22" s="2051"/>
      <c r="R22" s="2051"/>
      <c r="S22" s="2052"/>
      <c r="T22" s="85" t="s">
        <v>1516</v>
      </c>
      <c r="U22" s="51"/>
      <c r="V22" s="72"/>
      <c r="W22" s="51"/>
      <c r="X22" s="160" t="s">
        <v>1318</v>
      </c>
      <c r="Z22" s="45"/>
      <c r="AA22" s="46"/>
    </row>
    <row r="23" spans="1:27" ht="13.5" customHeight="1" x14ac:dyDescent="0.2">
      <c r="A23" s="2045"/>
      <c r="B23" s="2046"/>
      <c r="C23" s="2046"/>
      <c r="D23" s="2046"/>
      <c r="E23" s="2046"/>
      <c r="F23" s="2046"/>
      <c r="G23" s="2046"/>
      <c r="H23" s="2047"/>
      <c r="T23" s="2028" t="s">
        <v>2070</v>
      </c>
      <c r="U23" s="2091"/>
      <c r="V23" s="2091"/>
      <c r="W23" s="2091"/>
      <c r="X23" s="2095">
        <v>44530</v>
      </c>
      <c r="Y23" s="2096"/>
      <c r="Z23" s="2096"/>
      <c r="AA23" s="2097"/>
    </row>
    <row r="24" spans="1:27" ht="14.1" customHeight="1" x14ac:dyDescent="0.2">
      <c r="A24" s="88" t="s">
        <v>677</v>
      </c>
      <c r="B24" s="49"/>
      <c r="C24" s="49"/>
      <c r="D24" s="49"/>
      <c r="E24" s="49"/>
      <c r="F24" s="49"/>
      <c r="G24" s="49"/>
      <c r="H24" s="61"/>
      <c r="J24" s="2015">
        <f ca="1">IF(B5="x",IF(AUDITCHECK!D29="AFR form Incomplete.","",IF(AUDITCHECK!D29="Deficit reduction plan is required.","School District must complete a deficit reduction plan in the 2019-2020 Budget",)),"")</f>
        <v>0</v>
      </c>
      <c r="K24" s="2015"/>
      <c r="L24" s="2015"/>
      <c r="M24" s="2015"/>
      <c r="N24" s="2015"/>
      <c r="O24" s="2015"/>
      <c r="P24" s="2015"/>
      <c r="Q24" s="2015"/>
      <c r="R24" s="2015"/>
      <c r="S24" s="2016"/>
      <c r="T24" s="105" t="s">
        <v>531</v>
      </c>
      <c r="U24" s="106"/>
      <c r="V24" s="106"/>
      <c r="W24" s="106"/>
      <c r="X24" s="107"/>
      <c r="Y24" s="107"/>
      <c r="Z24" s="107"/>
      <c r="AA24" s="108"/>
    </row>
    <row r="25" spans="1:27" ht="14.1" customHeight="1" x14ac:dyDescent="0.2">
      <c r="A25" s="1992">
        <v>61350</v>
      </c>
      <c r="B25" s="1993"/>
      <c r="C25" s="1993"/>
      <c r="D25" s="1993"/>
      <c r="E25" s="1993"/>
      <c r="F25" s="1993"/>
      <c r="G25" s="1993"/>
      <c r="H25" s="1994"/>
      <c r="I25" s="113"/>
      <c r="J25" s="2017"/>
      <c r="K25" s="2017"/>
      <c r="L25" s="2017"/>
      <c r="M25" s="2017"/>
      <c r="N25" s="2017"/>
      <c r="O25" s="2017"/>
      <c r="P25" s="2017"/>
      <c r="Q25" s="2017"/>
      <c r="R25" s="2017"/>
      <c r="S25" s="2018"/>
      <c r="T25" s="2088" t="s">
        <v>2071</v>
      </c>
      <c r="U25" s="2089"/>
      <c r="V25" s="2089"/>
      <c r="W25" s="2089"/>
      <c r="X25" s="2089"/>
      <c r="Y25" s="2089"/>
      <c r="Z25" s="2089"/>
      <c r="AA25" s="209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03" t="s">
        <v>1511</v>
      </c>
      <c r="J27" s="2004"/>
      <c r="K27" s="2004"/>
      <c r="L27" s="2004"/>
      <c r="M27" s="2004"/>
      <c r="N27" s="2004"/>
      <c r="O27" s="2004"/>
      <c r="P27" s="2004"/>
      <c r="Q27" s="2004"/>
      <c r="R27" s="2004"/>
      <c r="S27" s="200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2062</v>
      </c>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02"/>
      <c r="K30" s="28" t="s">
        <v>576</v>
      </c>
      <c r="L30" s="102" t="s">
        <v>2062</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14"/>
      <c r="Q35" s="1993"/>
      <c r="R35" s="199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8" t="s">
        <v>2084</v>
      </c>
      <c r="B38" s="2029"/>
      <c r="C38" s="2029"/>
      <c r="D38" s="2029"/>
      <c r="E38" s="2029"/>
      <c r="F38" s="1993"/>
      <c r="G38" s="1993"/>
      <c r="H38" s="1994"/>
      <c r="I38" s="2021"/>
      <c r="J38" s="2022"/>
      <c r="K38" s="2022"/>
      <c r="L38" s="2022"/>
      <c r="M38" s="2022"/>
      <c r="N38" s="2022"/>
      <c r="O38" s="2022"/>
      <c r="P38" s="2023"/>
      <c r="Q38" s="2023"/>
      <c r="R38" s="2023"/>
      <c r="S38" s="2024"/>
      <c r="T38" s="2078"/>
      <c r="U38" s="2022"/>
      <c r="V38" s="2022"/>
      <c r="W38" s="2022"/>
      <c r="X38" s="2023"/>
      <c r="Y38" s="2023"/>
      <c r="Z38" s="2023"/>
      <c r="AA38" s="2024"/>
    </row>
    <row r="39" spans="1:27" ht="12" customHeight="1" x14ac:dyDescent="0.2">
      <c r="A39" s="1998" t="s">
        <v>531</v>
      </c>
      <c r="B39" s="1999"/>
      <c r="C39" s="72"/>
      <c r="D39" s="69"/>
      <c r="E39" s="69"/>
      <c r="F39" s="79"/>
      <c r="G39" s="69"/>
      <c r="H39" s="56"/>
      <c r="I39" s="1998" t="s">
        <v>531</v>
      </c>
      <c r="J39" s="1999"/>
      <c r="K39" s="1999"/>
      <c r="L39" s="1999"/>
      <c r="M39" s="1999"/>
      <c r="N39" s="67"/>
      <c r="O39" s="72"/>
      <c r="P39" s="72"/>
      <c r="Q39" s="78"/>
      <c r="R39" s="72"/>
      <c r="S39" s="56"/>
      <c r="T39" s="72" t="s">
        <v>531</v>
      </c>
      <c r="U39" s="51"/>
      <c r="V39" s="72"/>
      <c r="W39" s="50"/>
      <c r="X39" s="78"/>
      <c r="Y39" s="45"/>
      <c r="Z39" s="45"/>
      <c r="AA39" s="46"/>
    </row>
    <row r="40" spans="1:27" ht="13.5" customHeight="1" x14ac:dyDescent="0.2">
      <c r="A40" s="2006"/>
      <c r="B40" s="2007"/>
      <c r="C40" s="2008"/>
      <c r="D40" s="2008"/>
      <c r="E40" s="2008"/>
      <c r="F40" s="2009"/>
      <c r="G40" s="2009"/>
      <c r="H40" s="2010"/>
      <c r="I40" s="2031"/>
      <c r="J40" s="2032"/>
      <c r="K40" s="2032"/>
      <c r="L40" s="2032"/>
      <c r="M40" s="2032"/>
      <c r="N40" s="2032"/>
      <c r="O40" s="2032"/>
      <c r="P40" s="2032"/>
      <c r="Q40" s="2032"/>
      <c r="R40" s="2032"/>
      <c r="S40" s="2033"/>
      <c r="T40" s="2031"/>
      <c r="U40" s="2094"/>
      <c r="V40" s="2032"/>
      <c r="W40" s="2032"/>
      <c r="X40" s="2032"/>
      <c r="Y40" s="2032"/>
      <c r="Z40" s="2032"/>
      <c r="AA40" s="203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0"/>
      <c r="B42" s="2012"/>
      <c r="C42" s="2013"/>
      <c r="D42" s="2011"/>
      <c r="E42" s="2012"/>
      <c r="F42" s="2012"/>
      <c r="G42" s="2012"/>
      <c r="H42" s="2013"/>
      <c r="I42" s="1995"/>
      <c r="J42" s="1996"/>
      <c r="K42" s="1996"/>
      <c r="L42" s="1996"/>
      <c r="M42" s="1996"/>
      <c r="N42" s="1996"/>
      <c r="O42" s="1997"/>
      <c r="P42" s="2030"/>
      <c r="Q42" s="1996"/>
      <c r="R42" s="1996"/>
      <c r="S42" s="1997"/>
      <c r="T42" s="1995"/>
      <c r="U42" s="1996"/>
      <c r="V42" s="1996"/>
      <c r="W42" s="1997"/>
      <c r="X42" s="2030"/>
      <c r="Y42" s="1996"/>
      <c r="Z42" s="1996"/>
      <c r="AA42" s="199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5"/>
      <c r="B44" s="2026"/>
      <c r="C44" s="2026"/>
      <c r="D44" s="2026"/>
      <c r="E44" s="2026"/>
      <c r="F44" s="2026"/>
      <c r="G44" s="2026"/>
      <c r="H44" s="2027"/>
      <c r="I44" s="2000"/>
      <c r="J44" s="2001"/>
      <c r="K44" s="2001"/>
      <c r="L44" s="2001"/>
      <c r="M44" s="2001"/>
      <c r="N44" s="2001"/>
      <c r="O44" s="2001"/>
      <c r="P44" s="2001"/>
      <c r="Q44" s="2001"/>
      <c r="R44" s="2001"/>
      <c r="S44" s="2002"/>
      <c r="T44" s="2000"/>
      <c r="U44" s="2019"/>
      <c r="V44" s="2019"/>
      <c r="W44" s="2019"/>
      <c r="X44" s="2019"/>
      <c r="Y44" s="2019"/>
      <c r="Z44" s="2001"/>
      <c r="AA44" s="200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0"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F172" sqref="F172"/>
    </sheetView>
  </sheetViews>
  <sheetFormatPr defaultColWidth="9.140625" defaultRowHeight="12.75" x14ac:dyDescent="0.2"/>
  <cols>
    <col min="1" max="1" width="41.42578125" style="252" customWidth="1"/>
    <col min="2" max="3" width="17.7109375" style="683" customWidth="1"/>
    <col min="4" max="5" width="17.7109375" style="68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9" t="s">
        <v>104</v>
      </c>
    </row>
    <row r="2" spans="1:6" ht="39.75" customHeight="1" x14ac:dyDescent="0.2">
      <c r="A2" s="2234" t="s">
        <v>1799</v>
      </c>
      <c r="B2" s="1498" t="s">
        <v>1948</v>
      </c>
      <c r="C2" s="685" t="s">
        <v>1949</v>
      </c>
      <c r="D2" s="685" t="s">
        <v>1950</v>
      </c>
      <c r="E2" s="685" t="s">
        <v>1951</v>
      </c>
      <c r="F2" s="685" t="s">
        <v>1952</v>
      </c>
    </row>
    <row r="3" spans="1:6" ht="12" customHeight="1" x14ac:dyDescent="0.2">
      <c r="A3" s="2235"/>
      <c r="B3" s="1495"/>
      <c r="C3" s="1496"/>
      <c r="D3" s="1497" t="s">
        <v>256</v>
      </c>
      <c r="E3" s="1496"/>
      <c r="F3" s="1497" t="s">
        <v>257</v>
      </c>
    </row>
    <row r="4" spans="1:6" ht="13.7" customHeight="1" x14ac:dyDescent="0.2">
      <c r="A4" s="686" t="s">
        <v>1155</v>
      </c>
      <c r="B4" s="1719">
        <f ca="1">'Revenues 9-14'!C5</f>
        <v>6328280</v>
      </c>
      <c r="C4" s="1494"/>
      <c r="D4" s="1722">
        <f ca="1">B4-C4</f>
        <v>6328280</v>
      </c>
      <c r="E4" s="1494">
        <v>6573077</v>
      </c>
      <c r="F4" s="1722">
        <f>E4-C4</f>
        <v>6573077</v>
      </c>
    </row>
    <row r="5" spans="1:6" ht="13.7" customHeight="1" x14ac:dyDescent="0.2">
      <c r="A5" s="686" t="s">
        <v>870</v>
      </c>
      <c r="B5" s="1720">
        <f ca="1">'Revenues 9-14'!D5</f>
        <v>706863</v>
      </c>
      <c r="C5" s="564"/>
      <c r="D5" s="1723">
        <f t="shared" ref="D5:D18" ca="1" si="0">B5-C5</f>
        <v>706863</v>
      </c>
      <c r="E5" s="564">
        <v>733602</v>
      </c>
      <c r="F5" s="1723">
        <f>E5-C5</f>
        <v>733602</v>
      </c>
    </row>
    <row r="6" spans="1:6" ht="13.7" customHeight="1" x14ac:dyDescent="0.2">
      <c r="A6" s="686" t="s">
        <v>411</v>
      </c>
      <c r="B6" s="1720">
        <f ca="1">'Revenues 9-14'!E5</f>
        <v>2988919</v>
      </c>
      <c r="C6" s="564"/>
      <c r="D6" s="1723">
        <f t="shared" ca="1" si="0"/>
        <v>2988919</v>
      </c>
      <c r="E6" s="564">
        <v>3040107</v>
      </c>
      <c r="F6" s="1723">
        <f t="shared" ref="F6:F18" si="1">E6-C6</f>
        <v>3040107</v>
      </c>
    </row>
    <row r="7" spans="1:6" ht="13.7" customHeight="1" x14ac:dyDescent="0.2">
      <c r="A7" s="686" t="s">
        <v>155</v>
      </c>
      <c r="B7" s="1720">
        <f ca="1">'Revenues 9-14'!F5</f>
        <v>338481</v>
      </c>
      <c r="C7" s="564"/>
      <c r="D7" s="1723">
        <f t="shared" ca="1" si="0"/>
        <v>338481</v>
      </c>
      <c r="E7" s="564">
        <v>352129</v>
      </c>
      <c r="F7" s="1723">
        <f t="shared" si="1"/>
        <v>352129</v>
      </c>
    </row>
    <row r="8" spans="1:6" ht="13.7" customHeight="1" x14ac:dyDescent="0.2">
      <c r="A8" s="686" t="s">
        <v>1179</v>
      </c>
      <c r="B8" s="1720">
        <f ca="1">'Revenues 9-14'!G5</f>
        <v>343265</v>
      </c>
      <c r="C8" s="564"/>
      <c r="D8" s="1723">
        <f t="shared" ca="1" si="0"/>
        <v>343265</v>
      </c>
      <c r="E8" s="564">
        <v>345028</v>
      </c>
      <c r="F8" s="1723">
        <f t="shared" si="1"/>
        <v>345028</v>
      </c>
    </row>
    <row r="9" spans="1:6" ht="13.7" customHeight="1" x14ac:dyDescent="0.2">
      <c r="A9" s="686" t="s">
        <v>408</v>
      </c>
      <c r="B9" s="1720">
        <f ca="1">'Revenues 9-14'!H5</f>
        <v>0</v>
      </c>
      <c r="C9" s="564"/>
      <c r="D9" s="1723">
        <f t="shared" ca="1" si="0"/>
        <v>0</v>
      </c>
      <c r="E9" s="564">
        <v>0</v>
      </c>
      <c r="F9" s="1723">
        <f t="shared" si="1"/>
        <v>0</v>
      </c>
    </row>
    <row r="10" spans="1:6" ht="13.7" customHeight="1" x14ac:dyDescent="0.2">
      <c r="A10" s="686" t="s">
        <v>407</v>
      </c>
      <c r="B10" s="1720">
        <f ca="1">'Revenues 9-14'!I5</f>
        <v>141133</v>
      </c>
      <c r="C10" s="564"/>
      <c r="D10" s="1723">
        <f t="shared" ca="1" si="0"/>
        <v>141133</v>
      </c>
      <c r="E10" s="564">
        <v>146720</v>
      </c>
      <c r="F10" s="1723">
        <f t="shared" si="1"/>
        <v>146720</v>
      </c>
    </row>
    <row r="11" spans="1:6" x14ac:dyDescent="0.2">
      <c r="A11" s="686" t="s">
        <v>409</v>
      </c>
      <c r="B11" s="1720">
        <f ca="1">'Revenues 9-14'!J5</f>
        <v>497555</v>
      </c>
      <c r="C11" s="564"/>
      <c r="D11" s="1723">
        <f t="shared" ca="1" si="0"/>
        <v>497555</v>
      </c>
      <c r="E11" s="564">
        <v>500023</v>
      </c>
      <c r="F11" s="1723">
        <f t="shared" si="1"/>
        <v>500023</v>
      </c>
    </row>
    <row r="12" spans="1:6" ht="13.7" customHeight="1" x14ac:dyDescent="0.2">
      <c r="A12" s="686" t="s">
        <v>157</v>
      </c>
      <c r="B12" s="1720">
        <f ca="1">'Revenues 9-14'!K5</f>
        <v>0</v>
      </c>
      <c r="C12" s="564"/>
      <c r="D12" s="1723">
        <f t="shared" ca="1" si="0"/>
        <v>0</v>
      </c>
      <c r="E12" s="564">
        <v>0</v>
      </c>
      <c r="F12" s="1723">
        <f t="shared" si="1"/>
        <v>0</v>
      </c>
    </row>
    <row r="13" spans="1:6" ht="13.7" customHeight="1" x14ac:dyDescent="0.2">
      <c r="A13" s="686" t="s">
        <v>936</v>
      </c>
      <c r="B13" s="1720">
        <f ca="1">SUM('Revenues 9-14'!C6:D6)</f>
        <v>141133</v>
      </c>
      <c r="C13" s="564"/>
      <c r="D13" s="1723">
        <f t="shared" ca="1" si="0"/>
        <v>141133</v>
      </c>
      <c r="E13" s="564">
        <v>146721</v>
      </c>
      <c r="F13" s="1723">
        <f t="shared" si="1"/>
        <v>146721</v>
      </c>
    </row>
    <row r="14" spans="1:6" ht="13.7" customHeight="1" x14ac:dyDescent="0.2">
      <c r="A14" s="686" t="s">
        <v>410</v>
      </c>
      <c r="B14" s="1720">
        <f ca="1">SUM('Revenues 9-14'!C7:D7,'Revenues 9-14'!F7:H7)</f>
        <v>56214</v>
      </c>
      <c r="C14" s="564"/>
      <c r="D14" s="1723">
        <f t="shared" ca="1" si="0"/>
        <v>56214</v>
      </c>
      <c r="E14" s="564">
        <v>58688</v>
      </c>
      <c r="F14" s="1723">
        <f t="shared" si="1"/>
        <v>58688</v>
      </c>
    </row>
    <row r="15" spans="1:6" ht="13.7" customHeight="1" x14ac:dyDescent="0.2">
      <c r="A15" s="686" t="s">
        <v>1158</v>
      </c>
      <c r="B15" s="1720">
        <f ca="1">SUM('Revenues 9-14'!D9:E9,'Revenues 9-14'!H9)</f>
        <v>0</v>
      </c>
      <c r="C15" s="564"/>
      <c r="D15" s="1723">
        <f t="shared" ca="1" si="0"/>
        <v>0</v>
      </c>
      <c r="E15" s="564">
        <v>0</v>
      </c>
      <c r="F15" s="1723">
        <f t="shared" si="1"/>
        <v>0</v>
      </c>
    </row>
    <row r="16" spans="1:6" ht="13.7" customHeight="1" x14ac:dyDescent="0.2">
      <c r="A16" s="686" t="s">
        <v>1159</v>
      </c>
      <c r="B16" s="1720">
        <f ca="1">'Revenues 9-14'!G8</f>
        <v>418616</v>
      </c>
      <c r="C16" s="564"/>
      <c r="D16" s="1723">
        <f t="shared" ca="1" si="0"/>
        <v>418616</v>
      </c>
      <c r="E16" s="564">
        <v>420002</v>
      </c>
      <c r="F16" s="1723">
        <f t="shared" si="1"/>
        <v>420002</v>
      </c>
    </row>
    <row r="17" spans="1:6" ht="13.7" customHeight="1" x14ac:dyDescent="0.2">
      <c r="A17" s="686" t="s">
        <v>1160</v>
      </c>
      <c r="B17" s="1720">
        <f ca="1">'Revenues 9-14'!C10</f>
        <v>0</v>
      </c>
      <c r="C17" s="564"/>
      <c r="D17" s="1723">
        <f t="shared" ca="1" si="0"/>
        <v>0</v>
      </c>
      <c r="E17" s="564">
        <v>0</v>
      </c>
      <c r="F17" s="1723">
        <f t="shared" si="1"/>
        <v>0</v>
      </c>
    </row>
    <row r="18" spans="1:6" ht="13.7" customHeight="1" x14ac:dyDescent="0.2">
      <c r="A18" s="686" t="s">
        <v>762</v>
      </c>
      <c r="B18" s="1720">
        <f ca="1">SUM('Revenues 9-14'!C11:K11)</f>
        <v>0</v>
      </c>
      <c r="C18" s="564"/>
      <c r="D18" s="1723">
        <f t="shared" ca="1" si="0"/>
        <v>0</v>
      </c>
      <c r="E18" s="564">
        <v>0</v>
      </c>
      <c r="F18" s="1723">
        <f t="shared" si="1"/>
        <v>0</v>
      </c>
    </row>
    <row r="19" spans="1:6" ht="13.7" customHeight="1" thickBot="1" x14ac:dyDescent="0.25">
      <c r="A19" s="1724" t="s">
        <v>1161</v>
      </c>
      <c r="B19" s="1721">
        <f ca="1">SUM(B4:B18)</f>
        <v>11960459</v>
      </c>
      <c r="C19" s="1721">
        <f>SUM(C4:C18)</f>
        <v>0</v>
      </c>
      <c r="D19" s="1721">
        <f ca="1">SUM(D4:D18)</f>
        <v>11960459</v>
      </c>
      <c r="E19" s="1721">
        <f>SUM(E4:E18)</f>
        <v>12316097</v>
      </c>
      <c r="F19" s="1721">
        <f>SUM(F4:F18)</f>
        <v>12316097</v>
      </c>
    </row>
    <row r="20" spans="1:6" ht="13.5" thickTop="1" x14ac:dyDescent="0.2">
      <c r="B20" s="684"/>
      <c r="F20" s="687"/>
    </row>
    <row r="21" spans="1:6" x14ac:dyDescent="0.2">
      <c r="A21" s="688" t="s">
        <v>1805</v>
      </c>
      <c r="B21" s="689"/>
      <c r="F21" s="687"/>
    </row>
    <row r="22" spans="1:6" x14ac:dyDescent="0.2">
      <c r="A22" s="690" t="s">
        <v>628</v>
      </c>
      <c r="B22" s="69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31" sqref="G31"/>
    </sheetView>
  </sheetViews>
  <sheetFormatPr defaultColWidth="9.140625" defaultRowHeight="12.75" x14ac:dyDescent="0.2"/>
  <cols>
    <col min="1" max="1" width="44" style="401" customWidth="1"/>
    <col min="2" max="2" width="12.140625" style="693" customWidth="1"/>
    <col min="3" max="5" width="16.7109375" style="69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6" t="s">
        <v>629</v>
      </c>
      <c r="B1" s="2254"/>
      <c r="C1" s="692"/>
    </row>
    <row r="2" spans="1:7" ht="33.75" x14ac:dyDescent="0.2">
      <c r="A2" s="2261" t="s">
        <v>1799</v>
      </c>
      <c r="B2" s="2262"/>
      <c r="C2" s="1850" t="s">
        <v>1953</v>
      </c>
      <c r="D2" s="694" t="s">
        <v>1954</v>
      </c>
      <c r="E2" s="694" t="s">
        <v>1955</v>
      </c>
      <c r="F2" s="1850" t="s">
        <v>1956</v>
      </c>
    </row>
    <row r="3" spans="1:7" ht="15.75" customHeight="1" x14ac:dyDescent="0.2">
      <c r="A3" s="2263" t="s">
        <v>1114</v>
      </c>
      <c r="B3" s="2264"/>
      <c r="C3" s="2257"/>
      <c r="D3" s="2258"/>
      <c r="E3" s="2258"/>
      <c r="F3" s="2259"/>
    </row>
    <row r="4" spans="1:7" ht="12.75" customHeight="1" thickBot="1" x14ac:dyDescent="0.25">
      <c r="A4" s="2251" t="s">
        <v>630</v>
      </c>
      <c r="B4" s="2252"/>
      <c r="C4" s="561"/>
      <c r="D4" s="561"/>
      <c r="E4" s="561"/>
      <c r="F4" s="1725">
        <f>SUM(C4+D4)-E4</f>
        <v>0</v>
      </c>
    </row>
    <row r="5" spans="1:7" ht="15.75" customHeight="1" thickTop="1" x14ac:dyDescent="0.2">
      <c r="A5" s="2255" t="s">
        <v>1110</v>
      </c>
      <c r="B5" s="2250"/>
      <c r="C5" s="2244"/>
      <c r="D5" s="2245"/>
      <c r="E5" s="2245"/>
      <c r="F5" s="2246"/>
    </row>
    <row r="6" spans="1:7" ht="12.75" customHeight="1" thickBot="1" x14ac:dyDescent="0.25">
      <c r="A6" s="695" t="s">
        <v>64</v>
      </c>
      <c r="B6" s="696"/>
      <c r="C6" s="697"/>
      <c r="D6" s="564"/>
      <c r="E6" s="697"/>
      <c r="F6" s="1725">
        <f t="shared" ref="F6:F14" si="0">SUM(C6+D6)-E6</f>
        <v>0</v>
      </c>
    </row>
    <row r="7" spans="1:7" ht="12.75" customHeight="1" thickTop="1" thickBot="1" x14ac:dyDescent="0.25">
      <c r="A7" s="695" t="s">
        <v>6</v>
      </c>
      <c r="B7" s="696"/>
      <c r="C7" s="697"/>
      <c r="D7" s="564"/>
      <c r="E7" s="697"/>
      <c r="F7" s="1725">
        <f t="shared" si="0"/>
        <v>0</v>
      </c>
    </row>
    <row r="8" spans="1:7" ht="12.75" customHeight="1" thickTop="1" thickBot="1" x14ac:dyDescent="0.25">
      <c r="A8" s="695" t="s">
        <v>508</v>
      </c>
      <c r="B8" s="696"/>
      <c r="C8" s="697"/>
      <c r="D8" s="564"/>
      <c r="E8" s="697"/>
      <c r="F8" s="1725">
        <f t="shared" si="0"/>
        <v>0</v>
      </c>
    </row>
    <row r="9" spans="1:7" ht="12.75" customHeight="1" thickTop="1" thickBot="1" x14ac:dyDescent="0.25">
      <c r="A9" s="695" t="s">
        <v>509</v>
      </c>
      <c r="B9" s="696"/>
      <c r="C9" s="697"/>
      <c r="D9" s="564"/>
      <c r="E9" s="697"/>
      <c r="F9" s="1725">
        <f t="shared" si="0"/>
        <v>0</v>
      </c>
    </row>
    <row r="10" spans="1:7" ht="12.75" customHeight="1" thickTop="1" thickBot="1" x14ac:dyDescent="0.25">
      <c r="A10" s="695" t="s">
        <v>510</v>
      </c>
      <c r="B10" s="696"/>
      <c r="C10" s="697"/>
      <c r="D10" s="564"/>
      <c r="E10" s="697"/>
      <c r="F10" s="1725">
        <f t="shared" si="0"/>
        <v>0</v>
      </c>
    </row>
    <row r="11" spans="1:7" ht="12.75" customHeight="1" thickTop="1" thickBot="1" x14ac:dyDescent="0.25">
      <c r="A11" s="695" t="s">
        <v>341</v>
      </c>
      <c r="B11" s="696"/>
      <c r="C11" s="697"/>
      <c r="D11" s="564"/>
      <c r="E11" s="697"/>
      <c r="F11" s="1725">
        <f t="shared" si="0"/>
        <v>0</v>
      </c>
    </row>
    <row r="12" spans="1:7" ht="12.75" customHeight="1" thickTop="1" thickBot="1" x14ac:dyDescent="0.25">
      <c r="A12" s="695" t="s">
        <v>1157</v>
      </c>
      <c r="B12" s="696"/>
      <c r="C12" s="697"/>
      <c r="D12" s="564"/>
      <c r="E12" s="697"/>
      <c r="F12" s="1725">
        <f t="shared" si="0"/>
        <v>0</v>
      </c>
    </row>
    <row r="13" spans="1:7" ht="12.75" customHeight="1" thickTop="1" thickBot="1" x14ac:dyDescent="0.25">
      <c r="A13" s="695" t="s">
        <v>388</v>
      </c>
      <c r="B13" s="696"/>
      <c r="C13" s="697"/>
      <c r="D13" s="564"/>
      <c r="E13" s="697"/>
      <c r="F13" s="1725">
        <f t="shared" si="0"/>
        <v>0</v>
      </c>
    </row>
    <row r="14" spans="1:7" ht="12.75" customHeight="1" thickTop="1" thickBot="1" x14ac:dyDescent="0.25">
      <c r="A14" s="695" t="s">
        <v>448</v>
      </c>
      <c r="B14" s="696"/>
      <c r="C14" s="697"/>
      <c r="D14" s="564"/>
      <c r="E14" s="697"/>
      <c r="F14" s="1725">
        <f t="shared" si="0"/>
        <v>0</v>
      </c>
    </row>
    <row r="15" spans="1:7" ht="14.25" thickTop="1" thickBot="1" x14ac:dyDescent="0.25">
      <c r="A15" s="2247" t="s">
        <v>631</v>
      </c>
      <c r="B15" s="2248"/>
      <c r="C15" s="1725">
        <f>SUM(C6:C14)</f>
        <v>0</v>
      </c>
      <c r="D15" s="1725">
        <f>SUM(D6:D14)</f>
        <v>0</v>
      </c>
      <c r="E15" s="1725">
        <f>SUM(E6:E14)</f>
        <v>0</v>
      </c>
      <c r="F15" s="1725">
        <f>SUM(F6:F14)</f>
        <v>0</v>
      </c>
      <c r="G15" s="540"/>
    </row>
    <row r="16" spans="1:7" s="202" customFormat="1" ht="15.75" customHeight="1" thickTop="1" x14ac:dyDescent="0.2">
      <c r="A16" s="2260" t="s">
        <v>1111</v>
      </c>
      <c r="B16" s="2250"/>
      <c r="C16" s="2244"/>
      <c r="D16" s="2245"/>
      <c r="E16" s="2245"/>
      <c r="F16" s="2246"/>
    </row>
    <row r="17" spans="1:11" ht="12.75" customHeight="1" thickBot="1" x14ac:dyDescent="0.25">
      <c r="A17" s="2242" t="s">
        <v>64</v>
      </c>
      <c r="B17" s="2243"/>
      <c r="C17" s="697"/>
      <c r="D17" s="564"/>
      <c r="E17" s="697"/>
      <c r="F17" s="1725">
        <f>SUM(C17+D17)-E17</f>
        <v>0</v>
      </c>
    </row>
    <row r="18" spans="1:11" ht="12.75" customHeight="1" thickTop="1" thickBot="1" x14ac:dyDescent="0.25">
      <c r="A18" s="2242" t="s">
        <v>6</v>
      </c>
      <c r="B18" s="2243"/>
      <c r="C18" s="697"/>
      <c r="D18" s="564"/>
      <c r="E18" s="697"/>
      <c r="F18" s="1725">
        <f>SUM(C18+D18)-E18</f>
        <v>0</v>
      </c>
    </row>
    <row r="19" spans="1:11" ht="12.75" customHeight="1" thickTop="1" thickBot="1" x14ac:dyDescent="0.25">
      <c r="A19" s="2242" t="s">
        <v>388</v>
      </c>
      <c r="B19" s="2243"/>
      <c r="C19" s="697"/>
      <c r="D19" s="564"/>
      <c r="E19" s="697"/>
      <c r="F19" s="1725">
        <f>SUM(C19+D19)-E19</f>
        <v>0</v>
      </c>
    </row>
    <row r="20" spans="1:11" ht="12.75" customHeight="1" thickTop="1" thickBot="1" x14ac:dyDescent="0.25">
      <c r="A20" s="2242" t="s">
        <v>448</v>
      </c>
      <c r="B20" s="2243"/>
      <c r="C20" s="697"/>
      <c r="D20" s="564"/>
      <c r="E20" s="697"/>
      <c r="F20" s="1725">
        <f>SUM(C20+D20)-E20</f>
        <v>0</v>
      </c>
    </row>
    <row r="21" spans="1:11" ht="14.25" thickTop="1" thickBot="1" x14ac:dyDescent="0.25">
      <c r="A21" s="2247" t="s">
        <v>632</v>
      </c>
      <c r="B21" s="2248"/>
      <c r="C21" s="1725">
        <f>SUM(C17:C20)</f>
        <v>0</v>
      </c>
      <c r="D21" s="1725">
        <f>SUM(D17:D20)</f>
        <v>0</v>
      </c>
      <c r="E21" s="1725">
        <f>SUM(E17:E20)</f>
        <v>0</v>
      </c>
      <c r="F21" s="1725">
        <f>SUM(F17:F20)</f>
        <v>0</v>
      </c>
      <c r="G21" s="540"/>
    </row>
    <row r="22" spans="1:11" ht="15.75" customHeight="1" thickTop="1" x14ac:dyDescent="0.2">
      <c r="A22" s="2249" t="s">
        <v>1112</v>
      </c>
      <c r="B22" s="2250"/>
      <c r="C22" s="2244"/>
      <c r="D22" s="2245"/>
      <c r="E22" s="2245"/>
      <c r="F22" s="2246"/>
    </row>
    <row r="23" spans="1:11" ht="13.5" thickBot="1" x14ac:dyDescent="0.25">
      <c r="A23" s="2251" t="s">
        <v>633</v>
      </c>
      <c r="B23" s="2252"/>
      <c r="C23" s="561"/>
      <c r="D23" s="561"/>
      <c r="E23" s="561"/>
      <c r="F23" s="1725">
        <f>SUM(C23+D23)-E23</f>
        <v>0</v>
      </c>
      <c r="G23" s="540"/>
    </row>
    <row r="24" spans="1:11" ht="15.75" customHeight="1" thickTop="1" x14ac:dyDescent="0.2">
      <c r="A24" s="2249" t="s">
        <v>1113</v>
      </c>
      <c r="B24" s="2250"/>
      <c r="C24" s="2244"/>
      <c r="D24" s="2245"/>
      <c r="E24" s="2245"/>
      <c r="F24" s="2246"/>
    </row>
    <row r="25" spans="1:11" ht="13.5" thickBot="1" x14ac:dyDescent="0.25">
      <c r="A25" s="2251" t="s">
        <v>634</v>
      </c>
      <c r="B25" s="2252"/>
      <c r="C25" s="561"/>
      <c r="D25" s="561"/>
      <c r="E25" s="561"/>
      <c r="F25" s="1725">
        <f>SUM(C25+D25)-E25</f>
        <v>0</v>
      </c>
      <c r="G25" s="540"/>
    </row>
    <row r="26" spans="1:11" ht="15.75" customHeight="1" thickTop="1" x14ac:dyDescent="0.2">
      <c r="A26" s="2255" t="s">
        <v>657</v>
      </c>
      <c r="B26" s="2250"/>
      <c r="C26" s="698"/>
      <c r="D26" s="698"/>
      <c r="E26" s="698"/>
      <c r="F26" s="699"/>
    </row>
    <row r="27" spans="1:11" ht="13.5" thickBot="1" x14ac:dyDescent="0.25">
      <c r="A27" s="2247" t="s">
        <v>1070</v>
      </c>
      <c r="B27" s="2248"/>
      <c r="C27" s="564"/>
      <c r="D27" s="564"/>
      <c r="E27" s="564"/>
      <c r="F27" s="1725">
        <f>SUM(C27+D27)-E27</f>
        <v>0</v>
      </c>
      <c r="G27" s="540"/>
    </row>
    <row r="28" spans="1:11" ht="7.5" customHeight="1" thickTop="1" x14ac:dyDescent="0.2">
      <c r="A28" s="569"/>
    </row>
    <row r="29" spans="1:11" ht="23.25" customHeight="1" x14ac:dyDescent="0.2">
      <c r="A29" s="2253" t="s">
        <v>582</v>
      </c>
      <c r="B29" s="2254"/>
      <c r="C29" s="700"/>
      <c r="D29" s="700"/>
      <c r="E29" s="700"/>
      <c r="F29" s="700"/>
      <c r="G29" s="700"/>
      <c r="H29" s="700"/>
      <c r="I29" s="700"/>
      <c r="J29" s="700"/>
    </row>
    <row r="30" spans="1:11" ht="33.75" x14ac:dyDescent="0.2">
      <c r="A30" s="1499" t="s">
        <v>1071</v>
      </c>
      <c r="B30" s="701" t="s">
        <v>1124</v>
      </c>
      <c r="C30" s="1851" t="s">
        <v>583</v>
      </c>
      <c r="D30" s="1851" t="s">
        <v>1673</v>
      </c>
      <c r="E30" s="1851" t="s">
        <v>1957</v>
      </c>
      <c r="F30" s="1851" t="s">
        <v>1958</v>
      </c>
      <c r="G30" s="1851" t="s">
        <v>1908</v>
      </c>
      <c r="H30" s="1851" t="s">
        <v>1959</v>
      </c>
      <c r="I30" s="1851" t="s">
        <v>1960</v>
      </c>
      <c r="J30" s="1852" t="s">
        <v>2</v>
      </c>
      <c r="K30" s="702"/>
    </row>
    <row r="31" spans="1:11" ht="12" customHeight="1" x14ac:dyDescent="0.2">
      <c r="A31" s="1932" t="s">
        <v>3822</v>
      </c>
      <c r="B31" s="1933" t="s">
        <v>3824</v>
      </c>
      <c r="C31" s="1934"/>
      <c r="D31" s="1935">
        <v>7</v>
      </c>
      <c r="E31" s="705">
        <v>554677</v>
      </c>
      <c r="F31" s="705"/>
      <c r="G31" s="1983">
        <v>157334</v>
      </c>
      <c r="H31" s="705">
        <v>235486</v>
      </c>
      <c r="I31" s="1726">
        <f>((E31+F31)-H31)+G31</f>
        <v>476525</v>
      </c>
      <c r="J31" s="705">
        <v>476525</v>
      </c>
      <c r="K31" s="707"/>
    </row>
    <row r="32" spans="1:11" ht="12" customHeight="1" x14ac:dyDescent="0.2">
      <c r="A32" s="1932" t="s">
        <v>3823</v>
      </c>
      <c r="B32" s="1933">
        <v>40483</v>
      </c>
      <c r="C32" s="1934">
        <v>7000000</v>
      </c>
      <c r="D32" s="1935">
        <v>6</v>
      </c>
      <c r="E32" s="705">
        <v>4520000</v>
      </c>
      <c r="F32" s="705"/>
      <c r="G32" s="705"/>
      <c r="H32" s="705">
        <v>4520000</v>
      </c>
      <c r="I32" s="1726">
        <f>((E32+F32)-H32)+G32</f>
        <v>0</v>
      </c>
      <c r="J32" s="705"/>
      <c r="K32" s="707"/>
    </row>
    <row r="33" spans="1:11" ht="12" customHeight="1" x14ac:dyDescent="0.2">
      <c r="A33" s="1932" t="s">
        <v>3825</v>
      </c>
      <c r="B33" s="1933">
        <v>42163</v>
      </c>
      <c r="C33" s="1934">
        <v>1410000</v>
      </c>
      <c r="D33" s="1935">
        <v>4</v>
      </c>
      <c r="E33" s="705">
        <v>1170000</v>
      </c>
      <c r="F33" s="705"/>
      <c r="G33" s="705"/>
      <c r="H33" s="705">
        <v>125000</v>
      </c>
      <c r="I33" s="1726">
        <f t="shared" ref="I33:I48" si="1">((E33+F33)-H33)+G33</f>
        <v>1045000</v>
      </c>
      <c r="J33" s="705">
        <v>1049004</v>
      </c>
      <c r="K33" s="707"/>
    </row>
    <row r="34" spans="1:11" ht="12" customHeight="1" x14ac:dyDescent="0.2">
      <c r="A34" s="1932" t="s">
        <v>3826</v>
      </c>
      <c r="B34" s="1933">
        <v>43146</v>
      </c>
      <c r="C34" s="1934">
        <v>1465000</v>
      </c>
      <c r="D34" s="1935">
        <v>1</v>
      </c>
      <c r="E34" s="705">
        <v>1465000</v>
      </c>
      <c r="F34" s="705"/>
      <c r="G34" s="705"/>
      <c r="H34" s="705"/>
      <c r="I34" s="1726">
        <f t="shared" si="1"/>
        <v>1465000</v>
      </c>
      <c r="J34" s="705">
        <v>1523819</v>
      </c>
      <c r="K34" s="708"/>
    </row>
    <row r="35" spans="1:11" ht="12" customHeight="1" x14ac:dyDescent="0.2">
      <c r="A35" s="1932" t="s">
        <v>3826</v>
      </c>
      <c r="B35" s="1933">
        <v>43146</v>
      </c>
      <c r="C35" s="1934">
        <v>4775000</v>
      </c>
      <c r="D35" s="1935">
        <v>1</v>
      </c>
      <c r="E35" s="709">
        <v>4775000</v>
      </c>
      <c r="F35" s="709"/>
      <c r="G35" s="709"/>
      <c r="H35" s="709">
        <v>2165000</v>
      </c>
      <c r="I35" s="1726">
        <f t="shared" si="1"/>
        <v>2610000</v>
      </c>
      <c r="J35" s="709">
        <v>2610480</v>
      </c>
      <c r="K35" s="708"/>
    </row>
    <row r="36" spans="1:11" ht="12" customHeight="1" x14ac:dyDescent="0.2">
      <c r="A36" s="1932" t="s">
        <v>3827</v>
      </c>
      <c r="B36" s="1933">
        <v>43473</v>
      </c>
      <c r="C36" s="1934">
        <v>4340000</v>
      </c>
      <c r="D36" s="1935">
        <v>3</v>
      </c>
      <c r="E36" s="705"/>
      <c r="F36" s="705">
        <v>4340000</v>
      </c>
      <c r="G36" s="705"/>
      <c r="H36" s="705"/>
      <c r="I36" s="1726">
        <f t="shared" si="1"/>
        <v>4340000</v>
      </c>
      <c r="J36" s="705">
        <v>4321443</v>
      </c>
      <c r="K36" s="710"/>
    </row>
    <row r="37" spans="1:11" ht="12" customHeight="1" x14ac:dyDescent="0.2">
      <c r="A37" s="703"/>
      <c r="B37" s="704"/>
      <c r="C37" s="467"/>
      <c r="D37" s="711"/>
      <c r="E37" s="467"/>
      <c r="F37" s="467"/>
      <c r="G37" s="467"/>
      <c r="H37" s="467"/>
      <c r="I37" s="1726">
        <f t="shared" si="1"/>
        <v>0</v>
      </c>
      <c r="J37" s="467"/>
      <c r="K37" s="708"/>
    </row>
    <row r="38" spans="1:11" ht="12" customHeight="1" x14ac:dyDescent="0.2">
      <c r="A38" s="703"/>
      <c r="B38" s="704"/>
      <c r="C38" s="705"/>
      <c r="D38" s="712"/>
      <c r="E38" s="713"/>
      <c r="F38" s="713"/>
      <c r="G38" s="713"/>
      <c r="H38" s="713"/>
      <c r="I38" s="1726">
        <f t="shared" si="1"/>
        <v>0</v>
      </c>
      <c r="J38" s="714" t="s">
        <v>264</v>
      </c>
      <c r="K38" s="715"/>
    </row>
    <row r="39" spans="1:11" ht="12" customHeight="1" x14ac:dyDescent="0.2">
      <c r="A39" s="703"/>
      <c r="B39" s="704"/>
      <c r="C39" s="705"/>
      <c r="D39" s="712"/>
      <c r="E39" s="713"/>
      <c r="F39" s="713"/>
      <c r="G39" s="713"/>
      <c r="H39" s="713"/>
      <c r="I39" s="1726">
        <f t="shared" si="1"/>
        <v>0</v>
      </c>
      <c r="J39" s="714"/>
      <c r="K39" s="715"/>
    </row>
    <row r="40" spans="1:11" ht="12" customHeight="1" x14ac:dyDescent="0.2">
      <c r="A40" s="703"/>
      <c r="B40" s="704"/>
      <c r="C40" s="705"/>
      <c r="D40" s="712"/>
      <c r="E40" s="713"/>
      <c r="F40" s="713"/>
      <c r="G40" s="713"/>
      <c r="H40" s="713"/>
      <c r="I40" s="1726">
        <f t="shared" si="1"/>
        <v>0</v>
      </c>
      <c r="J40" s="714"/>
      <c r="K40" s="715"/>
    </row>
    <row r="41" spans="1:11" ht="12" customHeight="1" x14ac:dyDescent="0.2">
      <c r="A41" s="703"/>
      <c r="B41" s="704"/>
      <c r="C41" s="705"/>
      <c r="D41" s="712"/>
      <c r="E41" s="713"/>
      <c r="F41" s="713"/>
      <c r="G41" s="713"/>
      <c r="H41" s="713"/>
      <c r="I41" s="1726">
        <f t="shared" si="1"/>
        <v>0</v>
      </c>
      <c r="J41" s="714"/>
      <c r="K41" s="715"/>
    </row>
    <row r="42" spans="1:11" ht="12" customHeight="1" x14ac:dyDescent="0.2">
      <c r="A42" s="703"/>
      <c r="B42" s="704"/>
      <c r="C42" s="705"/>
      <c r="D42" s="712"/>
      <c r="E42" s="713"/>
      <c r="F42" s="713"/>
      <c r="G42" s="713"/>
      <c r="H42" s="713"/>
      <c r="I42" s="1726">
        <f t="shared" si="1"/>
        <v>0</v>
      </c>
      <c r="J42" s="714"/>
      <c r="K42" s="715"/>
    </row>
    <row r="43" spans="1:11" ht="12" customHeight="1" x14ac:dyDescent="0.2">
      <c r="A43" s="703"/>
      <c r="B43" s="704"/>
      <c r="C43" s="705"/>
      <c r="D43" s="712"/>
      <c r="E43" s="713"/>
      <c r="F43" s="713"/>
      <c r="G43" s="713"/>
      <c r="H43" s="713"/>
      <c r="I43" s="1726">
        <f t="shared" si="1"/>
        <v>0</v>
      </c>
      <c r="J43" s="714"/>
      <c r="K43" s="715"/>
    </row>
    <row r="44" spans="1:11" ht="12" customHeight="1" x14ac:dyDescent="0.2">
      <c r="A44" s="703"/>
      <c r="B44" s="704"/>
      <c r="C44" s="705"/>
      <c r="D44" s="706"/>
      <c r="E44" s="705"/>
      <c r="F44" s="705"/>
      <c r="G44" s="705"/>
      <c r="H44" s="705"/>
      <c r="I44" s="1726">
        <f t="shared" si="1"/>
        <v>0</v>
      </c>
      <c r="J44" s="705"/>
      <c r="K44" s="708"/>
    </row>
    <row r="45" spans="1:11" ht="12" customHeight="1" x14ac:dyDescent="0.2">
      <c r="A45" s="703"/>
      <c r="B45" s="704"/>
      <c r="C45" s="705"/>
      <c r="D45" s="706"/>
      <c r="E45" s="705"/>
      <c r="F45" s="705"/>
      <c r="G45" s="705"/>
      <c r="H45" s="705"/>
      <c r="I45" s="1726">
        <f t="shared" si="1"/>
        <v>0</v>
      </c>
      <c r="J45" s="705"/>
      <c r="K45" s="708"/>
    </row>
    <row r="46" spans="1:11" ht="12" customHeight="1" x14ac:dyDescent="0.2">
      <c r="A46" s="703"/>
      <c r="B46" s="704"/>
      <c r="C46" s="705"/>
      <c r="D46" s="706"/>
      <c r="E46" s="705"/>
      <c r="F46" s="705"/>
      <c r="G46" s="705"/>
      <c r="H46" s="705"/>
      <c r="I46" s="1726">
        <f t="shared" si="1"/>
        <v>0</v>
      </c>
      <c r="J46" s="705"/>
      <c r="K46" s="708"/>
    </row>
    <row r="47" spans="1:11" ht="12" customHeight="1" x14ac:dyDescent="0.2">
      <c r="A47" s="703"/>
      <c r="B47" s="704"/>
      <c r="C47" s="709"/>
      <c r="D47" s="706"/>
      <c r="E47" s="709"/>
      <c r="F47" s="709"/>
      <c r="G47" s="709"/>
      <c r="H47" s="709"/>
      <c r="I47" s="1726">
        <f t="shared" si="1"/>
        <v>0</v>
      </c>
      <c r="J47" s="709"/>
      <c r="K47" s="708"/>
    </row>
    <row r="48" spans="1:11" ht="12" customHeight="1" x14ac:dyDescent="0.2">
      <c r="A48" s="703"/>
      <c r="B48" s="704"/>
      <c r="C48" s="705"/>
      <c r="D48" s="706"/>
      <c r="E48" s="705"/>
      <c r="F48" s="705"/>
      <c r="G48" s="705"/>
      <c r="H48" s="705"/>
      <c r="I48" s="1726">
        <f t="shared" si="1"/>
        <v>0</v>
      </c>
      <c r="J48" s="705"/>
      <c r="K48" s="708"/>
    </row>
    <row r="49" spans="1:11" ht="12" customHeight="1" x14ac:dyDescent="0.2">
      <c r="A49" s="703"/>
      <c r="B49" s="704"/>
      <c r="C49" s="1726">
        <f>SUM(C31:C48)</f>
        <v>18990000</v>
      </c>
      <c r="D49" s="716"/>
      <c r="E49" s="1726">
        <f t="shared" ref="E49:J49" si="2">SUM(E31:E48)</f>
        <v>12484677</v>
      </c>
      <c r="F49" s="1726">
        <f t="shared" si="2"/>
        <v>4340000</v>
      </c>
      <c r="G49" s="1726">
        <f t="shared" si="2"/>
        <v>157334</v>
      </c>
      <c r="H49" s="1726">
        <f t="shared" si="2"/>
        <v>7045486</v>
      </c>
      <c r="I49" s="1726">
        <f t="shared" si="2"/>
        <v>9936525</v>
      </c>
      <c r="J49" s="1726">
        <f t="shared" si="2"/>
        <v>9981271</v>
      </c>
      <c r="K49" s="708"/>
    </row>
    <row r="50" spans="1:11" ht="6" customHeight="1" x14ac:dyDescent="0.2">
      <c r="A50" s="717"/>
      <c r="B50" s="707"/>
      <c r="C50" s="707"/>
      <c r="D50" s="707"/>
      <c r="E50" s="707"/>
      <c r="F50" s="707"/>
      <c r="G50" s="707"/>
      <c r="H50" s="707"/>
      <c r="I50" s="707"/>
      <c r="J50" s="717"/>
    </row>
    <row r="51" spans="1:11" x14ac:dyDescent="0.2">
      <c r="A51" s="718" t="s">
        <v>1804</v>
      </c>
      <c r="B51" s="717"/>
      <c r="C51" s="708"/>
      <c r="D51" s="708"/>
      <c r="E51" s="708"/>
      <c r="F51" s="708"/>
      <c r="G51" s="708"/>
      <c r="H51" s="707"/>
      <c r="I51" s="707"/>
      <c r="J51" s="717"/>
    </row>
    <row r="52" spans="1:11" ht="11.25" customHeight="1" x14ac:dyDescent="0.2">
      <c r="A52" s="719" t="s">
        <v>912</v>
      </c>
      <c r="B52" s="2236" t="s">
        <v>584</v>
      </c>
      <c r="C52" s="2237"/>
      <c r="D52" s="2237"/>
      <c r="E52" s="720" t="s">
        <v>845</v>
      </c>
      <c r="F52" s="2238" t="s">
        <v>3822</v>
      </c>
      <c r="G52" s="2239"/>
      <c r="H52" s="707"/>
      <c r="I52" s="707"/>
      <c r="J52" s="717"/>
    </row>
    <row r="53" spans="1:11" ht="11.25" customHeight="1" x14ac:dyDescent="0.2">
      <c r="A53" s="721" t="s">
        <v>913</v>
      </c>
      <c r="B53" s="722" t="s">
        <v>951</v>
      </c>
      <c r="C53" s="717"/>
      <c r="D53" s="708"/>
      <c r="E53" s="720" t="s">
        <v>497</v>
      </c>
      <c r="F53" s="2240"/>
      <c r="G53" s="2241"/>
      <c r="H53" s="707"/>
      <c r="I53" s="707"/>
      <c r="J53" s="717"/>
    </row>
    <row r="54" spans="1:11" ht="11.25" customHeight="1" x14ac:dyDescent="0.2">
      <c r="A54" s="723" t="s">
        <v>914</v>
      </c>
      <c r="B54" s="718" t="s">
        <v>952</v>
      </c>
      <c r="C54" s="717"/>
      <c r="D54" s="708"/>
      <c r="E54" s="720" t="s">
        <v>498</v>
      </c>
      <c r="F54" s="2240"/>
      <c r="G54" s="2241"/>
      <c r="H54" s="707"/>
      <c r="I54" s="707"/>
      <c r="J54" s="717"/>
    </row>
    <row r="55" spans="1:11" ht="6" customHeight="1" x14ac:dyDescent="0.2">
      <c r="A55" s="708"/>
      <c r="B55" s="724"/>
      <c r="C55" s="725"/>
      <c r="D55" s="726"/>
      <c r="E55" s="727"/>
      <c r="F55" s="728"/>
      <c r="G55" s="717"/>
      <c r="H55" s="707"/>
      <c r="I55" s="707"/>
      <c r="J55" s="717"/>
    </row>
    <row r="56" spans="1:11" ht="11.25" customHeight="1" x14ac:dyDescent="0.2">
      <c r="A56" s="724"/>
      <c r="B56" s="729"/>
      <c r="C56" s="708"/>
      <c r="D56" s="708"/>
      <c r="E56" s="708"/>
      <c r="F56" s="708"/>
      <c r="G56" s="707"/>
      <c r="H56" s="707"/>
      <c r="I56" s="707"/>
      <c r="J56" s="717"/>
    </row>
    <row r="57" spans="1:11" ht="11.25" customHeight="1" x14ac:dyDescent="0.2">
      <c r="A57" s="708"/>
      <c r="B57" s="730"/>
      <c r="C57" s="708"/>
      <c r="D57" s="708"/>
      <c r="E57" s="708"/>
      <c r="F57" s="708"/>
      <c r="G57" s="707"/>
      <c r="H57" s="707"/>
      <c r="I57" s="707"/>
      <c r="J57" s="717"/>
    </row>
    <row r="58" spans="1:11" ht="11.25" customHeight="1" x14ac:dyDescent="0.2">
      <c r="A58" s="724"/>
      <c r="B58" s="729"/>
      <c r="C58" s="708"/>
      <c r="D58" s="708"/>
      <c r="E58" s="708"/>
      <c r="F58" s="708"/>
      <c r="G58" s="707"/>
      <c r="H58" s="707"/>
      <c r="I58" s="707"/>
      <c r="J58" s="717"/>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0"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F172" sqref="F17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5" t="s">
        <v>856</v>
      </c>
      <c r="B1" s="2266"/>
      <c r="C1" s="2266"/>
      <c r="D1" s="2266"/>
      <c r="E1" s="2266"/>
      <c r="F1" s="2266"/>
      <c r="G1" s="2267"/>
      <c r="H1" s="1500"/>
      <c r="I1" s="731"/>
      <c r="J1" s="433"/>
    </row>
    <row r="2" spans="1:11" ht="26.25" x14ac:dyDescent="0.2">
      <c r="A2" s="2284" t="s">
        <v>1677</v>
      </c>
      <c r="B2" s="2285"/>
      <c r="C2" s="2285"/>
      <c r="D2" s="2285"/>
      <c r="E2" s="2286"/>
      <c r="F2" s="732" t="s">
        <v>904</v>
      </c>
      <c r="G2" s="733" t="s">
        <v>1674</v>
      </c>
      <c r="H2" s="733" t="s">
        <v>410</v>
      </c>
      <c r="I2" s="733" t="s">
        <v>1158</v>
      </c>
      <c r="J2" s="733" t="s">
        <v>1809</v>
      </c>
      <c r="K2" s="733" t="s">
        <v>138</v>
      </c>
    </row>
    <row r="3" spans="1:11" x14ac:dyDescent="0.2">
      <c r="A3" s="2287" t="s">
        <v>1961</v>
      </c>
      <c r="B3" s="2288"/>
      <c r="C3" s="2288"/>
      <c r="D3" s="2288"/>
      <c r="E3" s="2289"/>
      <c r="F3" s="734"/>
      <c r="G3" s="735"/>
      <c r="H3" s="735"/>
      <c r="I3" s="735"/>
      <c r="J3" s="736"/>
      <c r="K3" s="736"/>
    </row>
    <row r="4" spans="1:11" x14ac:dyDescent="0.2">
      <c r="A4" s="2290" t="s">
        <v>369</v>
      </c>
      <c r="B4" s="2291"/>
      <c r="C4" s="2291"/>
      <c r="D4" s="2291"/>
      <c r="E4" s="2237"/>
      <c r="F4" s="737"/>
      <c r="G4" s="738"/>
      <c r="H4" s="739"/>
      <c r="I4" s="738"/>
      <c r="J4" s="740"/>
      <c r="K4" s="740"/>
    </row>
    <row r="5" spans="1:11" x14ac:dyDescent="0.2">
      <c r="A5" s="2268" t="s">
        <v>1069</v>
      </c>
      <c r="B5" s="2269"/>
      <c r="C5" s="2269"/>
      <c r="D5" s="2269"/>
      <c r="E5" s="2270"/>
      <c r="F5" s="741" t="s">
        <v>848</v>
      </c>
      <c r="G5" s="742"/>
      <c r="H5" s="735">
        <v>56214</v>
      </c>
      <c r="I5" s="743"/>
      <c r="J5" s="744"/>
      <c r="K5" s="744"/>
    </row>
    <row r="6" spans="1:11" x14ac:dyDescent="0.2">
      <c r="A6" s="745" t="s">
        <v>720</v>
      </c>
      <c r="B6" s="746"/>
      <c r="C6" s="746"/>
      <c r="D6" s="746"/>
      <c r="E6" s="747"/>
      <c r="F6" s="748" t="s">
        <v>849</v>
      </c>
      <c r="G6" s="735"/>
      <c r="H6" s="735"/>
      <c r="I6" s="735"/>
      <c r="J6" s="736"/>
      <c r="K6" s="736"/>
    </row>
    <row r="7" spans="1:11" x14ac:dyDescent="0.2">
      <c r="A7" s="749" t="s">
        <v>246</v>
      </c>
      <c r="B7" s="750"/>
      <c r="C7" s="750"/>
      <c r="D7" s="750"/>
      <c r="E7" s="751"/>
      <c r="F7" s="741" t="s">
        <v>850</v>
      </c>
      <c r="G7" s="738"/>
      <c r="H7" s="738"/>
      <c r="I7" s="738"/>
      <c r="J7" s="752"/>
      <c r="K7" s="736"/>
    </row>
    <row r="8" spans="1:11" x14ac:dyDescent="0.2">
      <c r="A8" s="749" t="s">
        <v>345</v>
      </c>
      <c r="B8" s="750"/>
      <c r="C8" s="750"/>
      <c r="D8" s="750"/>
      <c r="E8" s="751"/>
      <c r="F8" s="741" t="s">
        <v>851</v>
      </c>
      <c r="G8" s="753"/>
      <c r="H8" s="753"/>
      <c r="I8" s="753"/>
      <c r="J8" s="736"/>
      <c r="K8" s="740"/>
    </row>
    <row r="9" spans="1:11" x14ac:dyDescent="0.2">
      <c r="A9" s="749" t="s">
        <v>138</v>
      </c>
      <c r="B9" s="750"/>
      <c r="C9" s="750"/>
      <c r="D9" s="750"/>
      <c r="E9" s="751"/>
      <c r="F9" s="748" t="s">
        <v>853</v>
      </c>
      <c r="G9" s="753"/>
      <c r="H9" s="742"/>
      <c r="I9" s="742"/>
      <c r="J9" s="752"/>
      <c r="K9" s="736"/>
    </row>
    <row r="10" spans="1:11" x14ac:dyDescent="0.2">
      <c r="A10" s="2268" t="s">
        <v>1810</v>
      </c>
      <c r="B10" s="2269"/>
      <c r="C10" s="2269"/>
      <c r="D10" s="2269"/>
      <c r="E10" s="2271"/>
      <c r="F10" s="754" t="s">
        <v>862</v>
      </c>
      <c r="G10" s="753"/>
      <c r="H10" s="755"/>
      <c r="I10" s="735"/>
      <c r="J10" s="736"/>
      <c r="K10" s="736"/>
    </row>
    <row r="11" spans="1:11" x14ac:dyDescent="0.2">
      <c r="A11" s="2268" t="s">
        <v>160</v>
      </c>
      <c r="B11" s="2269"/>
      <c r="C11" s="2269"/>
      <c r="D11" s="2269"/>
      <c r="E11" s="2270"/>
      <c r="F11" s="741" t="s">
        <v>852</v>
      </c>
      <c r="G11" s="742"/>
      <c r="H11" s="735"/>
      <c r="I11" s="735"/>
      <c r="J11" s="736"/>
      <c r="K11" s="744"/>
    </row>
    <row r="12" spans="1:11" ht="13.5" thickBot="1" x14ac:dyDescent="0.25">
      <c r="A12" s="2295" t="s">
        <v>905</v>
      </c>
      <c r="B12" s="2296"/>
      <c r="C12" s="2296"/>
      <c r="D12" s="2296"/>
      <c r="E12" s="2297"/>
      <c r="F12" s="1727"/>
      <c r="G12" s="1728">
        <f>SUM(G5:G11)</f>
        <v>0</v>
      </c>
      <c r="H12" s="1728">
        <f>SUM(H5:H11)</f>
        <v>56214</v>
      </c>
      <c r="I12" s="1728">
        <f>SUM(I5:I11)</f>
        <v>0</v>
      </c>
      <c r="J12" s="1728">
        <f>SUM(J5:J11)</f>
        <v>0</v>
      </c>
      <c r="K12" s="1728">
        <f>SUM(K5:K11)</f>
        <v>0</v>
      </c>
    </row>
    <row r="13" spans="1:11" ht="13.5" thickTop="1" x14ac:dyDescent="0.2">
      <c r="A13" s="2292" t="s">
        <v>370</v>
      </c>
      <c r="B13" s="2293"/>
      <c r="C13" s="2293"/>
      <c r="D13" s="2293"/>
      <c r="E13" s="2294"/>
      <c r="F13" s="756"/>
      <c r="G13" s="757"/>
      <c r="H13" s="758"/>
      <c r="I13" s="759"/>
      <c r="J13" s="759"/>
      <c r="K13" s="759"/>
    </row>
    <row r="14" spans="1:11" x14ac:dyDescent="0.2">
      <c r="A14" s="2275" t="s">
        <v>456</v>
      </c>
      <c r="B14" s="2275"/>
      <c r="C14" s="2275"/>
      <c r="D14" s="2275"/>
      <c r="E14" s="2276"/>
      <c r="F14" s="760" t="s">
        <v>854</v>
      </c>
      <c r="G14" s="753"/>
      <c r="H14" s="735">
        <f>H12</f>
        <v>56214</v>
      </c>
      <c r="I14" s="742"/>
      <c r="J14" s="744"/>
      <c r="K14" s="736"/>
    </row>
    <row r="15" spans="1:11" x14ac:dyDescent="0.2">
      <c r="A15" s="2269" t="s">
        <v>4</v>
      </c>
      <c r="B15" s="2269"/>
      <c r="C15" s="2269"/>
      <c r="D15" s="2269"/>
      <c r="E15" s="2270"/>
      <c r="F15" s="760" t="s">
        <v>855</v>
      </c>
      <c r="G15" s="742"/>
      <c r="H15" s="735"/>
      <c r="I15" s="735"/>
      <c r="J15" s="736"/>
      <c r="K15" s="736"/>
    </row>
    <row r="16" spans="1:11" x14ac:dyDescent="0.2">
      <c r="A16" s="2269" t="s">
        <v>298</v>
      </c>
      <c r="B16" s="2269"/>
      <c r="C16" s="2269"/>
      <c r="D16" s="2269"/>
      <c r="E16" s="2270"/>
      <c r="F16" s="760" t="s">
        <v>923</v>
      </c>
      <c r="G16" s="743"/>
      <c r="H16" s="738"/>
      <c r="I16" s="738"/>
      <c r="J16" s="740"/>
      <c r="K16" s="740"/>
    </row>
    <row r="17" spans="1:11" x14ac:dyDescent="0.2">
      <c r="A17" s="2300" t="s">
        <v>935</v>
      </c>
      <c r="B17" s="2300"/>
      <c r="C17" s="2300"/>
      <c r="D17" s="2300"/>
      <c r="E17" s="2301"/>
      <c r="F17" s="761"/>
      <c r="G17" s="762"/>
      <c r="H17" s="763"/>
      <c r="I17" s="763"/>
      <c r="J17" s="764"/>
      <c r="K17" s="765"/>
    </row>
    <row r="18" spans="1:11" x14ac:dyDescent="0.2">
      <c r="A18" s="2279" t="s">
        <v>368</v>
      </c>
      <c r="B18" s="2280"/>
      <c r="C18" s="2280"/>
      <c r="D18" s="2280"/>
      <c r="E18" s="2281"/>
      <c r="F18" s="760" t="s">
        <v>932</v>
      </c>
      <c r="G18" s="753"/>
      <c r="H18" s="753"/>
      <c r="I18" s="753"/>
      <c r="J18" s="736"/>
      <c r="K18" s="766"/>
    </row>
    <row r="19" spans="1:11" ht="21.75" customHeight="1" x14ac:dyDescent="0.2">
      <c r="A19" s="2277" t="s">
        <v>1806</v>
      </c>
      <c r="B19" s="2277"/>
      <c r="C19" s="2277"/>
      <c r="D19" s="2277"/>
      <c r="E19" s="2278"/>
      <c r="F19" s="760" t="s">
        <v>933</v>
      </c>
      <c r="G19" s="753"/>
      <c r="H19" s="753"/>
      <c r="I19" s="753"/>
      <c r="J19" s="736"/>
      <c r="K19" s="766"/>
    </row>
    <row r="20" spans="1:11" x14ac:dyDescent="0.2">
      <c r="A20" s="2279" t="s">
        <v>1811</v>
      </c>
      <c r="B20" s="2280"/>
      <c r="C20" s="2280"/>
      <c r="D20" s="2280"/>
      <c r="E20" s="2281"/>
      <c r="F20" s="760" t="s">
        <v>934</v>
      </c>
      <c r="G20" s="753"/>
      <c r="H20" s="753"/>
      <c r="I20" s="753"/>
      <c r="J20" s="736"/>
      <c r="K20" s="766"/>
    </row>
    <row r="21" spans="1:11" ht="13.5" thickBot="1" x14ac:dyDescent="0.25">
      <c r="A21" s="2298" t="s">
        <v>638</v>
      </c>
      <c r="B21" s="2298"/>
      <c r="C21" s="2298"/>
      <c r="D21" s="2298"/>
      <c r="E21" s="2298"/>
      <c r="F21" s="1729"/>
      <c r="G21" s="763"/>
      <c r="H21" s="767"/>
      <c r="I21" s="767"/>
      <c r="J21" s="1730">
        <f>SUM(J18:J20)</f>
        <v>0</v>
      </c>
      <c r="K21" s="764"/>
    </row>
    <row r="22" spans="1:11" ht="13.5" thickTop="1" x14ac:dyDescent="0.2">
      <c r="A22" s="2269" t="s">
        <v>1812</v>
      </c>
      <c r="B22" s="2269"/>
      <c r="C22" s="2269"/>
      <c r="D22" s="2269"/>
      <c r="E22" s="2270"/>
      <c r="F22" s="760" t="s">
        <v>862</v>
      </c>
      <c r="G22" s="753"/>
      <c r="H22" s="735"/>
      <c r="I22" s="735"/>
      <c r="J22" s="768"/>
      <c r="K22" s="736"/>
    </row>
    <row r="23" spans="1:11" ht="13.5" thickBot="1" x14ac:dyDescent="0.25">
      <c r="A23" s="2299" t="s">
        <v>906</v>
      </c>
      <c r="B23" s="2298"/>
      <c r="C23" s="2298"/>
      <c r="D23" s="2298"/>
      <c r="E23" s="2298"/>
      <c r="F23" s="1731"/>
      <c r="G23" s="1728">
        <f>SUM(G14:G16,G21,G22)</f>
        <v>0</v>
      </c>
      <c r="H23" s="1728">
        <f>SUM(H14:H16,H21,H22)</f>
        <v>56214</v>
      </c>
      <c r="I23" s="1728">
        <f>SUM(I14:I16,I21,I22)</f>
        <v>0</v>
      </c>
      <c r="J23" s="1728">
        <f>SUM(J14:J16,J21,J22)</f>
        <v>0</v>
      </c>
      <c r="K23" s="1728">
        <f>SUM(K14:K16,K21,K22)</f>
        <v>0</v>
      </c>
    </row>
    <row r="24" spans="1:11" ht="14.25" thickTop="1" thickBot="1" x14ac:dyDescent="0.25">
      <c r="A24" s="2299" t="s">
        <v>1962</v>
      </c>
      <c r="B24" s="2298"/>
      <c r="C24" s="2298"/>
      <c r="D24" s="2298"/>
      <c r="E24" s="2298"/>
      <c r="F24" s="1732"/>
      <c r="G24" s="1733">
        <f>SUM(G3,G12)-G23</f>
        <v>0</v>
      </c>
      <c r="H24" s="1733">
        <f>SUM(H3,H12)-H23</f>
        <v>0</v>
      </c>
      <c r="I24" s="1733">
        <f>SUM(I3,I12)-I23</f>
        <v>0</v>
      </c>
      <c r="J24" s="1733">
        <f>SUM(J3,J12)-J23</f>
        <v>0</v>
      </c>
      <c r="K24" s="1733">
        <f>SUM(K3,K12)-K23</f>
        <v>0</v>
      </c>
    </row>
    <row r="25" spans="1:11" ht="13.5" thickTop="1" x14ac:dyDescent="0.2">
      <c r="A25" s="769" t="s">
        <v>420</v>
      </c>
      <c r="B25" s="770"/>
      <c r="C25" s="770"/>
      <c r="D25" s="770"/>
      <c r="E25" s="771"/>
      <c r="F25" s="772">
        <v>714</v>
      </c>
      <c r="G25" s="773"/>
      <c r="H25" s="773"/>
      <c r="I25" s="773"/>
      <c r="J25" s="768"/>
      <c r="K25" s="768"/>
    </row>
    <row r="26" spans="1:11" ht="13.5" thickBot="1" x14ac:dyDescent="0.25">
      <c r="A26" s="769" t="s">
        <v>342</v>
      </c>
      <c r="B26" s="770"/>
      <c r="C26" s="770"/>
      <c r="D26" s="770"/>
      <c r="E26" s="771"/>
      <c r="F26" s="772">
        <v>730</v>
      </c>
      <c r="G26" s="1728">
        <f>G24-G25</f>
        <v>0</v>
      </c>
      <c r="H26" s="1728">
        <f>H24-H25</f>
        <v>0</v>
      </c>
      <c r="I26" s="1728">
        <f>I24-I25</f>
        <v>0</v>
      </c>
      <c r="J26" s="1728">
        <f>J24-J25</f>
        <v>0</v>
      </c>
      <c r="K26" s="1728">
        <f>K24-K25</f>
        <v>0</v>
      </c>
    </row>
    <row r="27" spans="1:11" ht="5.25" customHeight="1" thickTop="1" x14ac:dyDescent="0.2">
      <c r="I27" s="202"/>
      <c r="J27" s="202"/>
    </row>
    <row r="28" spans="1:11" ht="29.25" customHeight="1" x14ac:dyDescent="0.2">
      <c r="A28" s="1846" t="s">
        <v>1907</v>
      </c>
      <c r="B28" s="1847"/>
      <c r="C28" s="1847"/>
      <c r="D28" s="1847"/>
      <c r="E28" s="1848"/>
      <c r="F28" s="774"/>
      <c r="G28" s="775"/>
    </row>
    <row r="29" spans="1:11" x14ac:dyDescent="0.2">
      <c r="B29" s="494"/>
      <c r="C29" s="494"/>
      <c r="D29" s="494"/>
      <c r="F29" s="202"/>
      <c r="G29" s="776"/>
    </row>
    <row r="30" spans="1:11" x14ac:dyDescent="0.2">
      <c r="A30" s="777" t="s">
        <v>572</v>
      </c>
      <c r="B30" s="778"/>
      <c r="C30" s="777" t="s">
        <v>383</v>
      </c>
      <c r="D30" s="778"/>
      <c r="E30" s="779" t="s">
        <v>768</v>
      </c>
      <c r="F30" s="202"/>
      <c r="G30" s="776"/>
    </row>
    <row r="31" spans="1:11" x14ac:dyDescent="0.2">
      <c r="A31" s="780"/>
      <c r="D31" s="237"/>
      <c r="E31" s="781" t="s">
        <v>769</v>
      </c>
      <c r="F31" s="782" t="s">
        <v>539</v>
      </c>
      <c r="G31" s="735"/>
      <c r="H31" s="2272"/>
      <c r="I31" s="2273"/>
      <c r="J31" s="2273"/>
      <c r="K31" s="2273"/>
    </row>
    <row r="32" spans="1:11" x14ac:dyDescent="0.2">
      <c r="A32" s="780"/>
      <c r="B32" s="237"/>
      <c r="C32" s="237"/>
      <c r="D32" s="237"/>
      <c r="E32" s="776"/>
      <c r="F32" s="782" t="s">
        <v>540</v>
      </c>
      <c r="G32" s="735"/>
      <c r="H32" s="2274"/>
      <c r="I32" s="2273"/>
      <c r="J32" s="2273"/>
      <c r="K32" s="2273"/>
    </row>
    <row r="33" spans="1:11" ht="1.5" customHeight="1" x14ac:dyDescent="0.2">
      <c r="A33" s="783" t="s">
        <v>1169</v>
      </c>
      <c r="B33" s="364"/>
      <c r="C33" s="364"/>
      <c r="D33" s="364"/>
      <c r="E33" s="364"/>
      <c r="F33" s="364"/>
      <c r="G33" s="784"/>
      <c r="H33" s="2274"/>
      <c r="I33" s="2273"/>
      <c r="J33" s="2273"/>
      <c r="K33" s="2273"/>
    </row>
    <row r="34" spans="1:11" x14ac:dyDescent="0.2">
      <c r="A34" s="785" t="s">
        <v>1813</v>
      </c>
      <c r="B34" s="364"/>
      <c r="C34" s="364"/>
      <c r="D34" s="364"/>
      <c r="E34" s="364"/>
      <c r="F34" s="364"/>
      <c r="G34" s="784"/>
    </row>
    <row r="35" spans="1:11" ht="15" x14ac:dyDescent="0.2">
      <c r="A35" s="796" t="s">
        <v>907</v>
      </c>
      <c r="B35" s="786"/>
      <c r="C35" s="786"/>
      <c r="D35" s="786"/>
      <c r="E35" s="786"/>
      <c r="F35" s="786"/>
      <c r="G35" s="787"/>
      <c r="H35" s="788"/>
    </row>
    <row r="36" spans="1:11" x14ac:dyDescent="0.2">
      <c r="A36" s="749" t="s">
        <v>1109</v>
      </c>
      <c r="B36" s="789"/>
      <c r="C36" s="789"/>
      <c r="D36" s="789"/>
      <c r="E36" s="789"/>
      <c r="F36" s="790"/>
      <c r="G36" s="736"/>
    </row>
    <row r="37" spans="1:11" x14ac:dyDescent="0.2">
      <c r="A37" s="791" t="s">
        <v>896</v>
      </c>
      <c r="B37" s="789"/>
      <c r="C37" s="789"/>
      <c r="D37" s="789"/>
      <c r="E37" s="789"/>
      <c r="F37" s="790"/>
      <c r="G37" s="736"/>
    </row>
    <row r="38" spans="1:11" x14ac:dyDescent="0.2">
      <c r="A38" s="791" t="s">
        <v>993</v>
      </c>
      <c r="B38" s="789"/>
      <c r="C38" s="789"/>
      <c r="D38" s="789"/>
      <c r="E38" s="789"/>
      <c r="F38" s="790"/>
      <c r="G38" s="736"/>
    </row>
    <row r="39" spans="1:11" x14ac:dyDescent="0.2">
      <c r="A39" s="791" t="s">
        <v>994</v>
      </c>
      <c r="B39" s="789"/>
      <c r="C39" s="789"/>
      <c r="D39" s="789"/>
      <c r="E39" s="789"/>
      <c r="F39" s="790"/>
      <c r="G39" s="736"/>
    </row>
    <row r="40" spans="1:11" x14ac:dyDescent="0.2">
      <c r="A40" s="791" t="s">
        <v>995</v>
      </c>
      <c r="B40" s="789"/>
      <c r="C40" s="789"/>
      <c r="D40" s="789"/>
      <c r="E40" s="789"/>
      <c r="F40" s="790"/>
      <c r="G40" s="736"/>
    </row>
    <row r="41" spans="1:11" x14ac:dyDescent="0.2">
      <c r="A41" s="2269" t="s">
        <v>541</v>
      </c>
      <c r="B41" s="2282"/>
      <c r="C41" s="2282"/>
      <c r="D41" s="2282"/>
      <c r="E41" s="2282"/>
      <c r="F41" s="2283"/>
      <c r="G41" s="736"/>
    </row>
    <row r="42" spans="1:11" x14ac:dyDescent="0.2">
      <c r="A42" s="791" t="s">
        <v>970</v>
      </c>
      <c r="B42" s="789"/>
      <c r="C42" s="789"/>
      <c r="D42" s="789"/>
      <c r="E42" s="789"/>
      <c r="F42" s="790"/>
      <c r="G42" s="736"/>
    </row>
    <row r="43" spans="1:11" x14ac:dyDescent="0.2">
      <c r="A43" s="791" t="s">
        <v>971</v>
      </c>
      <c r="B43" s="789"/>
      <c r="C43" s="789"/>
      <c r="D43" s="789"/>
      <c r="E43" s="789"/>
      <c r="F43" s="790"/>
      <c r="G43" s="736"/>
    </row>
    <row r="44" spans="1:11" x14ac:dyDescent="0.2">
      <c r="A44" s="791" t="s">
        <v>972</v>
      </c>
      <c r="B44" s="789"/>
      <c r="C44" s="789"/>
      <c r="D44" s="789"/>
      <c r="E44" s="789"/>
      <c r="F44" s="790"/>
      <c r="G44" s="736"/>
    </row>
    <row r="45" spans="1:11" ht="6.75" customHeight="1" x14ac:dyDescent="0.2"/>
    <row r="46" spans="1:11" ht="15" x14ac:dyDescent="0.2">
      <c r="A46" s="1501" t="s">
        <v>1807</v>
      </c>
      <c r="B46" s="408" t="s">
        <v>1675</v>
      </c>
    </row>
    <row r="47" spans="1:11" s="794" customFormat="1" ht="12.75" customHeight="1" x14ac:dyDescent="0.2">
      <c r="A47" s="792"/>
      <c r="B47" s="793" t="s">
        <v>1676</v>
      </c>
      <c r="E47" s="793"/>
      <c r="K47" s="795"/>
    </row>
    <row r="48" spans="1:11" ht="12.75" customHeight="1" x14ac:dyDescent="0.2">
      <c r="A48" s="150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72" sqref="F172"/>
    </sheetView>
  </sheetViews>
  <sheetFormatPr defaultColWidth="9.140625" defaultRowHeight="12.75" x14ac:dyDescent="0.2"/>
  <cols>
    <col min="1" max="1" width="28.85546875" style="77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4" t="s">
        <v>1906</v>
      </c>
      <c r="B1" s="2305"/>
      <c r="C1" s="2306"/>
      <c r="D1" s="797"/>
      <c r="E1" s="798"/>
      <c r="F1" s="798"/>
      <c r="G1" s="799"/>
      <c r="H1" s="800"/>
      <c r="I1" s="801"/>
      <c r="J1" s="2302"/>
      <c r="K1" s="2303"/>
      <c r="L1" s="2303"/>
    </row>
    <row r="2" spans="1:14" ht="69.75" customHeight="1" x14ac:dyDescent="0.2">
      <c r="A2" s="802" t="s">
        <v>1678</v>
      </c>
      <c r="B2" s="803" t="s">
        <v>378</v>
      </c>
      <c r="C2" s="804" t="s">
        <v>1963</v>
      </c>
      <c r="D2" s="804" t="s">
        <v>1964</v>
      </c>
      <c r="E2" s="804" t="s">
        <v>1965</v>
      </c>
      <c r="F2" s="804" t="s">
        <v>1966</v>
      </c>
      <c r="G2" s="804" t="s">
        <v>605</v>
      </c>
      <c r="H2" s="804" t="s">
        <v>1967</v>
      </c>
      <c r="I2" s="804" t="s">
        <v>1968</v>
      </c>
      <c r="J2" s="804" t="s">
        <v>1969</v>
      </c>
      <c r="K2" s="804" t="s">
        <v>1970</v>
      </c>
      <c r="L2" s="804" t="s">
        <v>1971</v>
      </c>
      <c r="M2" s="805"/>
      <c r="N2" s="805"/>
    </row>
    <row r="3" spans="1:14" ht="13.5" thickBot="1" x14ac:dyDescent="0.25">
      <c r="A3" s="1599" t="s">
        <v>892</v>
      </c>
      <c r="B3" s="1600">
        <v>210</v>
      </c>
      <c r="C3" s="806">
        <v>0</v>
      </c>
      <c r="D3" s="806"/>
      <c r="E3" s="806"/>
      <c r="F3" s="1730">
        <f>(C3+D3)-E3</f>
        <v>0</v>
      </c>
      <c r="G3" s="807"/>
      <c r="H3" s="806">
        <v>0</v>
      </c>
      <c r="I3" s="806"/>
      <c r="J3" s="806"/>
      <c r="K3" s="1739">
        <f>(H3+I3)-J3</f>
        <v>0</v>
      </c>
      <c r="L3" s="1739">
        <f>F3-K3</f>
        <v>0</v>
      </c>
      <c r="M3" s="805"/>
      <c r="N3" s="805"/>
    </row>
    <row r="4" spans="1:14" ht="15" customHeight="1" thickTop="1" x14ac:dyDescent="0.2">
      <c r="A4" s="1601" t="s">
        <v>158</v>
      </c>
      <c r="B4" s="1600">
        <v>220</v>
      </c>
      <c r="C4" s="752"/>
      <c r="D4" s="752"/>
      <c r="E4" s="752"/>
      <c r="F4" s="744"/>
      <c r="G4" s="808"/>
      <c r="H4" s="809"/>
      <c r="I4" s="809"/>
      <c r="J4" s="809"/>
      <c r="K4" s="810"/>
      <c r="L4" s="744"/>
    </row>
    <row r="5" spans="1:14" ht="13.5" thickBot="1" x14ac:dyDescent="0.25">
      <c r="A5" s="749" t="s">
        <v>893</v>
      </c>
      <c r="B5" s="811">
        <v>221</v>
      </c>
      <c r="C5" s="812">
        <v>1150441</v>
      </c>
      <c r="D5" s="812"/>
      <c r="E5" s="812"/>
      <c r="F5" s="1730">
        <f>(C5+D5)-E5</f>
        <v>1150441</v>
      </c>
      <c r="G5" s="808"/>
      <c r="H5" s="813"/>
      <c r="I5" s="813"/>
      <c r="J5" s="813"/>
      <c r="K5" s="764"/>
      <c r="L5" s="1739">
        <f>F5-K5</f>
        <v>1150441</v>
      </c>
    </row>
    <row r="6" spans="1:14" ht="14.25" thickTop="1" thickBot="1" x14ac:dyDescent="0.25">
      <c r="A6" s="749" t="s">
        <v>1117</v>
      </c>
      <c r="B6" s="811">
        <v>222</v>
      </c>
      <c r="C6" s="736">
        <v>0</v>
      </c>
      <c r="D6" s="736"/>
      <c r="E6" s="736"/>
      <c r="F6" s="1730">
        <f>(C6+D6)-E6</f>
        <v>0</v>
      </c>
      <c r="G6" s="808">
        <v>50</v>
      </c>
      <c r="H6" s="736">
        <v>0</v>
      </c>
      <c r="I6" s="736"/>
      <c r="J6" s="736"/>
      <c r="K6" s="1739">
        <f>(H6+I6)-J6</f>
        <v>0</v>
      </c>
      <c r="L6" s="1739">
        <f>F6-K6</f>
        <v>0</v>
      </c>
    </row>
    <row r="7" spans="1:14" ht="15" customHeight="1" thickTop="1" x14ac:dyDescent="0.2">
      <c r="A7" s="1601" t="s">
        <v>159</v>
      </c>
      <c r="B7" s="1600">
        <v>230</v>
      </c>
      <c r="C7" s="752"/>
      <c r="D7" s="752"/>
      <c r="E7" s="752"/>
      <c r="F7" s="744"/>
      <c r="G7" s="814"/>
      <c r="H7" s="752"/>
      <c r="I7" s="752"/>
      <c r="J7" s="752"/>
      <c r="K7" s="744"/>
      <c r="L7" s="744"/>
    </row>
    <row r="8" spans="1:14" ht="13.5" thickBot="1" x14ac:dyDescent="0.25">
      <c r="A8" s="749" t="s">
        <v>1118</v>
      </c>
      <c r="B8" s="811">
        <v>231</v>
      </c>
      <c r="C8" s="815">
        <v>42500911</v>
      </c>
      <c r="D8" s="815">
        <v>710159</v>
      </c>
      <c r="E8" s="815"/>
      <c r="F8" s="1730">
        <f>(C8+D8)-E8</f>
        <v>43211070</v>
      </c>
      <c r="G8" s="814">
        <v>50</v>
      </c>
      <c r="H8" s="736">
        <v>11848342</v>
      </c>
      <c r="I8" s="736">
        <v>821034</v>
      </c>
      <c r="J8" s="736"/>
      <c r="K8" s="1739">
        <f>(H8+I8)-J8</f>
        <v>12669376</v>
      </c>
      <c r="L8" s="1739">
        <f>F8-K8</f>
        <v>30541694</v>
      </c>
    </row>
    <row r="9" spans="1:14" ht="14.25" thickTop="1" thickBot="1" x14ac:dyDescent="0.25">
      <c r="A9" s="749" t="s">
        <v>1119</v>
      </c>
      <c r="B9" s="811">
        <v>232</v>
      </c>
      <c r="C9" s="736">
        <v>0</v>
      </c>
      <c r="D9" s="736"/>
      <c r="E9" s="736"/>
      <c r="F9" s="1730">
        <f>(C9+D9)-E9</f>
        <v>0</v>
      </c>
      <c r="G9" s="814">
        <v>20</v>
      </c>
      <c r="H9" s="736">
        <v>0</v>
      </c>
      <c r="I9" s="736"/>
      <c r="J9" s="736"/>
      <c r="K9" s="1739">
        <f>(H9+I9)-J9</f>
        <v>0</v>
      </c>
      <c r="L9" s="1739">
        <f>F9-K9</f>
        <v>0</v>
      </c>
    </row>
    <row r="10" spans="1:14" ht="24" thickTop="1" thickBot="1" x14ac:dyDescent="0.25">
      <c r="A10" s="816" t="s">
        <v>1120</v>
      </c>
      <c r="B10" s="811">
        <v>240</v>
      </c>
      <c r="C10" s="817">
        <v>611530</v>
      </c>
      <c r="D10" s="817">
        <v>7575</v>
      </c>
      <c r="E10" s="817"/>
      <c r="F10" s="1734">
        <f>(C10+D10)-E10</f>
        <v>619105</v>
      </c>
      <c r="G10" s="814">
        <v>20</v>
      </c>
      <c r="H10" s="818">
        <v>349856</v>
      </c>
      <c r="I10" s="818">
        <v>21318</v>
      </c>
      <c r="J10" s="818"/>
      <c r="K10" s="1739">
        <f>(H10+I10)-J10</f>
        <v>371174</v>
      </c>
      <c r="L10" s="1739">
        <f>F10-K10</f>
        <v>247931</v>
      </c>
    </row>
    <row r="11" spans="1:14" ht="13.5" thickTop="1" x14ac:dyDescent="0.2">
      <c r="A11" s="1602" t="s">
        <v>1136</v>
      </c>
      <c r="B11" s="1600">
        <v>250</v>
      </c>
      <c r="C11" s="752"/>
      <c r="D11" s="752"/>
      <c r="E11" s="752"/>
      <c r="F11" s="744"/>
      <c r="G11" s="814"/>
      <c r="H11" s="752"/>
      <c r="I11" s="752"/>
      <c r="J11" s="752"/>
      <c r="K11" s="744"/>
      <c r="L11" s="744"/>
    </row>
    <row r="12" spans="1:14" ht="13.5" thickBot="1" x14ac:dyDescent="0.25">
      <c r="A12" s="819" t="s">
        <v>1121</v>
      </c>
      <c r="B12" s="811">
        <v>251</v>
      </c>
      <c r="C12" s="815">
        <v>3081565</v>
      </c>
      <c r="D12" s="815">
        <v>485641</v>
      </c>
      <c r="E12" s="815">
        <v>125228</v>
      </c>
      <c r="F12" s="1730">
        <f>(C12+D12)-E12</f>
        <v>3441978</v>
      </c>
      <c r="G12" s="814">
        <v>10</v>
      </c>
      <c r="H12" s="736">
        <v>1472403</v>
      </c>
      <c r="I12" s="736">
        <v>344197</v>
      </c>
      <c r="J12" s="736">
        <v>125228</v>
      </c>
      <c r="K12" s="1739">
        <f>(H12+I12)-J12</f>
        <v>1691372</v>
      </c>
      <c r="L12" s="1739">
        <f>F12-K12</f>
        <v>1750606</v>
      </c>
    </row>
    <row r="13" spans="1:14" ht="14.25" thickTop="1" thickBot="1" x14ac:dyDescent="0.25">
      <c r="A13" s="819" t="s">
        <v>1122</v>
      </c>
      <c r="B13" s="811">
        <v>252</v>
      </c>
      <c r="C13" s="815">
        <v>2843737</v>
      </c>
      <c r="D13" s="815"/>
      <c r="E13" s="815">
        <v>151012</v>
      </c>
      <c r="F13" s="1730">
        <f>(C13+D13)-E13</f>
        <v>2692725</v>
      </c>
      <c r="G13" s="814">
        <v>5</v>
      </c>
      <c r="H13" s="736">
        <v>1910352</v>
      </c>
      <c r="I13" s="736">
        <v>268425</v>
      </c>
      <c r="J13" s="736">
        <v>151012</v>
      </c>
      <c r="K13" s="1739">
        <f>(H13+I13)-J13</f>
        <v>2027765</v>
      </c>
      <c r="L13" s="1739">
        <f>F13-K13</f>
        <v>664960</v>
      </c>
    </row>
    <row r="14" spans="1:14" ht="14.25" thickTop="1" thickBot="1" x14ac:dyDescent="0.25">
      <c r="A14" s="819" t="s">
        <v>1123</v>
      </c>
      <c r="B14" s="811">
        <v>253</v>
      </c>
      <c r="C14" s="736">
        <v>0</v>
      </c>
      <c r="D14" s="736"/>
      <c r="E14" s="736"/>
      <c r="F14" s="1730">
        <f>(C14+D14)-E14</f>
        <v>0</v>
      </c>
      <c r="G14" s="814">
        <v>3</v>
      </c>
      <c r="H14" s="736">
        <v>0</v>
      </c>
      <c r="I14" s="736"/>
      <c r="J14" s="736"/>
      <c r="K14" s="1739">
        <f>(H14+I14)-J14</f>
        <v>0</v>
      </c>
      <c r="L14" s="1739">
        <f>F14-K14</f>
        <v>0</v>
      </c>
    </row>
    <row r="15" spans="1:14" ht="15" customHeight="1" thickTop="1" thickBot="1" x14ac:dyDescent="0.25">
      <c r="A15" s="1601" t="s">
        <v>528</v>
      </c>
      <c r="B15" s="1600">
        <v>260</v>
      </c>
      <c r="C15" s="815">
        <v>0</v>
      </c>
      <c r="D15" s="815"/>
      <c r="E15" s="815"/>
      <c r="F15" s="1730">
        <f>(C15+D15)-E15</f>
        <v>0</v>
      </c>
      <c r="G15" s="820" t="s">
        <v>862</v>
      </c>
      <c r="H15" s="752"/>
      <c r="I15" s="752"/>
      <c r="J15" s="752"/>
      <c r="K15" s="752"/>
      <c r="L15" s="1739">
        <f>F15-K15</f>
        <v>0</v>
      </c>
    </row>
    <row r="16" spans="1:14" ht="15" customHeight="1" thickTop="1" thickBot="1" x14ac:dyDescent="0.25">
      <c r="A16" s="1735" t="s">
        <v>643</v>
      </c>
      <c r="B16" s="1736">
        <v>200</v>
      </c>
      <c r="C16" s="1730">
        <f>SUM(C3,C5:C6,C8:C10,C12:C15)</f>
        <v>50188184</v>
      </c>
      <c r="D16" s="1730">
        <f>SUM(D3,D5:D6,D8:D10,D12:D15)</f>
        <v>1203375</v>
      </c>
      <c r="E16" s="1730">
        <f>SUM(E3,E5:E6,E8:E10,E12:E15)</f>
        <v>276240</v>
      </c>
      <c r="F16" s="1730">
        <f>SUM(F3,F5:F6,F8:F10,F12:F15)</f>
        <v>51115319</v>
      </c>
      <c r="G16" s="814"/>
      <c r="H16" s="1730">
        <f>SUM(H3,H6,H8:H10,H12:H14,)</f>
        <v>15580953</v>
      </c>
      <c r="I16" s="1730">
        <f>SUM(I3,I6,I8:I10,I12:I14,)</f>
        <v>1454974</v>
      </c>
      <c r="J16" s="1730">
        <f>SUM(J3,J6,J8:J10,J12:J14,)</f>
        <v>276240</v>
      </c>
      <c r="K16" s="1730">
        <f>(H16+I16)-J16</f>
        <v>16759687</v>
      </c>
      <c r="L16" s="1730">
        <f>F16-K16</f>
        <v>34355632</v>
      </c>
    </row>
    <row r="17" spans="1:12" ht="15" customHeight="1" thickTop="1" thickBot="1" x14ac:dyDescent="0.25">
      <c r="A17" s="1603" t="s">
        <v>291</v>
      </c>
      <c r="B17" s="1600">
        <v>700</v>
      </c>
      <c r="C17" s="740"/>
      <c r="D17" s="740"/>
      <c r="E17" s="740"/>
      <c r="F17" s="1730">
        <f ca="1">SUM('Expenditures 15-22'!I114,'Expenditures 15-22'!I151,'Expenditures 15-22'!I210,'Expenditures 15-22'!I312,'Expenditures 15-22'!I342,'Expenditures 15-22'!I367)</f>
        <v>0</v>
      </c>
      <c r="G17" s="808">
        <v>10</v>
      </c>
      <c r="H17" s="740"/>
      <c r="I17" s="1739">
        <f ca="1">F17/G17</f>
        <v>0</v>
      </c>
      <c r="J17" s="740"/>
      <c r="K17" s="766"/>
      <c r="L17" s="766"/>
    </row>
    <row r="18" spans="1:12" ht="14.25" thickTop="1" thickBot="1" x14ac:dyDescent="0.25">
      <c r="A18" s="1737" t="s">
        <v>685</v>
      </c>
      <c r="B18" s="1738"/>
      <c r="C18" s="742"/>
      <c r="D18" s="742"/>
      <c r="E18" s="742"/>
      <c r="F18" s="821"/>
      <c r="G18" s="822"/>
      <c r="H18" s="744"/>
      <c r="I18" s="1730">
        <f ca="1">SUM(I16,I17)</f>
        <v>1454974</v>
      </c>
      <c r="J18" s="744"/>
      <c r="K18" s="744"/>
      <c r="L18" s="744"/>
    </row>
    <row r="19" spans="1:12" ht="12" customHeight="1" thickTop="1" x14ac:dyDescent="0.2">
      <c r="F19" s="496"/>
      <c r="L19" s="496"/>
    </row>
    <row r="20" spans="1:12" ht="12" customHeight="1" x14ac:dyDescent="0.2">
      <c r="A20" s="823"/>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4"/>
      <c r="B23" s="494"/>
      <c r="F23" s="496"/>
      <c r="L23" s="496"/>
    </row>
    <row r="24" spans="1:12" ht="12" customHeight="1" x14ac:dyDescent="0.2">
      <c r="B24" s="494"/>
      <c r="F24" s="496"/>
      <c r="L24" s="496"/>
    </row>
    <row r="25" spans="1:12" x14ac:dyDescent="0.2">
      <c r="F25" s="496"/>
      <c r="L25" s="496"/>
    </row>
    <row r="26" spans="1:12" ht="10.9" customHeight="1" x14ac:dyDescent="0.2">
      <c r="A26" s="825"/>
      <c r="B26" s="247"/>
      <c r="D26" s="347"/>
    </row>
    <row r="27" spans="1:12" x14ac:dyDescent="0.2">
      <c r="A27" s="825"/>
      <c r="B27" s="247"/>
      <c r="D27" s="347"/>
    </row>
  </sheetData>
  <sheetProtection password="F60E"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172" sqref="F172"/>
      <selection pane="bottomLeft" activeCell="F187" sqref="F187"/>
    </sheetView>
  </sheetViews>
  <sheetFormatPr defaultColWidth="8.7109375" defaultRowHeight="11.25" x14ac:dyDescent="0.2"/>
  <cols>
    <col min="1" max="1" width="22.140625" style="827" customWidth="1"/>
    <col min="2" max="2" width="31.85546875" style="827" customWidth="1"/>
    <col min="3" max="3" width="6.7109375" style="834" customWidth="1"/>
    <col min="4" max="4" width="55.7109375" style="827" customWidth="1"/>
    <col min="5" max="5" width="3.140625" style="834" customWidth="1"/>
    <col min="6" max="6" width="17.42578125" style="827" customWidth="1"/>
    <col min="7" max="7" width="0.85546875" style="827" customWidth="1"/>
    <col min="8" max="8" width="2.28515625" style="827" customWidth="1"/>
    <col min="9" max="16384" width="8.7109375" style="827"/>
  </cols>
  <sheetData>
    <row r="1" spans="1:7" ht="19.5" customHeight="1" thickTop="1" x14ac:dyDescent="0.2">
      <c r="A1" s="2310" t="s">
        <v>1972</v>
      </c>
      <c r="B1" s="2311"/>
      <c r="C1" s="2311"/>
      <c r="D1" s="2311"/>
      <c r="E1" s="2311"/>
      <c r="F1" s="2312"/>
      <c r="G1" s="826"/>
    </row>
    <row r="2" spans="1:7" ht="15" customHeight="1" thickBot="1" x14ac:dyDescent="0.25">
      <c r="A2" s="2313" t="s">
        <v>477</v>
      </c>
      <c r="B2" s="2314"/>
      <c r="C2" s="2314"/>
      <c r="D2" s="2314"/>
      <c r="E2" s="2314"/>
      <c r="F2" s="2315"/>
      <c r="G2" s="828"/>
    </row>
    <row r="3" spans="1:7" ht="5.25" customHeight="1" thickTop="1" x14ac:dyDescent="0.2">
      <c r="A3" s="829"/>
      <c r="B3" s="830"/>
      <c r="C3" s="831"/>
      <c r="D3" s="830"/>
      <c r="E3" s="831"/>
      <c r="F3" s="830"/>
      <c r="G3" s="830"/>
    </row>
    <row r="4" spans="1:7" ht="12.2" customHeight="1" x14ac:dyDescent="0.2">
      <c r="A4" s="832" t="s">
        <v>1077</v>
      </c>
      <c r="B4" s="833" t="s">
        <v>115</v>
      </c>
      <c r="D4" s="835" t="s">
        <v>511</v>
      </c>
      <c r="F4" s="833" t="s">
        <v>865</v>
      </c>
    </row>
    <row r="5" spans="1:7" ht="7.5" customHeight="1" x14ac:dyDescent="0.2">
      <c r="A5" s="2316"/>
      <c r="B5" s="2317"/>
      <c r="C5" s="2317"/>
      <c r="D5" s="2317"/>
      <c r="E5" s="2317"/>
      <c r="F5" s="2317"/>
    </row>
    <row r="6" spans="1:7" ht="13.5" customHeight="1" thickBot="1" x14ac:dyDescent="0.25">
      <c r="A6" s="2307" t="s">
        <v>1104</v>
      </c>
      <c r="B6" s="2308"/>
      <c r="C6" s="2308"/>
      <c r="D6" s="2308"/>
      <c r="E6" s="2308"/>
      <c r="F6" s="2309"/>
      <c r="G6" s="836"/>
    </row>
    <row r="7" spans="1:7" s="836" customFormat="1" ht="12" thickTop="1" x14ac:dyDescent="0.2">
      <c r="A7" s="837" t="s">
        <v>502</v>
      </c>
      <c r="B7" s="838"/>
      <c r="C7" s="839"/>
      <c r="D7" s="838"/>
      <c r="E7" s="839"/>
      <c r="F7" s="838"/>
    </row>
    <row r="8" spans="1:7" x14ac:dyDescent="0.2">
      <c r="A8" s="840" t="s">
        <v>459</v>
      </c>
      <c r="B8" s="841" t="s">
        <v>1468</v>
      </c>
      <c r="C8" s="842"/>
      <c r="D8" s="840" t="s">
        <v>501</v>
      </c>
      <c r="E8" s="839" t="s">
        <v>958</v>
      </c>
      <c r="F8" s="1874">
        <f ca="1">'Expenditures 15-22'!K114</f>
        <v>17175703</v>
      </c>
      <c r="G8" s="836"/>
    </row>
    <row r="9" spans="1:7" x14ac:dyDescent="0.2">
      <c r="A9" s="840" t="s">
        <v>460</v>
      </c>
      <c r="B9" s="841" t="s">
        <v>1874</v>
      </c>
      <c r="C9" s="842"/>
      <c r="D9" s="840" t="s">
        <v>501</v>
      </c>
      <c r="E9" s="839"/>
      <c r="F9" s="1875">
        <f ca="1">'Expenditures 15-22'!K151</f>
        <v>2084602</v>
      </c>
      <c r="G9" s="843"/>
    </row>
    <row r="10" spans="1:7" x14ac:dyDescent="0.2">
      <c r="A10" s="840" t="s">
        <v>499</v>
      </c>
      <c r="B10" s="841" t="s">
        <v>1875</v>
      </c>
      <c r="C10" s="842"/>
      <c r="D10" s="840" t="s">
        <v>501</v>
      </c>
      <c r="E10" s="839"/>
      <c r="F10" s="1875">
        <f ca="1">'Expenditures 15-22'!K174</f>
        <v>7571462</v>
      </c>
      <c r="G10" s="843"/>
    </row>
    <row r="11" spans="1:7" x14ac:dyDescent="0.2">
      <c r="A11" s="840" t="s">
        <v>461</v>
      </c>
      <c r="B11" s="841" t="s">
        <v>1876</v>
      </c>
      <c r="C11" s="842"/>
      <c r="D11" s="840" t="s">
        <v>501</v>
      </c>
      <c r="E11" s="839"/>
      <c r="F11" s="1875">
        <f ca="1">'Expenditures 15-22'!K210</f>
        <v>1441768</v>
      </c>
      <c r="G11" s="843"/>
    </row>
    <row r="12" spans="1:7" x14ac:dyDescent="0.2">
      <c r="A12" s="840" t="s">
        <v>462</v>
      </c>
      <c r="B12" s="841" t="s">
        <v>1877</v>
      </c>
      <c r="C12" s="842"/>
      <c r="D12" s="840" t="s">
        <v>501</v>
      </c>
      <c r="E12" s="839"/>
      <c r="F12" s="1875">
        <f ca="1">'Expenditures 15-22'!K295</f>
        <v>868258</v>
      </c>
      <c r="G12" s="843"/>
    </row>
    <row r="13" spans="1:7" x14ac:dyDescent="0.2">
      <c r="A13" s="840" t="s">
        <v>106</v>
      </c>
      <c r="B13" s="841" t="s">
        <v>1878</v>
      </c>
      <c r="C13" s="842"/>
      <c r="D13" s="840" t="s">
        <v>501</v>
      </c>
      <c r="E13" s="839"/>
      <c r="F13" s="1875">
        <f ca="1">'Expenditures 15-22'!K342</f>
        <v>526774</v>
      </c>
      <c r="G13" s="844"/>
    </row>
    <row r="14" spans="1:7" ht="12" customHeight="1" thickBot="1" x14ac:dyDescent="0.25">
      <c r="A14" s="1740"/>
      <c r="B14" s="1741"/>
      <c r="C14" s="1742"/>
      <c r="D14" s="1743" t="s">
        <v>501</v>
      </c>
      <c r="E14" s="1744" t="s">
        <v>958</v>
      </c>
      <c r="F14" s="1745">
        <f ca="1">SUM(F8:F13)</f>
        <v>29668567</v>
      </c>
      <c r="G14" s="836"/>
    </row>
    <row r="15" spans="1:7" ht="3.75" customHeight="1" thickTop="1" x14ac:dyDescent="0.2">
      <c r="A15" s="836"/>
      <c r="B15" s="836"/>
      <c r="C15" s="842"/>
      <c r="D15" s="836"/>
      <c r="E15" s="839"/>
      <c r="F15" s="836"/>
      <c r="G15" s="836"/>
    </row>
    <row r="16" spans="1:7" ht="12" customHeight="1" x14ac:dyDescent="0.2">
      <c r="A16" s="845" t="s">
        <v>512</v>
      </c>
      <c r="B16" s="231"/>
      <c r="C16" s="231"/>
      <c r="D16" s="838"/>
      <c r="E16" s="839"/>
      <c r="F16" s="838"/>
      <c r="G16" s="836"/>
    </row>
    <row r="17" spans="1:7" ht="4.5" customHeight="1" x14ac:dyDescent="0.2">
      <c r="A17" s="845"/>
      <c r="B17" s="231"/>
      <c r="C17" s="231"/>
      <c r="D17" s="838"/>
      <c r="E17" s="839"/>
      <c r="F17" s="838"/>
      <c r="G17" s="836"/>
    </row>
    <row r="18" spans="1:7" x14ac:dyDescent="0.2">
      <c r="A18" s="840" t="s">
        <v>461</v>
      </c>
      <c r="B18" s="841" t="s">
        <v>1010</v>
      </c>
      <c r="C18" s="846">
        <f>'Revenues 9-14'!B43</f>
        <v>1412</v>
      </c>
      <c r="D18" s="847" t="str">
        <f>'Revenues 9-14'!A43</f>
        <v>Regular - Transp Fees from Other Districts (In State)</v>
      </c>
      <c r="E18" s="839" t="s">
        <v>958</v>
      </c>
      <c r="F18" s="1876">
        <f ca="1">'Revenues 9-14'!F43</f>
        <v>825000</v>
      </c>
      <c r="G18" s="836"/>
    </row>
    <row r="19" spans="1:7" x14ac:dyDescent="0.2">
      <c r="A19" s="840" t="s">
        <v>461</v>
      </c>
      <c r="B19" s="841" t="s">
        <v>1011</v>
      </c>
      <c r="C19" s="848">
        <f>'Revenues 9-14'!B47</f>
        <v>1421</v>
      </c>
      <c r="D19" s="849" t="str">
        <f>'Revenues 9-14'!A47</f>
        <v>Summer Sch - Transp. Fees from Pupils or Parents (In State)</v>
      </c>
      <c r="E19" s="850"/>
      <c r="F19" s="1877">
        <f ca="1">'Revenues 9-14'!F47</f>
        <v>0</v>
      </c>
      <c r="G19" s="836"/>
    </row>
    <row r="20" spans="1:7" x14ac:dyDescent="0.2">
      <c r="A20" s="840" t="s">
        <v>461</v>
      </c>
      <c r="B20" s="841" t="s">
        <v>1012</v>
      </c>
      <c r="C20" s="846">
        <f>'Revenues 9-14'!B48</f>
        <v>1422</v>
      </c>
      <c r="D20" s="847" t="str">
        <f>'Revenues 9-14'!A48</f>
        <v>Summer Sch - Transp. Fees from Other Districts (In State)</v>
      </c>
      <c r="E20" s="839"/>
      <c r="F20" s="1878">
        <f ca="1">'Revenues 9-14'!F48</f>
        <v>0</v>
      </c>
      <c r="G20" s="836"/>
    </row>
    <row r="21" spans="1:7" x14ac:dyDescent="0.2">
      <c r="A21" s="840" t="s">
        <v>461</v>
      </c>
      <c r="B21" s="841" t="s">
        <v>1013</v>
      </c>
      <c r="C21" s="848">
        <f>'Revenues 9-14'!B49</f>
        <v>1423</v>
      </c>
      <c r="D21" s="847" t="str">
        <f>'Revenues 9-14'!A49</f>
        <v>Summer Sch - Transp. Fees from Other Sources (In State)</v>
      </c>
      <c r="E21" s="839"/>
      <c r="F21" s="1879">
        <f ca="1">'Revenues 9-14'!F49</f>
        <v>0</v>
      </c>
      <c r="G21" s="836"/>
    </row>
    <row r="22" spans="1:7" x14ac:dyDescent="0.2">
      <c r="A22" s="840" t="s">
        <v>461</v>
      </c>
      <c r="B22" s="841" t="s">
        <v>1014</v>
      </c>
      <c r="C22" s="848">
        <f>'Revenues 9-14'!B50</f>
        <v>1424</v>
      </c>
      <c r="D22" s="847" t="str">
        <f>'Revenues 9-14'!A50</f>
        <v>Summer Sch - Transp. Fees from Other Sources (Out of State)</v>
      </c>
      <c r="E22" s="839"/>
      <c r="F22" s="1879">
        <f ca="1">'Revenues 9-14'!F50</f>
        <v>0</v>
      </c>
      <c r="G22" s="836"/>
    </row>
    <row r="23" spans="1:7" x14ac:dyDescent="0.2">
      <c r="A23" s="840" t="s">
        <v>461</v>
      </c>
      <c r="B23" s="841" t="s">
        <v>1015</v>
      </c>
      <c r="C23" s="846">
        <f>'Revenues 9-14'!B52</f>
        <v>1432</v>
      </c>
      <c r="D23" s="847" t="str">
        <f>'Revenues 9-14'!A52</f>
        <v>CTE - Transp Fees from Other Districts (In State)</v>
      </c>
      <c r="E23" s="839"/>
      <c r="F23" s="1879">
        <f ca="1">'Revenues 9-14'!F52</f>
        <v>0</v>
      </c>
      <c r="G23" s="836"/>
    </row>
    <row r="24" spans="1:7" x14ac:dyDescent="0.2">
      <c r="A24" s="840" t="s">
        <v>461</v>
      </c>
      <c r="B24" s="841" t="s">
        <v>1016</v>
      </c>
      <c r="C24" s="846">
        <f>'Revenues 9-14'!B56</f>
        <v>1442</v>
      </c>
      <c r="D24" s="847" t="str">
        <f>'Revenues 9-14'!A56</f>
        <v>Special Ed - Transp Fees from Other Districts (In State)</v>
      </c>
      <c r="E24" s="839"/>
      <c r="F24" s="1879">
        <f ca="1">'Revenues 9-14'!F56</f>
        <v>51596</v>
      </c>
      <c r="G24" s="836"/>
    </row>
    <row r="25" spans="1:7" x14ac:dyDescent="0.2">
      <c r="A25" s="840" t="s">
        <v>461</v>
      </c>
      <c r="B25" s="841" t="s">
        <v>1017</v>
      </c>
      <c r="C25" s="846">
        <f>'Revenues 9-14'!B59</f>
        <v>1451</v>
      </c>
      <c r="D25" s="847" t="str">
        <f>'Revenues 9-14'!A59</f>
        <v>Adult - Transp Fees from Pupils or Parents (In State)</v>
      </c>
      <c r="E25" s="839"/>
      <c r="F25" s="1879">
        <f ca="1">'Revenues 9-14'!F59</f>
        <v>0</v>
      </c>
      <c r="G25" s="836"/>
    </row>
    <row r="26" spans="1:7" x14ac:dyDescent="0.2">
      <c r="A26" s="840" t="s">
        <v>461</v>
      </c>
      <c r="B26" s="841" t="s">
        <v>1018</v>
      </c>
      <c r="C26" s="846">
        <f>'Revenues 9-14'!B60</f>
        <v>1452</v>
      </c>
      <c r="D26" s="847" t="str">
        <f>'Revenues 9-14'!A60</f>
        <v>Adult - Transp Fees from Other Districts (In State)</v>
      </c>
      <c r="E26" s="839"/>
      <c r="F26" s="1879">
        <f ca="1">'Revenues 9-14'!F60</f>
        <v>0</v>
      </c>
      <c r="G26" s="836"/>
    </row>
    <row r="27" spans="1:7" x14ac:dyDescent="0.2">
      <c r="A27" s="840" t="s">
        <v>461</v>
      </c>
      <c r="B27" s="841" t="s">
        <v>1019</v>
      </c>
      <c r="C27" s="846">
        <f>'Revenues 9-14'!B61</f>
        <v>1453</v>
      </c>
      <c r="D27" s="847" t="str">
        <f>'Revenues 9-14'!A61</f>
        <v>Adult - Transp Fees from Other Sources (In State)</v>
      </c>
      <c r="E27" s="839"/>
      <c r="F27" s="1879">
        <f ca="1">'Revenues 9-14'!F61</f>
        <v>0</v>
      </c>
      <c r="G27" s="836"/>
    </row>
    <row r="28" spans="1:7" x14ac:dyDescent="0.2">
      <c r="A28" s="840" t="s">
        <v>461</v>
      </c>
      <c r="B28" s="841" t="s">
        <v>1020</v>
      </c>
      <c r="C28" s="846">
        <f>'Revenues 9-14'!B62</f>
        <v>1454</v>
      </c>
      <c r="D28" s="847" t="str">
        <f>'Revenues 9-14'!A62</f>
        <v>Adult - Transp Fees from Other Sources (Out of State)</v>
      </c>
      <c r="E28" s="839"/>
      <c r="F28" s="1879">
        <f ca="1">'Revenues 9-14'!F62</f>
        <v>0</v>
      </c>
      <c r="G28" s="836"/>
    </row>
    <row r="29" spans="1:7" x14ac:dyDescent="0.2">
      <c r="A29" s="840" t="s">
        <v>1097</v>
      </c>
      <c r="B29" s="841" t="s">
        <v>810</v>
      </c>
      <c r="C29" s="851">
        <f>'Revenues 9-14'!B149</f>
        <v>3410</v>
      </c>
      <c r="D29" s="852" t="str">
        <f>'Revenues 9-14'!A149</f>
        <v>Adult Ed (from ICCB)</v>
      </c>
      <c r="E29" s="839"/>
      <c r="F29" s="1879">
        <f ca="1">SUM('Revenues 9-14'!D149,'Revenues 9-14'!F149)</f>
        <v>0</v>
      </c>
      <c r="G29" s="836"/>
    </row>
    <row r="30" spans="1:7" x14ac:dyDescent="0.2">
      <c r="A30" s="840" t="s">
        <v>1097</v>
      </c>
      <c r="B30" s="841" t="s">
        <v>1996</v>
      </c>
      <c r="C30" s="851">
        <f>'Revenues 9-14'!B150</f>
        <v>3499</v>
      </c>
      <c r="D30" s="852" t="str">
        <f>'Revenues 9-14'!A150</f>
        <v>Adult Ed - Other (Describe &amp; Itemize)</v>
      </c>
      <c r="E30" s="839"/>
      <c r="F30" s="1880">
        <f ca="1">('Revenues 9-14'!D150+'Revenues 9-14'!F150)</f>
        <v>0</v>
      </c>
      <c r="G30" s="836"/>
    </row>
    <row r="31" spans="1:7" x14ac:dyDescent="0.2">
      <c r="A31" s="840" t="s">
        <v>1097</v>
      </c>
      <c r="B31" s="841" t="s">
        <v>1997</v>
      </c>
      <c r="C31" s="846">
        <f>'Revenues 9-14'!B211</f>
        <v>4600</v>
      </c>
      <c r="D31" s="854" t="str">
        <f>'Revenues 9-14'!A211</f>
        <v>Fed - Spec Education - Preschool Flow-Through</v>
      </c>
      <c r="E31" s="855"/>
      <c r="F31" s="1879">
        <f ca="1">SUM('Revenues 9-14'!D211,'Revenues 9-14'!F211)</f>
        <v>0</v>
      </c>
      <c r="G31" s="836"/>
    </row>
    <row r="32" spans="1:7" x14ac:dyDescent="0.2">
      <c r="A32" s="840" t="s">
        <v>1097</v>
      </c>
      <c r="B32" s="841" t="s">
        <v>1998</v>
      </c>
      <c r="C32" s="846">
        <f>'Revenues 9-14'!B212</f>
        <v>4605</v>
      </c>
      <c r="D32" s="856" t="str">
        <f>'Revenues 9-14'!A212</f>
        <v>Fed - Spec Education - Preschool Discretionary</v>
      </c>
      <c r="E32" s="855"/>
      <c r="F32" s="1879">
        <f ca="1">SUM('Revenues 9-14'!D212,'Revenues 9-14'!F212)</f>
        <v>0</v>
      </c>
      <c r="G32" s="836"/>
    </row>
    <row r="33" spans="1:7" x14ac:dyDescent="0.2">
      <c r="A33" s="840" t="s">
        <v>460</v>
      </c>
      <c r="B33" s="841" t="s">
        <v>1999</v>
      </c>
      <c r="C33" s="846">
        <f>'Revenues 9-14'!B222</f>
        <v>4810</v>
      </c>
      <c r="D33" s="854" t="str">
        <f>'Revenues 9-14'!A222</f>
        <v>Federal - Adult Education</v>
      </c>
      <c r="E33" s="839"/>
      <c r="F33" s="1879">
        <f ca="1">'Revenues 9-14'!D222</f>
        <v>0</v>
      </c>
      <c r="G33" s="836"/>
    </row>
    <row r="34" spans="1:7" x14ac:dyDescent="0.2">
      <c r="A34" s="840" t="s">
        <v>459</v>
      </c>
      <c r="B34" s="840" t="s">
        <v>1469</v>
      </c>
      <c r="C34" s="857" t="str">
        <f>'Expenditures 15-22'!B7</f>
        <v>1125</v>
      </c>
      <c r="D34" s="858" t="str">
        <f>'Expenditures 15-22'!A7</f>
        <v>Pre-K Programs</v>
      </c>
      <c r="E34" s="839"/>
      <c r="F34" s="1879">
        <f ca="1">'Expenditures 15-22'!K7-SUM('Expenditures 15-22'!G7,'Expenditures 15-22'!I7)</f>
        <v>0</v>
      </c>
      <c r="G34" s="836"/>
    </row>
    <row r="35" spans="1:7" x14ac:dyDescent="0.2">
      <c r="A35" s="840" t="s">
        <v>459</v>
      </c>
      <c r="B35" s="840" t="s">
        <v>1470</v>
      </c>
      <c r="C35" s="857" t="str">
        <f>'Expenditures 15-22'!B9</f>
        <v>1225</v>
      </c>
      <c r="D35" s="858" t="str">
        <f>'Expenditures 15-22'!A9</f>
        <v>Special Education Programs Pre-K</v>
      </c>
      <c r="E35" s="839"/>
      <c r="F35" s="1879">
        <f ca="1">'Expenditures 15-22'!K9-SUM('Expenditures 15-22'!G9+'Expenditures 15-22'!I9)</f>
        <v>587777</v>
      </c>
      <c r="G35" s="836"/>
    </row>
    <row r="36" spans="1:7" x14ac:dyDescent="0.2">
      <c r="A36" s="840" t="s">
        <v>459</v>
      </c>
      <c r="B36" s="840" t="s">
        <v>116</v>
      </c>
      <c r="C36" s="857" t="str">
        <f>'Expenditures 15-22'!B11</f>
        <v>1275</v>
      </c>
      <c r="D36" s="858" t="str">
        <f>'Expenditures 15-22'!A11</f>
        <v>Remedial and Supplemental Programs Pre-K</v>
      </c>
      <c r="E36" s="839"/>
      <c r="F36" s="1879">
        <f ca="1">'Expenditures 15-22'!K11-SUM('Expenditures 15-22'!G11,'Expenditures 15-22'!I11)</f>
        <v>662156</v>
      </c>
      <c r="G36" s="836"/>
    </row>
    <row r="37" spans="1:7" x14ac:dyDescent="0.2">
      <c r="A37" s="840" t="s">
        <v>459</v>
      </c>
      <c r="B37" s="840" t="s">
        <v>1471</v>
      </c>
      <c r="C37" s="857">
        <f>'Expenditures 15-22'!B12</f>
        <v>1300</v>
      </c>
      <c r="D37" s="859" t="str">
        <f>'Expenditures 15-22'!A12</f>
        <v>Adult/Continuing Education Programs</v>
      </c>
      <c r="E37" s="839"/>
      <c r="F37" s="1879">
        <f ca="1">'Expenditures 15-22'!K12-SUM('Expenditures 15-22'!G12+'Expenditures 15-22'!I12)</f>
        <v>0</v>
      </c>
      <c r="G37" s="836"/>
    </row>
    <row r="38" spans="1:7" x14ac:dyDescent="0.2">
      <c r="A38" s="840" t="s">
        <v>459</v>
      </c>
      <c r="B38" s="840" t="s">
        <v>1472</v>
      </c>
      <c r="C38" s="857">
        <f>'Expenditures 15-22'!B15</f>
        <v>1600</v>
      </c>
      <c r="D38" s="859" t="str">
        <f>'Expenditures 15-22'!A15</f>
        <v>Summer School Programs</v>
      </c>
      <c r="E38" s="839"/>
      <c r="F38" s="1879">
        <f ca="1">'Expenditures 15-22'!K15-SUM('Expenditures 15-22'!G15,'Expenditures 15-22'!I15)</f>
        <v>0</v>
      </c>
      <c r="G38" s="836"/>
    </row>
    <row r="39" spans="1:7" x14ac:dyDescent="0.2">
      <c r="A39" s="840" t="s">
        <v>459</v>
      </c>
      <c r="B39" s="840" t="s">
        <v>117</v>
      </c>
      <c r="C39" s="857" t="str">
        <f>'Expenditures 15-22'!B20</f>
        <v>1910</v>
      </c>
      <c r="D39" s="859" t="str">
        <f>'Expenditures 15-22'!A20</f>
        <v>Pre-K Programs - Private Tuition</v>
      </c>
      <c r="E39" s="839"/>
      <c r="F39" s="1879">
        <f ca="1">'Expenditures 15-22'!K20</f>
        <v>0</v>
      </c>
      <c r="G39" s="836"/>
    </row>
    <row r="40" spans="1:7" x14ac:dyDescent="0.2">
      <c r="A40" s="840" t="s">
        <v>459</v>
      </c>
      <c r="B40" s="840" t="s">
        <v>118</v>
      </c>
      <c r="C40" s="857" t="str">
        <f>'Expenditures 15-22'!B21</f>
        <v>1911</v>
      </c>
      <c r="D40" s="859" t="str">
        <f>'Expenditures 15-22'!A21</f>
        <v>Regular K-12 Programs - Private Tuition</v>
      </c>
      <c r="E40" s="839"/>
      <c r="F40" s="1879">
        <f ca="1">'Expenditures 15-22'!K21</f>
        <v>0</v>
      </c>
      <c r="G40" s="836"/>
    </row>
    <row r="41" spans="1:7" x14ac:dyDescent="0.2">
      <c r="A41" s="840" t="s">
        <v>459</v>
      </c>
      <c r="B41" s="840" t="s">
        <v>119</v>
      </c>
      <c r="C41" s="857" t="str">
        <f>'Expenditures 15-22'!B22</f>
        <v>1912</v>
      </c>
      <c r="D41" s="859" t="str">
        <f>'Expenditures 15-22'!A22</f>
        <v>Special Education Programs K-12 - Private Tuition</v>
      </c>
      <c r="E41" s="839"/>
      <c r="F41" s="1879">
        <f ca="1">'Expenditures 15-22'!K22</f>
        <v>0</v>
      </c>
      <c r="G41" s="836"/>
    </row>
    <row r="42" spans="1:7" x14ac:dyDescent="0.2">
      <c r="A42" s="840" t="s">
        <v>459</v>
      </c>
      <c r="B42" s="840" t="s">
        <v>120</v>
      </c>
      <c r="C42" s="860" t="str">
        <f>'Expenditures 15-22'!B23</f>
        <v>1913</v>
      </c>
      <c r="D42" s="859" t="str">
        <f>'Expenditures 15-22'!A23</f>
        <v>Special Education Programs Pre-K - Tuition</v>
      </c>
      <c r="E42" s="839"/>
      <c r="F42" s="1879">
        <f ca="1">'Expenditures 15-22'!K23</f>
        <v>0</v>
      </c>
      <c r="G42" s="836"/>
    </row>
    <row r="43" spans="1:7" x14ac:dyDescent="0.2">
      <c r="A43" s="840" t="s">
        <v>459</v>
      </c>
      <c r="B43" s="840" t="s">
        <v>121</v>
      </c>
      <c r="C43" s="857" t="str">
        <f>'Expenditures 15-22'!B24</f>
        <v>1914</v>
      </c>
      <c r="D43" s="859" t="str">
        <f>'Expenditures 15-22'!A24</f>
        <v>Remedial/Supplemental Programs K-12 - Private Tuition</v>
      </c>
      <c r="E43" s="839"/>
      <c r="F43" s="1879">
        <f ca="1">'Expenditures 15-22'!K24</f>
        <v>0</v>
      </c>
      <c r="G43" s="836"/>
    </row>
    <row r="44" spans="1:7" x14ac:dyDescent="0.2">
      <c r="A44" s="840" t="s">
        <v>459</v>
      </c>
      <c r="B44" s="840" t="s">
        <v>122</v>
      </c>
      <c r="C44" s="860" t="str">
        <f>'Expenditures 15-22'!B25</f>
        <v>1915</v>
      </c>
      <c r="D44" s="859" t="str">
        <f>'Expenditures 15-22'!A25</f>
        <v>Remedial/Supplemental Programs Pre-K - Private Tuition</v>
      </c>
      <c r="E44" s="839"/>
      <c r="F44" s="1879">
        <f ca="1">'Expenditures 15-22'!K25</f>
        <v>0</v>
      </c>
      <c r="G44" s="836"/>
    </row>
    <row r="45" spans="1:7" x14ac:dyDescent="0.2">
      <c r="A45" s="840" t="s">
        <v>459</v>
      </c>
      <c r="B45" s="840" t="s">
        <v>123</v>
      </c>
      <c r="C45" s="860" t="str">
        <f>'Expenditures 15-22'!B26</f>
        <v>1916</v>
      </c>
      <c r="D45" s="859" t="str">
        <f>'Expenditures 15-22'!A26</f>
        <v>Adult/Continuing Education Programs - Private Tuition</v>
      </c>
      <c r="E45" s="839"/>
      <c r="F45" s="1879">
        <f ca="1">'Expenditures 15-22'!K26</f>
        <v>0</v>
      </c>
      <c r="G45" s="836"/>
    </row>
    <row r="46" spans="1:7" x14ac:dyDescent="0.2">
      <c r="A46" s="840" t="s">
        <v>459</v>
      </c>
      <c r="B46" s="840" t="s">
        <v>124</v>
      </c>
      <c r="C46" s="857" t="str">
        <f>'Expenditures 15-22'!B27</f>
        <v>1917</v>
      </c>
      <c r="D46" s="859" t="str">
        <f>'Expenditures 15-22'!A27</f>
        <v>CTE Programs - Private Tuition</v>
      </c>
      <c r="E46" s="839"/>
      <c r="F46" s="1879">
        <f ca="1">'Expenditures 15-22'!K27</f>
        <v>0</v>
      </c>
      <c r="G46" s="836"/>
    </row>
    <row r="47" spans="1:7" x14ac:dyDescent="0.2">
      <c r="A47" s="840" t="s">
        <v>459</v>
      </c>
      <c r="B47" s="840" t="s">
        <v>125</v>
      </c>
      <c r="C47" s="861" t="str">
        <f>'Expenditures 15-22'!B28</f>
        <v>1918</v>
      </c>
      <c r="D47" s="862" t="str">
        <f>'Expenditures 15-22'!A28</f>
        <v>Interscholastic Programs - Private Tuition</v>
      </c>
      <c r="E47" s="839"/>
      <c r="F47" s="1879">
        <f ca="1">'Expenditures 15-22'!K28</f>
        <v>0</v>
      </c>
      <c r="G47" s="836"/>
    </row>
    <row r="48" spans="1:7" x14ac:dyDescent="0.2">
      <c r="A48" s="840" t="s">
        <v>459</v>
      </c>
      <c r="B48" s="840" t="s">
        <v>126</v>
      </c>
      <c r="C48" s="860" t="str">
        <f>'Expenditures 15-22'!B29</f>
        <v>1919</v>
      </c>
      <c r="D48" s="859" t="str">
        <f>'Expenditures 15-22'!A29</f>
        <v>Summer School Programs - Private Tuition</v>
      </c>
      <c r="E48" s="839"/>
      <c r="F48" s="1879">
        <f ca="1">'Expenditures 15-22'!K29</f>
        <v>0</v>
      </c>
      <c r="G48" s="836"/>
    </row>
    <row r="49" spans="1:7" x14ac:dyDescent="0.2">
      <c r="A49" s="840" t="s">
        <v>459</v>
      </c>
      <c r="B49" s="840" t="s">
        <v>127</v>
      </c>
      <c r="C49" s="857" t="str">
        <f>'Expenditures 15-22'!B30</f>
        <v>1920</v>
      </c>
      <c r="D49" s="859" t="str">
        <f>'Expenditures 15-22'!A30</f>
        <v>Gifted Programs - Private Tuition</v>
      </c>
      <c r="E49" s="839"/>
      <c r="F49" s="1879">
        <f ca="1">'Expenditures 15-22'!K30</f>
        <v>0</v>
      </c>
      <c r="G49" s="836"/>
    </row>
    <row r="50" spans="1:7" x14ac:dyDescent="0.2">
      <c r="A50" s="840" t="s">
        <v>459</v>
      </c>
      <c r="B50" s="840" t="s">
        <v>128</v>
      </c>
      <c r="C50" s="857" t="str">
        <f>'Expenditures 15-22'!B31</f>
        <v>1921</v>
      </c>
      <c r="D50" s="859" t="str">
        <f>'Expenditures 15-22'!A31</f>
        <v>Bilingual Programs - Private Tuition</v>
      </c>
      <c r="E50" s="839"/>
      <c r="F50" s="1879">
        <f ca="1">'Expenditures 15-22'!K31</f>
        <v>0</v>
      </c>
      <c r="G50" s="836"/>
    </row>
    <row r="51" spans="1:7" x14ac:dyDescent="0.2">
      <c r="A51" s="840" t="s">
        <v>459</v>
      </c>
      <c r="B51" s="840" t="s">
        <v>1473</v>
      </c>
      <c r="C51" s="857" t="str">
        <f>'Expenditures 15-22'!B32</f>
        <v>1922</v>
      </c>
      <c r="D51" s="859" t="str">
        <f>'Expenditures 15-22'!A32</f>
        <v>Truants Alternative/Optional Ed Progms - Private Tuition</v>
      </c>
      <c r="E51" s="839"/>
      <c r="F51" s="1879">
        <f ca="1">'Expenditures 15-22'!K32</f>
        <v>0</v>
      </c>
      <c r="G51" s="836"/>
    </row>
    <row r="52" spans="1:7" x14ac:dyDescent="0.2">
      <c r="A52" s="840" t="s">
        <v>459</v>
      </c>
      <c r="B52" s="840" t="s">
        <v>1474</v>
      </c>
      <c r="C52" s="860" t="str">
        <f>'Expenditures 15-22'!B75</f>
        <v>3000</v>
      </c>
      <c r="D52" s="859" t="s">
        <v>449</v>
      </c>
      <c r="E52" s="839"/>
      <c r="F52" s="1879">
        <f ca="1">'Expenditures 15-22'!K75-SUM('Expenditures 15-22'!G75,'Expenditures 15-22'!I75)</f>
        <v>3271</v>
      </c>
      <c r="G52" s="836"/>
    </row>
    <row r="53" spans="1:7" x14ac:dyDescent="0.2">
      <c r="A53" s="840" t="s">
        <v>459</v>
      </c>
      <c r="B53" s="840" t="s">
        <v>1475</v>
      </c>
      <c r="C53" s="860">
        <f>'Expenditures 15-22'!B102</f>
        <v>4000</v>
      </c>
      <c r="D53" s="859" t="str">
        <f>'Expenditures 15-22'!A102</f>
        <v>Total Payments to Other Govt Units</v>
      </c>
      <c r="E53" s="839"/>
      <c r="F53" s="1879">
        <f ca="1">'Expenditures 15-22'!K102</f>
        <v>544534</v>
      </c>
      <c r="G53" s="836"/>
    </row>
    <row r="54" spans="1:7" x14ac:dyDescent="0.2">
      <c r="A54" s="840" t="s">
        <v>459</v>
      </c>
      <c r="B54" s="840" t="s">
        <v>1476</v>
      </c>
      <c r="C54" s="860" t="s">
        <v>982</v>
      </c>
      <c r="D54" s="856" t="s">
        <v>1095</v>
      </c>
      <c r="E54" s="839"/>
      <c r="F54" s="1879">
        <f ca="1">'Expenditures 15-22'!G114</f>
        <v>175296</v>
      </c>
      <c r="G54" s="836"/>
    </row>
    <row r="55" spans="1:7" x14ac:dyDescent="0.2">
      <c r="A55" s="840" t="s">
        <v>459</v>
      </c>
      <c r="B55" s="840" t="s">
        <v>1477</v>
      </c>
      <c r="C55" s="860" t="s">
        <v>982</v>
      </c>
      <c r="D55" s="856" t="s">
        <v>291</v>
      </c>
      <c r="E55" s="839"/>
      <c r="F55" s="1879">
        <f ca="1">'Expenditures 15-22'!I114</f>
        <v>0</v>
      </c>
      <c r="G55" s="836"/>
    </row>
    <row r="56" spans="1:7" x14ac:dyDescent="0.2">
      <c r="A56" s="840" t="s">
        <v>460</v>
      </c>
      <c r="B56" s="840" t="s">
        <v>1478</v>
      </c>
      <c r="C56" s="857" t="str">
        <f>'Expenditures 15-22'!B130</f>
        <v>3000</v>
      </c>
      <c r="D56" s="863" t="s">
        <v>449</v>
      </c>
      <c r="E56" s="839"/>
      <c r="F56" s="1879">
        <f ca="1">'Expenditures 15-22'!K130-SUM('Expenditures 15-22'!G130+'Expenditures 15-22'!I130)</f>
        <v>0</v>
      </c>
      <c r="G56" s="836"/>
    </row>
    <row r="57" spans="1:7" x14ac:dyDescent="0.2">
      <c r="A57" s="840" t="s">
        <v>460</v>
      </c>
      <c r="B57" s="840" t="s">
        <v>1879</v>
      </c>
      <c r="C57" s="860">
        <f>'Expenditures 15-22'!B139</f>
        <v>4000</v>
      </c>
      <c r="D57" s="858" t="str">
        <f>'Expenditures 15-22'!A139</f>
        <v>Total Payments to Other Govt Units</v>
      </c>
      <c r="E57" s="839"/>
      <c r="F57" s="1879">
        <f ca="1">'Expenditures 15-22'!K139</f>
        <v>0</v>
      </c>
      <c r="G57" s="836"/>
    </row>
    <row r="58" spans="1:7" x14ac:dyDescent="0.2">
      <c r="A58" s="840" t="s">
        <v>460</v>
      </c>
      <c r="B58" s="840" t="s">
        <v>1880</v>
      </c>
      <c r="C58" s="857" t="s">
        <v>982</v>
      </c>
      <c r="D58" s="856" t="s">
        <v>1095</v>
      </c>
      <c r="E58" s="839"/>
      <c r="F58" s="1881">
        <f ca="1">'Expenditures 15-22'!G151</f>
        <v>735396</v>
      </c>
      <c r="G58" s="836"/>
    </row>
    <row r="59" spans="1:7" x14ac:dyDescent="0.2">
      <c r="A59" s="864" t="s">
        <v>460</v>
      </c>
      <c r="B59" s="827" t="s">
        <v>1881</v>
      </c>
      <c r="C59" s="865" t="s">
        <v>982</v>
      </c>
      <c r="D59" s="827" t="s">
        <v>291</v>
      </c>
      <c r="F59" s="1882">
        <f ca="1">'Expenditures 15-22'!I151</f>
        <v>0</v>
      </c>
      <c r="G59" s="836"/>
    </row>
    <row r="60" spans="1:7" x14ac:dyDescent="0.2">
      <c r="A60" s="864" t="s">
        <v>499</v>
      </c>
      <c r="B60" s="827" t="s">
        <v>1882</v>
      </c>
      <c r="C60" s="865">
        <v>4000</v>
      </c>
      <c r="D60" s="827" t="s">
        <v>312</v>
      </c>
      <c r="F60" s="1880">
        <f ca="1">'Expenditures 15-22'!K160</f>
        <v>0</v>
      </c>
      <c r="G60" s="836"/>
    </row>
    <row r="61" spans="1:7" x14ac:dyDescent="0.2">
      <c r="A61" s="866" t="s">
        <v>499</v>
      </c>
      <c r="B61" s="866" t="s">
        <v>1883</v>
      </c>
      <c r="C61" s="867" t="str">
        <f>'Expenditures 15-22'!B170</f>
        <v>5300</v>
      </c>
      <c r="D61" s="868" t="s">
        <v>311</v>
      </c>
      <c r="E61" s="850"/>
      <c r="F61" s="1879">
        <f ca="1">'Expenditures 15-22'!K170</f>
        <v>7045486</v>
      </c>
      <c r="G61" s="836"/>
    </row>
    <row r="62" spans="1:7" x14ac:dyDescent="0.2">
      <c r="A62" s="840" t="s">
        <v>461</v>
      </c>
      <c r="B62" s="840" t="s">
        <v>1884</v>
      </c>
      <c r="C62" s="857">
        <f>'Expenditures 15-22'!B185</f>
        <v>3000</v>
      </c>
      <c r="D62" s="847" t="s">
        <v>449</v>
      </c>
      <c r="E62" s="839"/>
      <c r="F62" s="1879">
        <f ca="1">'Expenditures 15-22'!K185-SUM('Expenditures 15-22'!G185,'Expenditures 15-22'!I185)</f>
        <v>0</v>
      </c>
      <c r="G62" s="836"/>
    </row>
    <row r="63" spans="1:7" x14ac:dyDescent="0.2">
      <c r="A63" s="840" t="s">
        <v>461</v>
      </c>
      <c r="B63" s="840" t="s">
        <v>1885</v>
      </c>
      <c r="C63" s="857" t="str">
        <f>'Expenditures 15-22'!B196</f>
        <v>4000</v>
      </c>
      <c r="D63" s="858" t="str">
        <f>'Expenditures 15-22'!A196</f>
        <v>Total Payments to Other Govt Units</v>
      </c>
      <c r="E63" s="839"/>
      <c r="F63" s="1879">
        <f ca="1">'Expenditures 15-22'!K196</f>
        <v>0</v>
      </c>
      <c r="G63" s="836"/>
    </row>
    <row r="64" spans="1:7" x14ac:dyDescent="0.2">
      <c r="A64" s="866" t="s">
        <v>461</v>
      </c>
      <c r="B64" s="866" t="s">
        <v>1886</v>
      </c>
      <c r="C64" s="867" t="str">
        <f>'Expenditures 15-22'!B206</f>
        <v>5300</v>
      </c>
      <c r="D64" s="863" t="s">
        <v>311</v>
      </c>
      <c r="E64" s="839"/>
      <c r="F64" s="1879">
        <f ca="1">'Expenditures 15-22'!K206</f>
        <v>135348</v>
      </c>
      <c r="G64" s="836"/>
    </row>
    <row r="65" spans="1:8" x14ac:dyDescent="0.2">
      <c r="A65" s="840" t="s">
        <v>461</v>
      </c>
      <c r="B65" s="840" t="s">
        <v>1887</v>
      </c>
      <c r="C65" s="857" t="s">
        <v>982</v>
      </c>
      <c r="D65" s="856" t="s">
        <v>1095</v>
      </c>
      <c r="E65" s="839"/>
      <c r="F65" s="1879">
        <f ca="1">'Expenditures 15-22'!G210</f>
        <v>0</v>
      </c>
      <c r="G65" s="836"/>
    </row>
    <row r="66" spans="1:8" x14ac:dyDescent="0.2">
      <c r="A66" s="840" t="s">
        <v>461</v>
      </c>
      <c r="B66" s="840" t="s">
        <v>1888</v>
      </c>
      <c r="C66" s="857" t="s">
        <v>982</v>
      </c>
      <c r="D66" s="856" t="s">
        <v>291</v>
      </c>
      <c r="E66" s="839"/>
      <c r="F66" s="1879">
        <f ca="1">'Expenditures 15-22'!I210</f>
        <v>0</v>
      </c>
      <c r="G66" s="836"/>
    </row>
    <row r="67" spans="1:8" x14ac:dyDescent="0.2">
      <c r="A67" s="840" t="s">
        <v>462</v>
      </c>
      <c r="B67" s="840" t="s">
        <v>1889</v>
      </c>
      <c r="C67" s="857" t="str">
        <f>'Expenditures 15-22'!B216</f>
        <v>1125</v>
      </c>
      <c r="D67" s="863" t="str">
        <f>'Expenditures 15-22'!A216</f>
        <v>Pre-K Programs</v>
      </c>
      <c r="E67" s="839"/>
      <c r="F67" s="1879">
        <f ca="1">'Expenditures 15-22'!K216</f>
        <v>0</v>
      </c>
      <c r="G67" s="836"/>
    </row>
    <row r="68" spans="1:8" x14ac:dyDescent="0.2">
      <c r="A68" s="840" t="s">
        <v>462</v>
      </c>
      <c r="B68" s="840" t="s">
        <v>1479</v>
      </c>
      <c r="C68" s="857" t="str">
        <f>'Expenditures 15-22'!B218</f>
        <v>1225</v>
      </c>
      <c r="D68" s="863" t="str">
        <f>'Expenditures 15-22'!A218</f>
        <v>Special Education Programs - Pre-K</v>
      </c>
      <c r="E68" s="839"/>
      <c r="F68" s="1879">
        <f ca="1">'Expenditures 15-22'!K218</f>
        <v>42953</v>
      </c>
      <c r="G68" s="836"/>
    </row>
    <row r="69" spans="1:8" x14ac:dyDescent="0.2">
      <c r="A69" s="840" t="s">
        <v>462</v>
      </c>
      <c r="B69" s="840" t="s">
        <v>1890</v>
      </c>
      <c r="C69" s="857" t="str">
        <f>'Expenditures 15-22'!B220</f>
        <v>1275</v>
      </c>
      <c r="D69" s="863" t="str">
        <f>'Expenditures 15-22'!A220</f>
        <v>Remedial and Supplemental Programs - Pre-K</v>
      </c>
      <c r="E69" s="839"/>
      <c r="F69" s="1879">
        <f ca="1">'Expenditures 15-22'!K220</f>
        <v>34034</v>
      </c>
      <c r="G69" s="836"/>
    </row>
    <row r="70" spans="1:8" x14ac:dyDescent="0.2">
      <c r="A70" s="840" t="s">
        <v>462</v>
      </c>
      <c r="B70" s="840" t="s">
        <v>1891</v>
      </c>
      <c r="C70" s="857">
        <f>'Expenditures 15-22'!B221</f>
        <v>1300</v>
      </c>
      <c r="D70" s="858" t="str">
        <f>'Expenditures 15-22'!A221</f>
        <v>Adult/Continuing Education Programs</v>
      </c>
      <c r="E70" s="839"/>
      <c r="F70" s="1879">
        <f ca="1">'Expenditures 15-22'!K221</f>
        <v>0</v>
      </c>
      <c r="G70" s="836"/>
    </row>
    <row r="71" spans="1:8" x14ac:dyDescent="0.2">
      <c r="A71" s="840" t="s">
        <v>462</v>
      </c>
      <c r="B71" s="840" t="s">
        <v>1892</v>
      </c>
      <c r="C71" s="857">
        <f>'Expenditures 15-22'!B224</f>
        <v>1600</v>
      </c>
      <c r="D71" s="858" t="str">
        <f>'Expenditures 15-22'!A224</f>
        <v>Summer School Programs</v>
      </c>
      <c r="E71" s="839"/>
      <c r="F71" s="1879">
        <f ca="1">'Expenditures 15-22'!K224</f>
        <v>0</v>
      </c>
      <c r="G71" s="836"/>
    </row>
    <row r="72" spans="1:8" x14ac:dyDescent="0.2">
      <c r="A72" s="840" t="s">
        <v>462</v>
      </c>
      <c r="B72" s="840" t="s">
        <v>1893</v>
      </c>
      <c r="C72" s="857">
        <f>'Expenditures 15-22'!B280</f>
        <v>3000</v>
      </c>
      <c r="D72" s="847" t="s">
        <v>449</v>
      </c>
      <c r="E72" s="839"/>
      <c r="F72" s="1879">
        <f ca="1">'Expenditures 15-22'!K280</f>
        <v>0</v>
      </c>
      <c r="G72" s="836"/>
    </row>
    <row r="73" spans="1:8" x14ac:dyDescent="0.2">
      <c r="A73" s="840" t="s">
        <v>462</v>
      </c>
      <c r="B73" s="840" t="s">
        <v>1894</v>
      </c>
      <c r="C73" s="857" t="str">
        <f>'Expenditures 15-22'!B285</f>
        <v>4000</v>
      </c>
      <c r="D73" s="858" t="str">
        <f>'Expenditures 15-22'!A285</f>
        <v>Total Payments to Other Govt Units</v>
      </c>
      <c r="E73" s="839"/>
      <c r="F73" s="1879">
        <f ca="1">'Expenditures 15-22'!K285</f>
        <v>0</v>
      </c>
      <c r="G73" s="836"/>
    </row>
    <row r="74" spans="1:8" x14ac:dyDescent="0.2">
      <c r="A74" s="840" t="s">
        <v>436</v>
      </c>
      <c r="B74" s="840" t="s">
        <v>1895</v>
      </c>
      <c r="C74" s="857" t="s">
        <v>860</v>
      </c>
      <c r="D74" s="858" t="s">
        <v>1487</v>
      </c>
      <c r="E74" s="839"/>
      <c r="F74" s="1883">
        <f ca="1">'Expenditures 15-22'!K334</f>
        <v>0</v>
      </c>
      <c r="G74" s="836"/>
    </row>
    <row r="75" spans="1:8" ht="5.25" customHeight="1" x14ac:dyDescent="0.2">
      <c r="A75" s="836"/>
      <c r="B75" s="846"/>
      <c r="C75" s="846"/>
      <c r="D75" s="836"/>
      <c r="E75" s="839"/>
      <c r="F75" s="853"/>
      <c r="G75" s="838"/>
    </row>
    <row r="76" spans="1:8" ht="12" thickBot="1" x14ac:dyDescent="0.25">
      <c r="A76" s="1740"/>
      <c r="B76" s="1746"/>
      <c r="C76" s="1742"/>
      <c r="D76" s="1747" t="s">
        <v>1896</v>
      </c>
      <c r="E76" s="1744" t="s">
        <v>958</v>
      </c>
      <c r="F76" s="1748">
        <f ca="1">SUM(F18:F74)</f>
        <v>10842847</v>
      </c>
      <c r="G76" s="836"/>
    </row>
    <row r="77" spans="1:8" s="864" customFormat="1" ht="12" customHeight="1" thickTop="1" thickBot="1" x14ac:dyDescent="0.25">
      <c r="A77" s="1749"/>
      <c r="B77" s="1746"/>
      <c r="C77" s="1742"/>
      <c r="D77" s="1747" t="s">
        <v>1897</v>
      </c>
      <c r="E77" s="1744"/>
      <c r="F77" s="1750">
        <f ca="1">(F14-F76)</f>
        <v>18825720</v>
      </c>
      <c r="G77" s="840"/>
    </row>
    <row r="78" spans="1:8" s="864" customFormat="1" ht="12" customHeight="1" thickTop="1" x14ac:dyDescent="0.2">
      <c r="A78" s="1751"/>
      <c r="B78" s="1746"/>
      <c r="C78" s="1742"/>
      <c r="D78" s="1747" t="s">
        <v>2059</v>
      </c>
      <c r="E78" s="1744"/>
      <c r="F78" s="869">
        <v>1772.1</v>
      </c>
      <c r="G78" s="870"/>
      <c r="H78" s="840"/>
    </row>
    <row r="79" spans="1:8" s="864" customFormat="1" ht="12" customHeight="1" thickBot="1" x14ac:dyDescent="0.25">
      <c r="A79" s="1752"/>
      <c r="B79" s="1746"/>
      <c r="C79" s="1742"/>
      <c r="D79" s="1747" t="s">
        <v>1898</v>
      </c>
      <c r="E79" s="1744" t="s">
        <v>958</v>
      </c>
      <c r="F79" s="1753">
        <f ca="1">IF(F78&gt;0,F77/F78," Complete Line 78")</f>
        <v>10623.395970882006</v>
      </c>
      <c r="G79" s="840"/>
    </row>
    <row r="80" spans="1:8" s="864" customFormat="1" ht="8.25" customHeight="1" thickTop="1" x14ac:dyDescent="0.2">
      <c r="A80" s="871"/>
      <c r="B80" s="840"/>
      <c r="C80" s="842"/>
      <c r="D80" s="872"/>
      <c r="E80" s="839"/>
      <c r="F80" s="873"/>
      <c r="G80" s="840"/>
    </row>
    <row r="81" spans="1:7" s="864" customFormat="1" ht="12" thickBot="1" x14ac:dyDescent="0.25">
      <c r="A81" s="2307" t="s">
        <v>1105</v>
      </c>
      <c r="B81" s="2308"/>
      <c r="C81" s="2308"/>
      <c r="D81" s="2308"/>
      <c r="E81" s="2308"/>
      <c r="F81" s="2309"/>
      <c r="G81" s="840"/>
    </row>
    <row r="82" spans="1:7" s="864" customFormat="1" ht="5.25" customHeight="1" thickTop="1" x14ac:dyDescent="0.2">
      <c r="A82" s="840"/>
      <c r="B82" s="840"/>
      <c r="C82" s="842"/>
      <c r="D82" s="840"/>
      <c r="E82" s="842"/>
      <c r="F82" s="840"/>
      <c r="G82" s="874"/>
    </row>
    <row r="83" spans="1:7" ht="12" customHeight="1" x14ac:dyDescent="0.2">
      <c r="A83" s="875" t="s">
        <v>813</v>
      </c>
      <c r="B83" s="876"/>
      <c r="C83" s="877"/>
      <c r="D83" s="878"/>
      <c r="E83" s="877"/>
      <c r="F83" s="876"/>
      <c r="G83" s="876"/>
    </row>
    <row r="84" spans="1:7" x14ac:dyDescent="0.2">
      <c r="A84" s="879" t="s">
        <v>461</v>
      </c>
      <c r="B84" s="880" t="s">
        <v>146</v>
      </c>
      <c r="C84" s="881">
        <f>'Revenues 9-14'!B42</f>
        <v>1411</v>
      </c>
      <c r="D84" s="882" t="str">
        <f>'Revenues 9-14'!A42</f>
        <v>Regular -Transp Fees from Pupils or Parents (In State)</v>
      </c>
      <c r="E84" s="877" t="s">
        <v>958</v>
      </c>
      <c r="F84" s="1873">
        <f ca="1">'Revenues 9-14'!F42</f>
        <v>0</v>
      </c>
      <c r="G84" s="883"/>
    </row>
    <row r="85" spans="1:7" x14ac:dyDescent="0.2">
      <c r="A85" s="879" t="s">
        <v>461</v>
      </c>
      <c r="B85" s="879" t="s">
        <v>183</v>
      </c>
      <c r="C85" s="884">
        <f>'Revenues 9-14'!B44</f>
        <v>1413</v>
      </c>
      <c r="D85" s="882" t="str">
        <f>'Revenues 9-14'!A44</f>
        <v>Regular - Transp Fees from Other Sources (In State)</v>
      </c>
      <c r="E85" s="877"/>
      <c r="F85" s="1759">
        <f ca="1">'Revenues 9-14'!F44</f>
        <v>0</v>
      </c>
      <c r="G85" s="885"/>
    </row>
    <row r="86" spans="1:7" x14ac:dyDescent="0.2">
      <c r="A86" s="879" t="s">
        <v>461</v>
      </c>
      <c r="B86" s="879" t="s">
        <v>166</v>
      </c>
      <c r="C86" s="881">
        <f>'Revenues 9-14'!B45</f>
        <v>1415</v>
      </c>
      <c r="D86" s="882" t="str">
        <f>'Revenues 9-14'!A45</f>
        <v>Regular - Transp Fees from Co-curricular Activities (In State)</v>
      </c>
      <c r="E86" s="877"/>
      <c r="F86" s="1759">
        <f ca="1">'Revenues 9-14'!F45</f>
        <v>0</v>
      </c>
      <c r="G86" s="885"/>
    </row>
    <row r="87" spans="1:7" x14ac:dyDescent="0.2">
      <c r="A87" s="879" t="s">
        <v>461</v>
      </c>
      <c r="B87" s="879" t="s">
        <v>167</v>
      </c>
      <c r="C87" s="881">
        <v>1416</v>
      </c>
      <c r="D87" s="882" t="str">
        <f>'Revenues 9-14'!A46</f>
        <v>Regular Transp Fees from Other Sources (Out of State)</v>
      </c>
      <c r="E87" s="877"/>
      <c r="F87" s="1759">
        <f ca="1">'Revenues 9-14'!F46</f>
        <v>0</v>
      </c>
      <c r="G87" s="885"/>
    </row>
    <row r="88" spans="1:7" x14ac:dyDescent="0.2">
      <c r="A88" s="879" t="s">
        <v>461</v>
      </c>
      <c r="B88" s="879" t="s">
        <v>168</v>
      </c>
      <c r="C88" s="881">
        <f>'Revenues 9-14'!B51</f>
        <v>1431</v>
      </c>
      <c r="D88" s="882" t="str">
        <f>'Revenues 9-14'!A51</f>
        <v>CTE - Transp Fees from Pupils or Parents (In State)</v>
      </c>
      <c r="E88" s="877"/>
      <c r="F88" s="1759">
        <f ca="1">'Revenues 9-14'!F51</f>
        <v>0</v>
      </c>
      <c r="G88" s="885"/>
    </row>
    <row r="89" spans="1:7" x14ac:dyDescent="0.2">
      <c r="A89" s="879" t="s">
        <v>461</v>
      </c>
      <c r="B89" s="879" t="s">
        <v>169</v>
      </c>
      <c r="C89" s="881">
        <f>'Revenues 9-14'!B53</f>
        <v>1433</v>
      </c>
      <c r="D89" s="882" t="str">
        <f>'Revenues 9-14'!A53</f>
        <v>CTE - Transp Fees from Other Sources (In State)</v>
      </c>
      <c r="E89" s="877"/>
      <c r="F89" s="1759">
        <f ca="1">'Revenues 9-14'!F53</f>
        <v>0</v>
      </c>
      <c r="G89" s="885"/>
    </row>
    <row r="90" spans="1:7" x14ac:dyDescent="0.2">
      <c r="A90" s="879" t="s">
        <v>461</v>
      </c>
      <c r="B90" s="879" t="s">
        <v>170</v>
      </c>
      <c r="C90" s="881">
        <f>'Revenues 9-14'!B54</f>
        <v>1434</v>
      </c>
      <c r="D90" s="882" t="str">
        <f>'Revenues 9-14'!A54</f>
        <v>CTE - Transp Fees from Other Sources (Out of State)</v>
      </c>
      <c r="E90" s="877"/>
      <c r="F90" s="1759">
        <f ca="1">'Revenues 9-14'!F54</f>
        <v>0</v>
      </c>
      <c r="G90" s="885"/>
    </row>
    <row r="91" spans="1:7" x14ac:dyDescent="0.2">
      <c r="A91" s="879" t="s">
        <v>461</v>
      </c>
      <c r="B91" s="879" t="s">
        <v>171</v>
      </c>
      <c r="C91" s="886">
        <f>'Revenues 9-14'!B55</f>
        <v>1441</v>
      </c>
      <c r="D91" s="882" t="str">
        <f>'Revenues 9-14'!A55</f>
        <v>Special Ed - Transp Fees from Pupils or Parents (In State)</v>
      </c>
      <c r="E91" s="877"/>
      <c r="F91" s="1759">
        <f ca="1">'Revenues 9-14'!F55</f>
        <v>0</v>
      </c>
      <c r="G91" s="885"/>
    </row>
    <row r="92" spans="1:7" x14ac:dyDescent="0.2">
      <c r="A92" s="879" t="s">
        <v>461</v>
      </c>
      <c r="B92" s="879" t="s">
        <v>172</v>
      </c>
      <c r="C92" s="881">
        <f>'Revenues 9-14'!B57</f>
        <v>1443</v>
      </c>
      <c r="D92" s="882" t="str">
        <f>'Revenues 9-14'!A57</f>
        <v>Special Ed - Transp Fees from Other Sources (In State)</v>
      </c>
      <c r="E92" s="877"/>
      <c r="F92" s="1759">
        <f ca="1">'Revenues 9-14'!F57</f>
        <v>0</v>
      </c>
      <c r="G92" s="887"/>
    </row>
    <row r="93" spans="1:7" x14ac:dyDescent="0.2">
      <c r="A93" s="879" t="s">
        <v>461</v>
      </c>
      <c r="B93" s="879" t="s">
        <v>173</v>
      </c>
      <c r="C93" s="881">
        <f>'Revenues 9-14'!B58</f>
        <v>1444</v>
      </c>
      <c r="D93" s="882" t="str">
        <f>'Revenues 9-14'!A58</f>
        <v>Special Ed - Transp Fees from Other Sources (Out of State)</v>
      </c>
      <c r="E93" s="877"/>
      <c r="F93" s="1759">
        <f ca="1">'Revenues 9-14'!F58</f>
        <v>0</v>
      </c>
      <c r="G93" s="887"/>
    </row>
    <row r="94" spans="1:7" x14ac:dyDescent="0.2">
      <c r="A94" s="879" t="s">
        <v>459</v>
      </c>
      <c r="B94" s="879" t="s">
        <v>174</v>
      </c>
      <c r="C94" s="881">
        <v>1600</v>
      </c>
      <c r="D94" s="888" t="str">
        <f>'Revenues 9-14'!A75</f>
        <v>Total Food Service</v>
      </c>
      <c r="E94" s="877"/>
      <c r="F94" s="1759">
        <f ca="1">'Revenues 9-14'!C75</f>
        <v>206920</v>
      </c>
      <c r="G94" s="883"/>
    </row>
    <row r="95" spans="1:7" x14ac:dyDescent="0.2">
      <c r="A95" s="879" t="s">
        <v>140</v>
      </c>
      <c r="B95" s="879" t="s">
        <v>175</v>
      </c>
      <c r="C95" s="881">
        <v>1700</v>
      </c>
      <c r="D95" s="889" t="str">
        <f>'Revenues 9-14'!A82</f>
        <v>Total District/School Activity Income</v>
      </c>
      <c r="E95" s="877"/>
      <c r="F95" s="1759">
        <f ca="1">SUM('Revenues 9-14'!C82,'Revenues 9-14'!D82)</f>
        <v>148244</v>
      </c>
      <c r="G95" s="883"/>
    </row>
    <row r="96" spans="1:7" x14ac:dyDescent="0.2">
      <c r="A96" s="879" t="s">
        <v>459</v>
      </c>
      <c r="B96" s="879" t="s">
        <v>176</v>
      </c>
      <c r="C96" s="881">
        <f>'Revenues 9-14'!B84</f>
        <v>1811</v>
      </c>
      <c r="D96" s="882" t="str">
        <f>'Revenues 9-14'!A84</f>
        <v>Rentals - Regular Textbooks</v>
      </c>
      <c r="E96" s="877"/>
      <c r="F96" s="1759">
        <f ca="1">'Revenues 9-14'!C84</f>
        <v>0</v>
      </c>
      <c r="G96" s="883"/>
    </row>
    <row r="97" spans="1:7" x14ac:dyDescent="0.2">
      <c r="A97" s="879" t="s">
        <v>459</v>
      </c>
      <c r="B97" s="879" t="s">
        <v>177</v>
      </c>
      <c r="C97" s="881">
        <f>'Revenues 9-14'!B87</f>
        <v>1819</v>
      </c>
      <c r="D97" s="882" t="str">
        <f>'Revenues 9-14'!A87</f>
        <v>Rentals - Other (Describe &amp; Itemize)</v>
      </c>
      <c r="E97" s="877"/>
      <c r="F97" s="1759">
        <f ca="1">'Revenues 9-14'!C87</f>
        <v>0</v>
      </c>
      <c r="G97" s="883"/>
    </row>
    <row r="98" spans="1:7" x14ac:dyDescent="0.2">
      <c r="A98" s="879" t="s">
        <v>459</v>
      </c>
      <c r="B98" s="879" t="s">
        <v>178</v>
      </c>
      <c r="C98" s="881">
        <f>'Revenues 9-14'!B88</f>
        <v>1821</v>
      </c>
      <c r="D98" s="882" t="str">
        <f>'Revenues 9-14'!A88</f>
        <v>Sales - Regular Textbooks</v>
      </c>
      <c r="E98" s="877"/>
      <c r="F98" s="1759">
        <f ca="1">'Revenues 9-14'!C88</f>
        <v>0</v>
      </c>
      <c r="G98" s="883"/>
    </row>
    <row r="99" spans="1:7" x14ac:dyDescent="0.2">
      <c r="A99" s="879" t="s">
        <v>459</v>
      </c>
      <c r="B99" s="879" t="s">
        <v>179</v>
      </c>
      <c r="C99" s="881">
        <f>'Revenues 9-14'!B91</f>
        <v>1829</v>
      </c>
      <c r="D99" s="882" t="str">
        <f>'Revenues 9-14'!A91</f>
        <v>Sales - Other (Describe &amp; Itemize)</v>
      </c>
      <c r="E99" s="877"/>
      <c r="F99" s="1759">
        <f ca="1">'Revenues 9-14'!C91</f>
        <v>0</v>
      </c>
      <c r="G99" s="883"/>
    </row>
    <row r="100" spans="1:7" x14ac:dyDescent="0.2">
      <c r="A100" s="879" t="s">
        <v>459</v>
      </c>
      <c r="B100" s="879" t="s">
        <v>180</v>
      </c>
      <c r="C100" s="881">
        <f>'Revenues 9-14'!B92</f>
        <v>1890</v>
      </c>
      <c r="D100" s="882" t="str">
        <f>'Revenues 9-14'!A92</f>
        <v>Other (Describe &amp; Itemize)</v>
      </c>
      <c r="E100" s="877"/>
      <c r="F100" s="1759">
        <f ca="1">'Revenues 9-14'!C92</f>
        <v>0</v>
      </c>
      <c r="G100" s="883"/>
    </row>
    <row r="101" spans="1:7" x14ac:dyDescent="0.2">
      <c r="A101" s="879" t="s">
        <v>140</v>
      </c>
      <c r="B101" s="879" t="s">
        <v>181</v>
      </c>
      <c r="C101" s="881">
        <f>'Revenues 9-14'!B95</f>
        <v>1910</v>
      </c>
      <c r="D101" s="882" t="str">
        <f>'Revenues 9-14'!A95</f>
        <v>Rentals</v>
      </c>
      <c r="E101" s="877"/>
      <c r="F101" s="1759">
        <f ca="1">SUM('Revenues 9-14'!C95:D95)</f>
        <v>1170</v>
      </c>
      <c r="G101" s="883"/>
    </row>
    <row r="102" spans="1:7" x14ac:dyDescent="0.2">
      <c r="A102" s="879" t="s">
        <v>503</v>
      </c>
      <c r="B102" s="879" t="s">
        <v>182</v>
      </c>
      <c r="C102" s="881">
        <f>'Revenues 9-14'!B98</f>
        <v>1940</v>
      </c>
      <c r="D102" s="882" t="str">
        <f>'Revenues 9-14'!A98</f>
        <v>Services Provided Other Districts</v>
      </c>
      <c r="E102" s="877"/>
      <c r="F102" s="1759">
        <f ca="1">SUM('Revenues 9-14'!C98,'Revenues 9-14'!D98,'Revenues 9-14'!F98)</f>
        <v>123135</v>
      </c>
      <c r="G102" s="883"/>
    </row>
    <row r="103" spans="1:7" x14ac:dyDescent="0.2">
      <c r="A103" s="879" t="s">
        <v>1009</v>
      </c>
      <c r="B103" s="879" t="s">
        <v>801</v>
      </c>
      <c r="C103" s="881">
        <f>'Revenues 9-14'!B104</f>
        <v>1991</v>
      </c>
      <c r="D103" s="890" t="str">
        <f>'Revenues 9-14'!A104</f>
        <v>Payment from Other Districts</v>
      </c>
      <c r="E103" s="877"/>
      <c r="F103" s="1759">
        <f ca="1">SUM('Revenues 9-14'!C104,'Revenues 9-14'!D104,'Revenues 9-14'!E104,'Revenues 9-14'!F104,'Revenues 9-14'!G104)</f>
        <v>0</v>
      </c>
      <c r="G103" s="883"/>
    </row>
    <row r="104" spans="1:7" x14ac:dyDescent="0.2">
      <c r="A104" s="879" t="s">
        <v>459</v>
      </c>
      <c r="B104" s="879" t="s">
        <v>808</v>
      </c>
      <c r="C104" s="881">
        <f>'Revenues 9-14'!B106</f>
        <v>1993</v>
      </c>
      <c r="D104" s="882" t="str">
        <f>'Revenues 9-14'!A106</f>
        <v>Other Local Fees (Describe &amp; Itemize)</v>
      </c>
      <c r="E104" s="877"/>
      <c r="F104" s="1759">
        <f ca="1">('Revenues 9-14'!C106)</f>
        <v>0</v>
      </c>
      <c r="G104" s="883"/>
    </row>
    <row r="105" spans="1:7" x14ac:dyDescent="0.2">
      <c r="A105" s="879" t="s">
        <v>503</v>
      </c>
      <c r="B105" s="879" t="s">
        <v>2000</v>
      </c>
      <c r="C105" s="884">
        <v>3100</v>
      </c>
      <c r="D105" s="890" t="str">
        <f>'Revenues 9-14'!A132</f>
        <v>Total Special Education</v>
      </c>
      <c r="E105" s="877"/>
      <c r="F105" s="1759">
        <f ca="1">SUM('Revenues 9-14'!C132:D132,'Revenues 9-14'!F132)</f>
        <v>166879</v>
      </c>
      <c r="G105" s="883"/>
    </row>
    <row r="106" spans="1:7" x14ac:dyDescent="0.2">
      <c r="A106" s="879" t="s">
        <v>673</v>
      </c>
      <c r="B106" s="879" t="s">
        <v>2001</v>
      </c>
      <c r="C106" s="891">
        <v>3200</v>
      </c>
      <c r="D106" s="882" t="str">
        <f>'Revenues 9-14'!A141</f>
        <v>Total Career and Technical Education</v>
      </c>
      <c r="E106" s="877"/>
      <c r="F106" s="1759">
        <f ca="1">SUM('Revenues 9-14'!C141,'Revenues 9-14'!D141,'Revenues 9-14'!G141)</f>
        <v>0</v>
      </c>
      <c r="G106" s="883"/>
    </row>
    <row r="107" spans="1:7" x14ac:dyDescent="0.2">
      <c r="A107" s="892" t="s">
        <v>664</v>
      </c>
      <c r="B107" s="879" t="s">
        <v>2002</v>
      </c>
      <c r="C107" s="891">
        <v>3300</v>
      </c>
      <c r="D107" s="882" t="str">
        <f>'Revenues 9-14'!A145</f>
        <v>Total Bilingual Ed</v>
      </c>
      <c r="E107" s="877"/>
      <c r="F107" s="1759">
        <f ca="1">SUM('Revenues 9-14'!C145,'Revenues 9-14'!G145)</f>
        <v>0</v>
      </c>
      <c r="G107" s="883"/>
    </row>
    <row r="108" spans="1:7" x14ac:dyDescent="0.2">
      <c r="A108" s="879" t="s">
        <v>459</v>
      </c>
      <c r="B108" s="879" t="s">
        <v>2003</v>
      </c>
      <c r="C108" s="891">
        <f>'Revenues 9-14'!B146</f>
        <v>3360</v>
      </c>
      <c r="D108" s="882" t="str">
        <f>'Revenues 9-14'!A146</f>
        <v>State Free Lunch &amp; Breakfast</v>
      </c>
      <c r="E108" s="877"/>
      <c r="F108" s="1759">
        <f ca="1">'Revenues 9-14'!C146</f>
        <v>9092</v>
      </c>
      <c r="G108" s="883"/>
    </row>
    <row r="109" spans="1:7" x14ac:dyDescent="0.2">
      <c r="A109" s="879" t="s">
        <v>673</v>
      </c>
      <c r="B109" s="879" t="s">
        <v>2004</v>
      </c>
      <c r="C109" s="891">
        <f>'Revenues 9-14'!B147</f>
        <v>3365</v>
      </c>
      <c r="D109" s="882" t="str">
        <f>'Revenues 9-14'!A147</f>
        <v>School Breakfast Initiative</v>
      </c>
      <c r="E109" s="877"/>
      <c r="F109" s="1759">
        <f ca="1">SUM('Revenues 9-14'!C147,'Revenues 9-14'!D147,'Revenues 9-14'!G147)</f>
        <v>0</v>
      </c>
      <c r="G109" s="883"/>
    </row>
    <row r="110" spans="1:7" x14ac:dyDescent="0.2">
      <c r="A110" s="879" t="s">
        <v>140</v>
      </c>
      <c r="B110" s="879" t="s">
        <v>2005</v>
      </c>
      <c r="C110" s="891">
        <f>'Revenues 9-14'!B148</f>
        <v>3370</v>
      </c>
      <c r="D110" s="882" t="str">
        <f>'Revenues 9-14'!A148</f>
        <v>Driver Education</v>
      </c>
      <c r="E110" s="877"/>
      <c r="F110" s="1759">
        <f ca="1">SUM('Revenues 9-14'!C148,'Revenues 9-14'!D148)</f>
        <v>0</v>
      </c>
      <c r="G110" s="883"/>
    </row>
    <row r="111" spans="1:7" x14ac:dyDescent="0.2">
      <c r="A111" s="879" t="s">
        <v>668</v>
      </c>
      <c r="B111" s="879" t="s">
        <v>2006</v>
      </c>
      <c r="C111" s="893">
        <v>3500</v>
      </c>
      <c r="D111" s="882" t="str">
        <f>'Revenues 9-14'!A155</f>
        <v>Total Transportation</v>
      </c>
      <c r="E111" s="877"/>
      <c r="F111" s="1759">
        <f ca="1">SUM('Revenues 9-14'!C155,'Revenues 9-14'!D155,'Revenues 9-14'!F155,'Revenues 9-14'!G155)</f>
        <v>303130</v>
      </c>
      <c r="G111" s="883"/>
    </row>
    <row r="112" spans="1:7" x14ac:dyDescent="0.2">
      <c r="A112" s="879" t="s">
        <v>459</v>
      </c>
      <c r="B112" s="879" t="s">
        <v>2007</v>
      </c>
      <c r="C112" s="891">
        <f>'Revenues 9-14'!B156</f>
        <v>3610</v>
      </c>
      <c r="D112" s="882" t="str">
        <f>'Revenues 9-14'!A156</f>
        <v>Learning Improvement - Change Grants</v>
      </c>
      <c r="E112" s="877"/>
      <c r="F112" s="1759">
        <f ca="1">'Revenues 9-14'!C156</f>
        <v>0</v>
      </c>
      <c r="G112" s="883"/>
    </row>
    <row r="113" spans="1:7" x14ac:dyDescent="0.2">
      <c r="A113" s="879" t="s">
        <v>668</v>
      </c>
      <c r="B113" s="879" t="s">
        <v>2008</v>
      </c>
      <c r="C113" s="891">
        <f>'Revenues 9-14'!B157</f>
        <v>3660</v>
      </c>
      <c r="D113" s="882" t="str">
        <f>'Revenues 9-14'!A157</f>
        <v>Scientific Literacy</v>
      </c>
      <c r="E113" s="877"/>
      <c r="F113" s="1759">
        <f ca="1">SUM('Revenues 9-14'!C157,'Revenues 9-14'!D157,'Revenues 9-14'!F157,'Revenues 9-14'!G157)</f>
        <v>0</v>
      </c>
      <c r="G113" s="883"/>
    </row>
    <row r="114" spans="1:7" x14ac:dyDescent="0.2">
      <c r="A114" s="879" t="s">
        <v>5</v>
      </c>
      <c r="B114" s="879" t="s">
        <v>2009</v>
      </c>
      <c r="C114" s="891">
        <f>'Revenues 9-14'!B158</f>
        <v>3695</v>
      </c>
      <c r="D114" s="882" t="str">
        <f>'Revenues 9-14'!A158</f>
        <v>Truant Alternative/Optional Education</v>
      </c>
      <c r="E114" s="877"/>
      <c r="F114" s="1759">
        <f ca="1">SUM('Revenues 9-14'!C158,'Revenues 9-14'!F158,'Revenues 9-14'!G158)</f>
        <v>0</v>
      </c>
      <c r="G114" s="883"/>
    </row>
    <row r="115" spans="1:7" x14ac:dyDescent="0.2">
      <c r="A115" s="879" t="s">
        <v>668</v>
      </c>
      <c r="B115" s="879" t="s">
        <v>2010</v>
      </c>
      <c r="C115" s="891">
        <f>'Revenues 9-14'!B160</f>
        <v>3766</v>
      </c>
      <c r="D115" s="882" t="str">
        <f>'Revenues 9-14'!A160</f>
        <v>Chicago General Education Block Grant</v>
      </c>
      <c r="E115" s="877"/>
      <c r="F115" s="1759">
        <f ca="1">SUM('Revenues 9-14'!C160,'Revenues 9-14'!D160,'Revenues 9-14'!F160,'Revenues 9-14'!G160)</f>
        <v>0</v>
      </c>
      <c r="G115" s="883"/>
    </row>
    <row r="116" spans="1:7" x14ac:dyDescent="0.2">
      <c r="A116" s="879" t="s">
        <v>668</v>
      </c>
      <c r="B116" s="879" t="s">
        <v>2011</v>
      </c>
      <c r="C116" s="891">
        <f>'Revenues 9-14'!B161</f>
        <v>3767</v>
      </c>
      <c r="D116" s="882" t="str">
        <f>'Revenues 9-14'!A161</f>
        <v>Chicago Educational Services Block Grant</v>
      </c>
      <c r="E116" s="877"/>
      <c r="F116" s="1759">
        <f ca="1">SUM('Revenues 9-14'!C161,'Revenues 9-14'!D161,'Revenues 9-14'!F161,'Revenues 9-14'!G161)</f>
        <v>0</v>
      </c>
      <c r="G116" s="883"/>
    </row>
    <row r="117" spans="1:7" x14ac:dyDescent="0.2">
      <c r="A117" s="894" t="s">
        <v>1009</v>
      </c>
      <c r="B117" s="894" t="s">
        <v>2012</v>
      </c>
      <c r="C117" s="895">
        <f>'Revenues 9-14'!B162</f>
        <v>3775</v>
      </c>
      <c r="D117" s="896" t="str">
        <f>'Revenues 9-14'!A162</f>
        <v>School Safety &amp; Educational Improvement Block Grant</v>
      </c>
      <c r="E117" s="877"/>
      <c r="F117" s="1873">
        <f ca="1">SUM('Revenues 9-14'!C162,'Revenues 9-14'!D162,'Revenues 9-14'!E162,'Revenues 9-14'!F162,'Revenues 9-14'!G162)</f>
        <v>0</v>
      </c>
      <c r="G117" s="883"/>
    </row>
    <row r="118" spans="1:7" x14ac:dyDescent="0.2">
      <c r="A118" s="894" t="s">
        <v>1009</v>
      </c>
      <c r="B118" s="894" t="s">
        <v>2013</v>
      </c>
      <c r="C118" s="895">
        <f>'Revenues 9-14'!B163</f>
        <v>3780</v>
      </c>
      <c r="D118" s="896" t="str">
        <f>'Revenues 9-14'!A163</f>
        <v>Technology - Technology for Success</v>
      </c>
      <c r="E118" s="877"/>
      <c r="F118" s="1873">
        <f ca="1">SUM('Revenues 9-14'!C163:G163)</f>
        <v>0</v>
      </c>
      <c r="G118" s="883"/>
    </row>
    <row r="119" spans="1:7" x14ac:dyDescent="0.2">
      <c r="A119" s="894" t="s">
        <v>504</v>
      </c>
      <c r="B119" s="894" t="s">
        <v>2014</v>
      </c>
      <c r="C119" s="895">
        <f>'Revenues 9-14'!B164</f>
        <v>3815</v>
      </c>
      <c r="D119" s="896" t="str">
        <f>'Revenues 9-14'!A164</f>
        <v>State Charter Schools</v>
      </c>
      <c r="E119" s="877"/>
      <c r="F119" s="1873">
        <f ca="1">SUM('Revenues 9-14'!C164,'Revenues 9-14'!F164)</f>
        <v>0</v>
      </c>
      <c r="G119" s="883"/>
    </row>
    <row r="120" spans="1:7" x14ac:dyDescent="0.2">
      <c r="A120" s="898" t="s">
        <v>460</v>
      </c>
      <c r="B120" s="898" t="s">
        <v>2015</v>
      </c>
      <c r="C120" s="899">
        <f>'Revenues 9-14'!B167</f>
        <v>3925</v>
      </c>
      <c r="D120" s="900" t="str">
        <f>'Revenues 9-14'!A167</f>
        <v>School Infrastructure - Maintenance Projects</v>
      </c>
      <c r="E120" s="877"/>
      <c r="F120" s="1759">
        <f ca="1">'Revenues 9-14'!D167</f>
        <v>0</v>
      </c>
      <c r="G120" s="901"/>
    </row>
    <row r="121" spans="1:7" x14ac:dyDescent="0.2">
      <c r="A121" s="898" t="s">
        <v>500</v>
      </c>
      <c r="B121" s="898" t="s">
        <v>2016</v>
      </c>
      <c r="C121" s="899">
        <f>'Revenues 9-14'!B168</f>
        <v>3999</v>
      </c>
      <c r="D121" s="900" t="s">
        <v>543</v>
      </c>
      <c r="E121" s="902"/>
      <c r="F121" s="1759">
        <f ca="1">SUM('Revenues 9-14'!C168:G168,'Revenues 9-14'!J168)</f>
        <v>1379</v>
      </c>
      <c r="G121" s="901"/>
    </row>
    <row r="122" spans="1:7" x14ac:dyDescent="0.2">
      <c r="A122" s="898" t="s">
        <v>459</v>
      </c>
      <c r="B122" s="898" t="s">
        <v>2017</v>
      </c>
      <c r="C122" s="903">
        <f>'Revenues 9-14'!B177</f>
        <v>4045</v>
      </c>
      <c r="D122" s="900" t="str">
        <f>'Revenues 9-14'!A177 &amp; " (Subtract)"</f>
        <v>Head Start (Subtract)</v>
      </c>
      <c r="E122" s="877"/>
      <c r="F122" s="1759">
        <f ca="1">SUM(-'Revenues 9-14'!C177)</f>
        <v>0</v>
      </c>
      <c r="G122" s="901"/>
    </row>
    <row r="123" spans="1:7" x14ac:dyDescent="0.2">
      <c r="A123" s="898" t="s">
        <v>668</v>
      </c>
      <c r="B123" s="898" t="s">
        <v>2018</v>
      </c>
      <c r="C123" s="903" t="s">
        <v>982</v>
      </c>
      <c r="D123" s="900" t="str">
        <f>('Revenues 9-14'!A181)</f>
        <v>Total Restricted Grants-In-Aid Received Directly from Federal Govt</v>
      </c>
      <c r="E123" s="877"/>
      <c r="F123" s="1759">
        <f ca="1">SUM('Revenues 9-14'!C181,'Revenues 9-14'!D181,'Revenues 9-14'!F181,'Revenues 9-14'!G181)</f>
        <v>0</v>
      </c>
      <c r="G123" s="901"/>
    </row>
    <row r="124" spans="1:7" x14ac:dyDescent="0.2">
      <c r="A124" s="898" t="s">
        <v>668</v>
      </c>
      <c r="B124" s="898" t="s">
        <v>2019</v>
      </c>
      <c r="C124" s="903">
        <v>4100</v>
      </c>
      <c r="D124" s="904" t="str">
        <f>'Revenues 9-14'!A188</f>
        <v>Total Title V</v>
      </c>
      <c r="E124" s="877"/>
      <c r="F124" s="1759">
        <f ca="1">SUM('Revenues 9-14'!C188,'Revenues 9-14'!D188,'Revenues 9-14'!F188,'Revenues 9-14'!G188)</f>
        <v>35842</v>
      </c>
      <c r="G124" s="901"/>
    </row>
    <row r="125" spans="1:7" x14ac:dyDescent="0.2">
      <c r="A125" s="898" t="s">
        <v>664</v>
      </c>
      <c r="B125" s="898" t="s">
        <v>2020</v>
      </c>
      <c r="C125" s="903">
        <v>4200</v>
      </c>
      <c r="D125" s="900" t="str">
        <f>'Revenues 9-14'!A198</f>
        <v>Total Food Service</v>
      </c>
      <c r="E125" s="877"/>
      <c r="F125" s="1759">
        <f ca="1">SUM('Revenues 9-14'!C198,'Revenues 9-14'!G198)</f>
        <v>490462</v>
      </c>
      <c r="G125" s="901"/>
    </row>
    <row r="126" spans="1:7" x14ac:dyDescent="0.2">
      <c r="A126" s="898" t="s">
        <v>668</v>
      </c>
      <c r="B126" s="898" t="s">
        <v>2021</v>
      </c>
      <c r="C126" s="903">
        <v>4300</v>
      </c>
      <c r="D126" s="904" t="str">
        <f>'Revenues 9-14'!A204</f>
        <v>Total Title I</v>
      </c>
      <c r="E126" s="877"/>
      <c r="F126" s="1759">
        <f ca="1">SUM('Revenues 9-14'!C204,'Revenues 9-14'!D204,'Revenues 9-14'!F204,'Revenues 9-14'!G204)</f>
        <v>526639</v>
      </c>
      <c r="G126" s="901"/>
    </row>
    <row r="127" spans="1:7" x14ac:dyDescent="0.2">
      <c r="A127" s="898" t="s">
        <v>668</v>
      </c>
      <c r="B127" s="898" t="s">
        <v>2022</v>
      </c>
      <c r="C127" s="903">
        <v>4400</v>
      </c>
      <c r="D127" s="904" t="str">
        <f>'Revenues 9-14'!A209</f>
        <v>Total Title IV</v>
      </c>
      <c r="E127" s="877"/>
      <c r="F127" s="1759">
        <f ca="1">SUM('Revenues 9-14'!C209,'Revenues 9-14'!D209,'Revenues 9-14'!F209,'Revenues 9-14'!G209)</f>
        <v>21385</v>
      </c>
      <c r="G127" s="901"/>
    </row>
    <row r="128" spans="1:7" x14ac:dyDescent="0.2">
      <c r="A128" s="898" t="s">
        <v>668</v>
      </c>
      <c r="B128" s="898" t="s">
        <v>2023</v>
      </c>
      <c r="C128" s="903">
        <f>'Revenues 9-14'!B213</f>
        <v>4620</v>
      </c>
      <c r="D128" s="904" t="str">
        <f>'Revenues 9-14'!A213</f>
        <v>Fed - Spec Education - IDEA - Flow Through</v>
      </c>
      <c r="E128" s="877"/>
      <c r="F128" s="1759">
        <f ca="1">SUM('Revenues 9-14'!C213:D213,'Revenues 9-14'!F213:G213)</f>
        <v>419194</v>
      </c>
      <c r="G128" s="901"/>
    </row>
    <row r="129" spans="1:7" x14ac:dyDescent="0.2">
      <c r="A129" s="898" t="s">
        <v>668</v>
      </c>
      <c r="B129" s="898" t="s">
        <v>2024</v>
      </c>
      <c r="C129" s="903">
        <f>'Revenues 9-14'!B214</f>
        <v>4625</v>
      </c>
      <c r="D129" s="904" t="str">
        <f>'Revenues 9-14'!A214</f>
        <v>Fed - Spec Education - IDEA - Room &amp; Board</v>
      </c>
      <c r="E129" s="877"/>
      <c r="F129" s="1759">
        <f ca="1">SUM('Revenues 9-14'!C214,'Revenues 9-14'!D214,'Revenues 9-14'!F214,'Revenues 9-14'!G214)</f>
        <v>2589</v>
      </c>
      <c r="G129" s="901"/>
    </row>
    <row r="130" spans="1:7" x14ac:dyDescent="0.2">
      <c r="A130" s="898" t="s">
        <v>668</v>
      </c>
      <c r="B130" s="898" t="s">
        <v>2025</v>
      </c>
      <c r="C130" s="903">
        <f>'Revenues 9-14'!B215</f>
        <v>4630</v>
      </c>
      <c r="D130" s="904" t="str">
        <f>'Revenues 9-14'!A215</f>
        <v>Fed - Spec Education - IDEA - Discretionary</v>
      </c>
      <c r="E130" s="877"/>
      <c r="F130" s="1759">
        <f ca="1">SUM('Revenues 9-14'!C215:D215,'Revenues 9-14'!F215:G215)</f>
        <v>0</v>
      </c>
      <c r="G130" s="901">
        <v>6297</v>
      </c>
    </row>
    <row r="131" spans="1:7" x14ac:dyDescent="0.2">
      <c r="A131" s="898" t="s">
        <v>668</v>
      </c>
      <c r="B131" s="898" t="s">
        <v>776</v>
      </c>
      <c r="C131" s="903">
        <f>'Revenues 9-14'!B216</f>
        <v>4699</v>
      </c>
      <c r="D131" s="904" t="str">
        <f>'Revenues 9-14'!A216</f>
        <v>Fed - Spec Education - IDEA - Other (Describe &amp; Itemize)</v>
      </c>
      <c r="E131" s="877"/>
      <c r="F131" s="1759">
        <f ca="1">SUM('Revenues 9-14'!C216:D216,'Revenues 9-14'!F216:G216)</f>
        <v>0</v>
      </c>
      <c r="G131" s="901"/>
    </row>
    <row r="132" spans="1:7" x14ac:dyDescent="0.2">
      <c r="A132" s="898" t="s">
        <v>673</v>
      </c>
      <c r="B132" s="898" t="s">
        <v>2026</v>
      </c>
      <c r="C132" s="903">
        <v>4700</v>
      </c>
      <c r="D132" s="900" t="str">
        <f>'Revenues 9-14'!A221</f>
        <v>Total CTE - Perkins</v>
      </c>
      <c r="E132" s="877"/>
      <c r="F132" s="1759">
        <f ca="1">SUM('Revenues 9-14'!C221,'Revenues 9-14'!D221,'Revenues 9-14'!G221)</f>
        <v>0</v>
      </c>
      <c r="G132" s="901">
        <v>6303</v>
      </c>
    </row>
    <row r="133" spans="1:7" s="838" customFormat="1" hidden="1" x14ac:dyDescent="0.2">
      <c r="A133" s="905" t="s">
        <v>206</v>
      </c>
      <c r="B133" s="905" t="s">
        <v>2027</v>
      </c>
      <c r="C133" s="906" t="s">
        <v>207</v>
      </c>
      <c r="D133" s="907" t="str">
        <f>'Revenues 9-14'!A224</f>
        <v>ARRA - Title I - Low Income</v>
      </c>
      <c r="E133" s="908"/>
      <c r="F133" s="1873">
        <f ca="1">SUM('Revenues 9-14'!$C$224:$D$224,'Revenues 9-14'!$F$224:$G$224)</f>
        <v>0</v>
      </c>
      <c r="G133" s="876"/>
    </row>
    <row r="134" spans="1:7" s="838" customFormat="1" hidden="1" x14ac:dyDescent="0.2">
      <c r="A134" s="905" t="s">
        <v>206</v>
      </c>
      <c r="B134" s="905" t="s">
        <v>2028</v>
      </c>
      <c r="C134" s="906" t="s">
        <v>208</v>
      </c>
      <c r="D134" s="907" t="str">
        <f>'Revenues 9-14'!A225</f>
        <v>ARRA - Title I - Neglected, Private</v>
      </c>
      <c r="E134" s="908"/>
      <c r="F134" s="1759">
        <f ca="1">SUM('Revenues 9-14'!C225:G225,'Revenues 9-14'!J225)</f>
        <v>0</v>
      </c>
      <c r="G134" s="876"/>
    </row>
    <row r="135" spans="1:7" s="838" customFormat="1" hidden="1" x14ac:dyDescent="0.2">
      <c r="A135" s="905" t="s">
        <v>206</v>
      </c>
      <c r="B135" s="905" t="s">
        <v>2029</v>
      </c>
      <c r="C135" s="906" t="s">
        <v>209</v>
      </c>
      <c r="D135" s="907" t="str">
        <f>'Revenues 9-14'!A226</f>
        <v>ARRA - Title I - Delinquent, Private</v>
      </c>
      <c r="E135" s="908"/>
      <c r="F135" s="1759">
        <f ca="1">SUM('Revenues 9-14'!C226:G226,'Revenues 9-14'!J226)</f>
        <v>0</v>
      </c>
      <c r="G135" s="876"/>
    </row>
    <row r="136" spans="1:7" s="838" customFormat="1" hidden="1" x14ac:dyDescent="0.2">
      <c r="A136" s="905" t="s">
        <v>206</v>
      </c>
      <c r="B136" s="905" t="s">
        <v>2030</v>
      </c>
      <c r="C136" s="906" t="s">
        <v>210</v>
      </c>
      <c r="D136" s="907" t="str">
        <f>'Revenues 9-14'!A227</f>
        <v>ARRA - Title I - School Improvement (Part A)</v>
      </c>
      <c r="E136" s="908"/>
      <c r="F136" s="1759">
        <f ca="1">SUM('Revenues 9-14'!C227:G227,'Revenues 9-14'!J227)</f>
        <v>0</v>
      </c>
      <c r="G136" s="876"/>
    </row>
    <row r="137" spans="1:7" s="838" customFormat="1" hidden="1" x14ac:dyDescent="0.2">
      <c r="A137" s="905" t="s">
        <v>206</v>
      </c>
      <c r="B137" s="905" t="s">
        <v>2031</v>
      </c>
      <c r="C137" s="906" t="s">
        <v>211</v>
      </c>
      <c r="D137" s="907" t="str">
        <f>'Revenues 9-14'!A228</f>
        <v>ARRA - Title I - School Improvement (Section 1003g)</v>
      </c>
      <c r="E137" s="908"/>
      <c r="F137" s="1759">
        <f ca="1">SUM('Revenues 9-14'!C228:G228,'Revenues 9-14'!J228)</f>
        <v>0</v>
      </c>
      <c r="G137" s="876"/>
    </row>
    <row r="138" spans="1:7" s="838" customFormat="1" hidden="1" x14ac:dyDescent="0.2">
      <c r="A138" s="905" t="s">
        <v>206</v>
      </c>
      <c r="B138" s="905" t="s">
        <v>2032</v>
      </c>
      <c r="C138" s="906" t="s">
        <v>212</v>
      </c>
      <c r="D138" s="907" t="str">
        <f>'Revenues 9-14'!A229</f>
        <v>ARRA - IDEA - Part B - Preschool</v>
      </c>
      <c r="E138" s="908"/>
      <c r="F138" s="1759">
        <v>0</v>
      </c>
      <c r="G138" s="876"/>
    </row>
    <row r="139" spans="1:7" s="838" customFormat="1" hidden="1" x14ac:dyDescent="0.2">
      <c r="A139" s="905" t="s">
        <v>206</v>
      </c>
      <c r="B139" s="905" t="s">
        <v>2033</v>
      </c>
      <c r="C139" s="906" t="s">
        <v>213</v>
      </c>
      <c r="D139" s="907" t="str">
        <f>'Revenues 9-14'!A230</f>
        <v>ARRA - IDEA - Part B - Flow-Through</v>
      </c>
      <c r="E139" s="908"/>
      <c r="F139" s="1759">
        <f ca="1">SUM('Revenues 9-14'!C230:G230,'Revenues 9-14'!J230)</f>
        <v>0</v>
      </c>
      <c r="G139" s="876"/>
    </row>
    <row r="140" spans="1:7" s="838" customFormat="1" hidden="1" x14ac:dyDescent="0.2">
      <c r="A140" s="905" t="s">
        <v>206</v>
      </c>
      <c r="B140" s="905" t="s">
        <v>2034</v>
      </c>
      <c r="C140" s="906" t="s">
        <v>214</v>
      </c>
      <c r="D140" s="907" t="str">
        <f>'Revenues 9-14'!A231</f>
        <v>ARRA - Title IID - Technology-Formula</v>
      </c>
      <c r="E140" s="908"/>
      <c r="F140" s="1759">
        <f ca="1">SUM('Revenues 9-14'!C231:G231,'Revenues 9-14'!J231)</f>
        <v>0</v>
      </c>
      <c r="G140" s="876"/>
    </row>
    <row r="141" spans="1:7" s="838" customFormat="1" hidden="1" x14ac:dyDescent="0.2">
      <c r="A141" s="905" t="s">
        <v>206</v>
      </c>
      <c r="B141" s="905" t="s">
        <v>2035</v>
      </c>
      <c r="C141" s="906" t="s">
        <v>216</v>
      </c>
      <c r="D141" s="907" t="str">
        <f>'Revenues 9-14'!A232</f>
        <v>ARRA - Title IID - Technology-Competitive</v>
      </c>
      <c r="E141" s="908"/>
      <c r="F141" s="1759">
        <f ca="1">SUM('Revenues 9-14'!C232:G232,'Revenues 9-14'!J232)</f>
        <v>0</v>
      </c>
      <c r="G141" s="876"/>
    </row>
    <row r="142" spans="1:7" s="838" customFormat="1" hidden="1" x14ac:dyDescent="0.2">
      <c r="A142" s="905" t="s">
        <v>668</v>
      </c>
      <c r="B142" s="905" t="s">
        <v>2036</v>
      </c>
      <c r="C142" s="906" t="s">
        <v>217</v>
      </c>
      <c r="D142" s="907" t="str">
        <f>'Revenues 9-14'!A233</f>
        <v>ARRA - McKinney - Vento Homeless Education</v>
      </c>
      <c r="E142" s="908"/>
      <c r="F142" s="1759">
        <f ca="1">SUM('Revenues 9-14'!C233:G233,'Revenues 9-14'!J233)</f>
        <v>0</v>
      </c>
      <c r="G142" s="876"/>
    </row>
    <row r="143" spans="1:7" s="838" customFormat="1" hidden="1" x14ac:dyDescent="0.2">
      <c r="A143" s="905" t="s">
        <v>206</v>
      </c>
      <c r="B143" s="905" t="s">
        <v>215</v>
      </c>
      <c r="C143" s="906" t="s">
        <v>218</v>
      </c>
      <c r="D143" s="907" t="str">
        <f>'Revenues 9-14'!A237</f>
        <v>Qualified Zone Academy Bond Tax Credits</v>
      </c>
      <c r="E143" s="908"/>
      <c r="F143" s="1759">
        <f ca="1">SUM('Revenues 9-14'!C237:G237,'Revenues 9-14'!J237)</f>
        <v>0</v>
      </c>
      <c r="G143" s="876"/>
    </row>
    <row r="144" spans="1:7" s="838" customFormat="1" hidden="1" x14ac:dyDescent="0.2">
      <c r="A144" s="905" t="s">
        <v>206</v>
      </c>
      <c r="B144" s="905" t="s">
        <v>809</v>
      </c>
      <c r="C144" s="906" t="s">
        <v>219</v>
      </c>
      <c r="D144" s="907" t="str">
        <f>'Revenues 9-14'!A238</f>
        <v>Qualified School Construction Bond Credits</v>
      </c>
      <c r="E144" s="908"/>
      <c r="F144" s="1759">
        <f ca="1">SUM('Revenues 9-14'!C238:G238,'Revenues 9-14'!J238)</f>
        <v>0</v>
      </c>
      <c r="G144" s="876"/>
    </row>
    <row r="145" spans="1:7" s="838" customFormat="1" hidden="1" x14ac:dyDescent="0.2">
      <c r="A145" s="905" t="s">
        <v>206</v>
      </c>
      <c r="B145" s="905" t="s">
        <v>1416</v>
      </c>
      <c r="C145" s="906" t="s">
        <v>221</v>
      </c>
      <c r="D145" s="907" t="str">
        <f>'Revenues 9-14'!A239</f>
        <v>Build America Bond Tax Credits</v>
      </c>
      <c r="E145" s="908"/>
      <c r="F145" s="1759">
        <f ca="1">SUM('Revenues 9-14'!C239:G239,'Revenues 9-14'!J239)</f>
        <v>0</v>
      </c>
      <c r="G145" s="876"/>
    </row>
    <row r="146" spans="1:7" s="838" customFormat="1" hidden="1" x14ac:dyDescent="0.2">
      <c r="A146" s="905" t="s">
        <v>206</v>
      </c>
      <c r="B146" s="905" t="s">
        <v>2037</v>
      </c>
      <c r="C146" s="906" t="s">
        <v>223</v>
      </c>
      <c r="D146" s="907" t="str">
        <f>'Revenues 9-14'!A240</f>
        <v>Build America Bond Interest Reimbursement</v>
      </c>
      <c r="E146" s="908"/>
      <c r="F146" s="1759">
        <f ca="1">SUM('Revenues 9-14'!C240:G240,'Revenues 9-14'!J240)</f>
        <v>0</v>
      </c>
      <c r="G146" s="876"/>
    </row>
    <row r="147" spans="1:7" s="838" customFormat="1" hidden="1" x14ac:dyDescent="0.2">
      <c r="A147" s="905" t="s">
        <v>206</v>
      </c>
      <c r="B147" s="905" t="s">
        <v>2038</v>
      </c>
      <c r="C147" s="906" t="s">
        <v>225</v>
      </c>
      <c r="D147" s="907" t="str">
        <f>'Revenues 9-14'!A242</f>
        <v>Other ARRA Funds - II</v>
      </c>
      <c r="E147" s="908"/>
      <c r="F147" s="1759">
        <f ca="1">SUM('Revenues 9-14'!C242:G242,'Revenues 9-14'!J242)</f>
        <v>0</v>
      </c>
      <c r="G147" s="876"/>
    </row>
    <row r="148" spans="1:7" s="838" customFormat="1" hidden="1" x14ac:dyDescent="0.2">
      <c r="A148" s="905" t="s">
        <v>206</v>
      </c>
      <c r="B148" s="905" t="s">
        <v>2039</v>
      </c>
      <c r="C148" s="906" t="s">
        <v>226</v>
      </c>
      <c r="D148" s="907" t="str">
        <f>'Revenues 9-14'!A243</f>
        <v>Other ARRA Funds - III</v>
      </c>
      <c r="E148" s="908"/>
      <c r="F148" s="1759">
        <f ca="1">SUM('Revenues 9-14'!C243:G243,'Revenues 9-14'!J243)</f>
        <v>0</v>
      </c>
      <c r="G148" s="876"/>
    </row>
    <row r="149" spans="1:7" s="838" customFormat="1" hidden="1" x14ac:dyDescent="0.2">
      <c r="A149" s="905" t="s">
        <v>206</v>
      </c>
      <c r="B149" s="905" t="s">
        <v>220</v>
      </c>
      <c r="C149" s="906" t="s">
        <v>228</v>
      </c>
      <c r="D149" s="907" t="str">
        <f>'Revenues 9-14'!A244</f>
        <v>Other ARRA Funds - IV</v>
      </c>
      <c r="E149" s="908"/>
      <c r="F149" s="1759">
        <f ca="1">SUM('Revenues 9-14'!C244:G244,'Revenues 9-14'!J244)</f>
        <v>0</v>
      </c>
      <c r="G149" s="876"/>
    </row>
    <row r="150" spans="1:7" s="838" customFormat="1" hidden="1" x14ac:dyDescent="0.2">
      <c r="A150" s="905" t="s">
        <v>206</v>
      </c>
      <c r="B150" s="905" t="s">
        <v>222</v>
      </c>
      <c r="C150" s="906" t="s">
        <v>230</v>
      </c>
      <c r="D150" s="907" t="str">
        <f>'Revenues 9-14'!A245</f>
        <v>Other ARRA Funds - V</v>
      </c>
      <c r="E150" s="908"/>
      <c r="F150" s="1759">
        <f ca="1">SUM('Revenues 9-14'!C245:G245,'Revenues 9-14'!J245)</f>
        <v>0</v>
      </c>
      <c r="G150" s="876"/>
    </row>
    <row r="151" spans="1:7" s="838" customFormat="1" hidden="1" x14ac:dyDescent="0.2">
      <c r="A151" s="905" t="s">
        <v>206</v>
      </c>
      <c r="B151" s="905" t="s">
        <v>224</v>
      </c>
      <c r="C151" s="906" t="s">
        <v>232</v>
      </c>
      <c r="D151" s="907" t="str">
        <f>'Revenues 9-14'!A246</f>
        <v>ARRA - Early Childhood</v>
      </c>
      <c r="E151" s="908"/>
      <c r="F151" s="1759">
        <v>0</v>
      </c>
      <c r="G151" s="876"/>
    </row>
    <row r="152" spans="1:7" s="838" customFormat="1" hidden="1" x14ac:dyDescent="0.2">
      <c r="A152" s="905" t="s">
        <v>206</v>
      </c>
      <c r="B152" s="905" t="s">
        <v>1417</v>
      </c>
      <c r="C152" s="906" t="s">
        <v>233</v>
      </c>
      <c r="D152" s="907" t="str">
        <f>'Revenues 9-14'!A247</f>
        <v>Other ARRA Funds VII</v>
      </c>
      <c r="E152" s="908"/>
      <c r="F152" s="1759">
        <f ca="1">SUM('Revenues 9-14'!C247:G247,'Revenues 9-14'!J247)</f>
        <v>0</v>
      </c>
      <c r="G152" s="876"/>
    </row>
    <row r="153" spans="1:7" s="838" customFormat="1" hidden="1" x14ac:dyDescent="0.2">
      <c r="A153" s="905" t="s">
        <v>206</v>
      </c>
      <c r="B153" s="905" t="s">
        <v>2040</v>
      </c>
      <c r="C153" s="906" t="s">
        <v>234</v>
      </c>
      <c r="D153" s="907" t="str">
        <f>'Revenues 9-14'!A248</f>
        <v>Other ARRA Funds VIII</v>
      </c>
      <c r="E153" s="908"/>
      <c r="F153" s="1759">
        <f ca="1">SUM('Revenues 9-14'!C248:G248,'Revenues 9-14'!J248)</f>
        <v>0</v>
      </c>
      <c r="G153" s="876"/>
    </row>
    <row r="154" spans="1:7" s="838" customFormat="1" hidden="1" x14ac:dyDescent="0.2">
      <c r="A154" s="905" t="s">
        <v>206</v>
      </c>
      <c r="B154" s="905" t="s">
        <v>227</v>
      </c>
      <c r="C154" s="906" t="s">
        <v>235</v>
      </c>
      <c r="D154" s="907" t="str">
        <f>'Revenues 9-14'!A249</f>
        <v>Other ARRA Funds IX</v>
      </c>
      <c r="E154" s="908"/>
      <c r="F154" s="1759">
        <f ca="1">SUM('Revenues 9-14'!C249:G249,'Revenues 9-14'!J249)</f>
        <v>0</v>
      </c>
      <c r="G154" s="876"/>
    </row>
    <row r="155" spans="1:7" s="838" customFormat="1" hidden="1" x14ac:dyDescent="0.2">
      <c r="A155" s="905" t="s">
        <v>206</v>
      </c>
      <c r="B155" s="905" t="s">
        <v>229</v>
      </c>
      <c r="C155" s="906" t="s">
        <v>236</v>
      </c>
      <c r="D155" s="907" t="str">
        <f>'Revenues 9-14'!A250</f>
        <v>Other ARRA Funds X</v>
      </c>
      <c r="E155" s="908"/>
      <c r="F155" s="1759">
        <f ca="1">SUM('Revenues 9-14'!C250:G250,'Revenues 9-14'!J250)</f>
        <v>0</v>
      </c>
      <c r="G155" s="876"/>
    </row>
    <row r="156" spans="1:7" s="838" customFormat="1" hidden="1" x14ac:dyDescent="0.2">
      <c r="A156" s="905" t="s">
        <v>206</v>
      </c>
      <c r="B156" s="905" t="s">
        <v>231</v>
      </c>
      <c r="C156" s="906" t="s">
        <v>237</v>
      </c>
      <c r="D156" s="907" t="str">
        <f>'Revenues 9-14'!A251</f>
        <v>Other ARRA Funds Ed Job Fund Program</v>
      </c>
      <c r="E156" s="908"/>
      <c r="F156" s="1759">
        <f ca="1">SUM('Revenues 9-14'!C251:G251,'Revenues 9-14'!J251)</f>
        <v>0</v>
      </c>
      <c r="G156" s="876"/>
    </row>
    <row r="157" spans="1:7" s="838" customFormat="1" x14ac:dyDescent="0.2">
      <c r="A157" s="909" t="s">
        <v>500</v>
      </c>
      <c r="B157" s="910" t="s">
        <v>2041</v>
      </c>
      <c r="C157" s="911" t="s">
        <v>841</v>
      </c>
      <c r="D157" s="912" t="s">
        <v>777</v>
      </c>
      <c r="E157" s="913"/>
      <c r="F157" s="1759">
        <f ca="1">SUM(F133:F156)</f>
        <v>0</v>
      </c>
      <c r="G157" s="876"/>
    </row>
    <row r="158" spans="1:7" s="838" customFormat="1" x14ac:dyDescent="0.2">
      <c r="A158" s="909" t="s">
        <v>459</v>
      </c>
      <c r="B158" s="910" t="s">
        <v>2042</v>
      </c>
      <c r="C158" s="911" t="s">
        <v>1427</v>
      </c>
      <c r="D158" s="912" t="s">
        <v>1428</v>
      </c>
      <c r="E158" s="913"/>
      <c r="F158" s="1759">
        <f ca="1">SUM('Revenues 9-14'!C253)</f>
        <v>0</v>
      </c>
      <c r="G158" s="876"/>
    </row>
    <row r="159" spans="1:7" s="838" customFormat="1" x14ac:dyDescent="0.2">
      <c r="A159" s="909" t="s">
        <v>500</v>
      </c>
      <c r="B159" s="910" t="s">
        <v>2043</v>
      </c>
      <c r="C159" s="911" t="s">
        <v>1466</v>
      </c>
      <c r="D159" s="912" t="s">
        <v>1467</v>
      </c>
      <c r="E159" s="913"/>
      <c r="F159" s="1759">
        <f ca="1">SUM('Revenues 9-14'!C254:H254,'Revenues 9-14'!J254:K254)</f>
        <v>0</v>
      </c>
      <c r="G159" s="876"/>
    </row>
    <row r="160" spans="1:7" x14ac:dyDescent="0.2">
      <c r="A160" s="898" t="s">
        <v>5</v>
      </c>
      <c r="B160" s="898" t="s">
        <v>2044</v>
      </c>
      <c r="C160" s="903">
        <f>'Revenues 9-14'!B255</f>
        <v>4905</v>
      </c>
      <c r="D160" s="900" t="str">
        <f>'Revenues 9-14'!A255</f>
        <v>Title III - Immigrant Education Program (IEP)</v>
      </c>
      <c r="E160" s="877"/>
      <c r="F160" s="1759">
        <f ca="1">SUM('Revenues 9-14'!C255,'Revenues 9-14'!F255,'Revenues 9-14'!G255)</f>
        <v>0</v>
      </c>
      <c r="G160" s="914">
        <v>6306</v>
      </c>
    </row>
    <row r="161" spans="1:7" x14ac:dyDescent="0.2">
      <c r="A161" s="898" t="s">
        <v>5</v>
      </c>
      <c r="B161" s="898" t="s">
        <v>2045</v>
      </c>
      <c r="C161" s="903">
        <f>'Revenues 9-14'!B256</f>
        <v>4909</v>
      </c>
      <c r="D161" s="900" t="str">
        <f>'Revenues 9-14'!A256</f>
        <v>Title III - Language Inst Program - Limited Eng (LIPLEP)</v>
      </c>
      <c r="E161" s="877"/>
      <c r="F161" s="1759">
        <f ca="1">SUM('Revenues 9-14'!C256,'Revenues 9-14'!F256,'Revenues 9-14'!G256)</f>
        <v>0</v>
      </c>
      <c r="G161" s="914"/>
    </row>
    <row r="162" spans="1:7" x14ac:dyDescent="0.2">
      <c r="A162" s="898" t="s">
        <v>668</v>
      </c>
      <c r="B162" s="898" t="s">
        <v>2046</v>
      </c>
      <c r="C162" s="903">
        <f>'Revenues 9-14'!B257</f>
        <v>4920</v>
      </c>
      <c r="D162" s="900" t="str">
        <f>'Revenues 9-14'!A257</f>
        <v>McKinney Education for Homeless Children</v>
      </c>
      <c r="E162" s="877"/>
      <c r="F162" s="1759">
        <f ca="1">SUM('Revenues 9-14'!C257,'Revenues 9-14'!D257,'Revenues 9-14'!F257,'Revenues 9-14'!G257)</f>
        <v>0</v>
      </c>
      <c r="G162" s="901"/>
    </row>
    <row r="163" spans="1:7" x14ac:dyDescent="0.2">
      <c r="A163" s="915" t="s">
        <v>668</v>
      </c>
      <c r="B163" s="915" t="s">
        <v>2047</v>
      </c>
      <c r="C163" s="916">
        <f>'Revenues 9-14'!B258</f>
        <v>4930</v>
      </c>
      <c r="D163" s="917" t="str">
        <f>'Revenues 9-14'!A258</f>
        <v>Title II - Eisenhower Professional Development Formula</v>
      </c>
      <c r="E163" s="897"/>
      <c r="F163" s="1873">
        <f ca="1">SUM('Revenues 9-14'!C258:D258,'Revenues 9-14'!F258,'Revenues 9-14'!G258)</f>
        <v>0</v>
      </c>
      <c r="G163" s="901"/>
    </row>
    <row r="164" spans="1:7" x14ac:dyDescent="0.2">
      <c r="A164" s="898" t="s">
        <v>668</v>
      </c>
      <c r="B164" s="898" t="s">
        <v>2048</v>
      </c>
      <c r="C164" s="903">
        <f>'Revenues 9-14'!B259</f>
        <v>4932</v>
      </c>
      <c r="D164" s="904" t="str">
        <f>'Revenues 9-14'!A259</f>
        <v>Title II - Teacher Quality</v>
      </c>
      <c r="E164" s="877"/>
      <c r="F164" s="1873">
        <f ca="1">SUM('Revenues 9-14'!C259,'Revenues 9-14'!D259,'Revenues 9-14'!F259,'Revenues 9-14'!G259)</f>
        <v>47403</v>
      </c>
      <c r="G164" s="901"/>
    </row>
    <row r="165" spans="1:7" x14ac:dyDescent="0.2">
      <c r="A165" s="898" t="s">
        <v>668</v>
      </c>
      <c r="B165" s="898" t="s">
        <v>2049</v>
      </c>
      <c r="C165" s="903">
        <f>'Revenues 9-14'!B260</f>
        <v>4960</v>
      </c>
      <c r="D165" s="900" t="str">
        <f>'Revenues 9-14'!A260</f>
        <v>Federal Charter Schools</v>
      </c>
      <c r="E165" s="877"/>
      <c r="F165" s="1759">
        <f ca="1">SUM('Revenues 9-14'!C260:D260,'Revenues 9-14'!F260:G260)</f>
        <v>0</v>
      </c>
      <c r="G165" s="901"/>
    </row>
    <row r="166" spans="1:7" x14ac:dyDescent="0.2">
      <c r="A166" s="898" t="s">
        <v>668</v>
      </c>
      <c r="B166" s="898" t="s">
        <v>1994</v>
      </c>
      <c r="C166" s="903">
        <f>'Revenues 9-14'!B261</f>
        <v>4981</v>
      </c>
      <c r="D166" s="900" t="str">
        <f>'Revenues 9-14'!A261</f>
        <v>State Assessment Grants</v>
      </c>
      <c r="E166" s="877"/>
      <c r="F166" s="1759">
        <f ca="1">SUM('Revenues 9-14'!C261:D261,'Revenues 9-14'!F261:G261)</f>
        <v>0</v>
      </c>
      <c r="G166" s="901"/>
    </row>
    <row r="167" spans="1:7" x14ac:dyDescent="0.2">
      <c r="A167" s="898" t="s">
        <v>668</v>
      </c>
      <c r="B167" s="898" t="s">
        <v>1995</v>
      </c>
      <c r="C167" s="903">
        <f>'Revenues 9-14'!B262</f>
        <v>4982</v>
      </c>
      <c r="D167" s="900" t="str">
        <f>'Revenues 9-14'!A262</f>
        <v>Grant for State Assessments and Related Activities</v>
      </c>
      <c r="E167" s="877"/>
      <c r="F167" s="1759">
        <f ca="1">SUM('Revenues 9-14'!C262:D262,'Revenues 9-14'!F262:G262)</f>
        <v>0</v>
      </c>
      <c r="G167" s="901"/>
    </row>
    <row r="168" spans="1:7" x14ac:dyDescent="0.2">
      <c r="A168" s="898" t="s">
        <v>668</v>
      </c>
      <c r="B168" s="898" t="s">
        <v>2050</v>
      </c>
      <c r="C168" s="903">
        <f>'Revenues 9-14'!B263</f>
        <v>4991</v>
      </c>
      <c r="D168" s="904" t="str">
        <f>'Revenues 9-14'!A263</f>
        <v>Medicaid Matching Funds - Administrative Outreach</v>
      </c>
      <c r="E168" s="877"/>
      <c r="F168" s="1759">
        <f ca="1">SUM('Revenues 9-14'!C263:D263,'Revenues 9-14'!F263:G263)</f>
        <v>76251</v>
      </c>
      <c r="G168" s="918">
        <v>6320</v>
      </c>
    </row>
    <row r="169" spans="1:7" x14ac:dyDescent="0.2">
      <c r="A169" s="898" t="s">
        <v>668</v>
      </c>
      <c r="B169" s="898" t="s">
        <v>2051</v>
      </c>
      <c r="C169" s="903">
        <f>'Revenues 9-14'!B264</f>
        <v>4992</v>
      </c>
      <c r="D169" s="904" t="str">
        <f>'Revenues 9-14'!A264</f>
        <v>Medicaid Matching Funds - Fee-for-Service Program</v>
      </c>
      <c r="E169" s="877"/>
      <c r="F169" s="1759">
        <f ca="1">SUM('Revenues 9-14'!C264:D264,'Revenues 9-14'!F264:G264)</f>
        <v>118944</v>
      </c>
      <c r="G169" s="918"/>
    </row>
    <row r="170" spans="1:7" x14ac:dyDescent="0.2">
      <c r="A170" s="919" t="s">
        <v>668</v>
      </c>
      <c r="B170" s="915" t="s">
        <v>2052</v>
      </c>
      <c r="C170" s="916">
        <f>'Revenues 9-14'!B265</f>
        <v>4999</v>
      </c>
      <c r="D170" s="917" t="str">
        <f>'Revenues 9-14'!A265</f>
        <v>Other Restricted Revenue from Federal Sources (Describe &amp; Itemize)</v>
      </c>
      <c r="E170" s="877"/>
      <c r="F170" s="1759">
        <f ca="1">SUM('Revenues 9-14'!C265:D265,'Revenues 9-14'!F265:G265)</f>
        <v>0</v>
      </c>
      <c r="G170" s="898"/>
    </row>
    <row r="171" spans="1:7" x14ac:dyDescent="0.2">
      <c r="A171" s="1884" t="s">
        <v>5</v>
      </c>
      <c r="B171" s="1885" t="s">
        <v>1917</v>
      </c>
      <c r="C171" s="1886">
        <v>3100</v>
      </c>
      <c r="D171" s="1887" t="s">
        <v>1919</v>
      </c>
      <c r="E171" s="877"/>
      <c r="F171" s="1872">
        <v>900860</v>
      </c>
      <c r="G171" s="898"/>
    </row>
    <row r="172" spans="1:7" x14ac:dyDescent="0.2">
      <c r="A172" s="1884" t="s">
        <v>664</v>
      </c>
      <c r="B172" s="1885" t="s">
        <v>1917</v>
      </c>
      <c r="C172" s="1886">
        <v>3300</v>
      </c>
      <c r="D172" s="1887" t="s">
        <v>1920</v>
      </c>
      <c r="E172" s="877"/>
      <c r="F172" s="1872">
        <v>6467</v>
      </c>
      <c r="G172" s="898"/>
    </row>
    <row r="173" spans="1:7" ht="6" customHeight="1" x14ac:dyDescent="0.2">
      <c r="A173" s="898"/>
      <c r="B173" s="898"/>
      <c r="C173" s="920"/>
      <c r="D173" s="898"/>
      <c r="E173" s="877"/>
      <c r="F173" s="921"/>
      <c r="G173" s="918"/>
    </row>
    <row r="174" spans="1:7" x14ac:dyDescent="0.2">
      <c r="A174" s="1740"/>
      <c r="B174" s="1754"/>
      <c r="C174" s="1755"/>
      <c r="D174" s="1756" t="s">
        <v>2053</v>
      </c>
      <c r="E174" s="1757" t="s">
        <v>958</v>
      </c>
      <c r="F174" s="1758">
        <f ca="1">SUM(F84:F132,F157:F172)</f>
        <v>3605985</v>
      </c>
    </row>
    <row r="175" spans="1:7" ht="12" customHeight="1" x14ac:dyDescent="0.2">
      <c r="A175" s="1740"/>
      <c r="B175" s="1754"/>
      <c r="C175" s="1755"/>
      <c r="D175" s="1756" t="s">
        <v>2054</v>
      </c>
      <c r="E175" s="1757"/>
      <c r="F175" s="1759">
        <f ca="1">'PCTC-OEPP 27-28'!F77-F174</f>
        <v>15219735</v>
      </c>
    </row>
    <row r="176" spans="1:7" ht="12" customHeight="1" x14ac:dyDescent="0.2">
      <c r="A176" s="1740"/>
      <c r="B176" s="1754"/>
      <c r="C176" s="1755"/>
      <c r="D176" s="1756" t="s">
        <v>1814</v>
      </c>
      <c r="E176" s="1757"/>
      <c r="F176" s="1759">
        <f ca="1">'Cap Outlay Deprec 26'!I18</f>
        <v>1454974</v>
      </c>
    </row>
    <row r="177" spans="1:7" ht="12" customHeight="1" x14ac:dyDescent="0.2">
      <c r="A177" s="1740"/>
      <c r="B177" s="1754"/>
      <c r="C177" s="1755"/>
      <c r="D177" s="1756" t="s">
        <v>2055</v>
      </c>
      <c r="E177" s="1757"/>
      <c r="F177" s="1759">
        <f ca="1">F175+F176</f>
        <v>16674709</v>
      </c>
    </row>
    <row r="178" spans="1:7" ht="12" customHeight="1" x14ac:dyDescent="0.2">
      <c r="A178" s="1740"/>
      <c r="B178" s="1760"/>
      <c r="C178" s="1755"/>
      <c r="D178" s="1756" t="str">
        <f>D78</f>
        <v>9 Month ADA from District Average Daily Attendance/Prior General State Aid Inquiry 2018-2019</v>
      </c>
      <c r="E178" s="1757"/>
      <c r="F178" s="1761">
        <f>'PCTC-OEPP 27-28'!F78</f>
        <v>1772.1</v>
      </c>
      <c r="G178" s="901"/>
    </row>
    <row r="179" spans="1:7" ht="12" customHeight="1" thickBot="1" x14ac:dyDescent="0.25">
      <c r="A179" s="1740"/>
      <c r="B179" s="1760"/>
      <c r="C179" s="1755"/>
      <c r="D179" s="1756" t="s">
        <v>2056</v>
      </c>
      <c r="E179" s="1757" t="s">
        <v>1545</v>
      </c>
      <c r="F179" s="1762">
        <f ca="1">F177/F178</f>
        <v>9409.5756447153108</v>
      </c>
      <c r="G179" s="827">
        <v>6323</v>
      </c>
    </row>
    <row r="180" spans="1:7" ht="12" thickTop="1" x14ac:dyDescent="0.2">
      <c r="B180" s="901"/>
      <c r="C180" s="920"/>
      <c r="D180" s="901"/>
      <c r="E180" s="920"/>
      <c r="F180" s="901"/>
      <c r="G180" s="922">
        <v>6326</v>
      </c>
    </row>
    <row r="181" spans="1:7" ht="12.2" customHeight="1" x14ac:dyDescent="0.2">
      <c r="A181" s="901" t="s">
        <v>1918</v>
      </c>
      <c r="B181" s="901"/>
      <c r="C181" s="920"/>
      <c r="D181" s="901"/>
      <c r="E181" s="920"/>
      <c r="F181" s="901"/>
      <c r="G181" s="901"/>
    </row>
    <row r="182" spans="1:7" s="1888" customFormat="1" ht="12.2" customHeight="1" x14ac:dyDescent="0.2">
      <c r="A182" s="1888" t="s">
        <v>1991</v>
      </c>
      <c r="B182" s="1889"/>
      <c r="C182" s="1890"/>
      <c r="D182" s="1889"/>
      <c r="E182" s="1890"/>
      <c r="F182" s="1889"/>
      <c r="G182" s="1889"/>
    </row>
    <row r="183" spans="1:7" s="1888" customFormat="1" ht="12.2" customHeight="1" x14ac:dyDescent="0.2">
      <c r="A183" s="1891" t="s">
        <v>1993</v>
      </c>
      <c r="C183" s="1890"/>
      <c r="D183" s="1889"/>
      <c r="E183" s="1890"/>
      <c r="F183" s="1889"/>
      <c r="G183" s="1889"/>
    </row>
    <row r="184" spans="1:7" ht="12" customHeight="1" x14ac:dyDescent="0.2">
      <c r="C184" s="920"/>
      <c r="D184" s="901"/>
      <c r="E184" s="920"/>
      <c r="F184" s="901"/>
      <c r="G184" s="901"/>
    </row>
    <row r="185" spans="1:7" x14ac:dyDescent="0.2">
      <c r="A185" s="1892" t="s">
        <v>1922</v>
      </c>
      <c r="B185" s="1893" t="s">
        <v>1921</v>
      </c>
      <c r="C185" s="920"/>
      <c r="D185" s="901"/>
      <c r="E185" s="920"/>
      <c r="F185" s="901"/>
      <c r="G185" s="901"/>
    </row>
    <row r="186" spans="1:7" x14ac:dyDescent="0.2">
      <c r="A186" s="901"/>
      <c r="B186" s="901"/>
      <c r="C186" s="920"/>
      <c r="D186" s="901"/>
      <c r="E186" s="920"/>
      <c r="F186" s="901"/>
      <c r="G186" s="901"/>
    </row>
    <row r="187" spans="1:7" x14ac:dyDescent="0.2">
      <c r="A187" s="901"/>
      <c r="B187" s="901"/>
      <c r="C187" s="920"/>
      <c r="D187" s="901"/>
      <c r="E187" s="920"/>
      <c r="F187" s="901"/>
      <c r="G187" s="901"/>
    </row>
    <row r="188" spans="1:7" x14ac:dyDescent="0.2">
      <c r="A188" s="901"/>
      <c r="B188" s="901"/>
      <c r="C188" s="920"/>
      <c r="D188" s="901"/>
      <c r="E188" s="920"/>
      <c r="F188" s="901"/>
      <c r="G188" s="901"/>
    </row>
    <row r="189" spans="1:7" x14ac:dyDescent="0.2">
      <c r="A189" s="901"/>
      <c r="B189" s="901"/>
      <c r="C189" s="920"/>
      <c r="D189" s="901"/>
      <c r="E189" s="920"/>
      <c r="F189" s="901"/>
      <c r="G189" s="901"/>
    </row>
    <row r="190" spans="1:7" x14ac:dyDescent="0.2">
      <c r="A190" s="901"/>
      <c r="B190" s="901"/>
      <c r="C190" s="920"/>
      <c r="D190" s="901"/>
      <c r="E190" s="920"/>
      <c r="F190" s="901"/>
      <c r="G190" s="901"/>
    </row>
    <row r="191" spans="1:7" x14ac:dyDescent="0.2">
      <c r="A191" s="901"/>
      <c r="B191" s="901"/>
      <c r="C191" s="920"/>
      <c r="D191" s="901"/>
      <c r="E191" s="920"/>
      <c r="F191" s="901"/>
      <c r="G191" s="901"/>
    </row>
    <row r="192" spans="1:7" x14ac:dyDescent="0.2">
      <c r="A192" s="901"/>
      <c r="B192" s="901"/>
      <c r="C192" s="920"/>
      <c r="D192" s="901"/>
      <c r="E192" s="920"/>
      <c r="F192" s="901"/>
      <c r="G192" s="901"/>
    </row>
    <row r="193" spans="1:7" x14ac:dyDescent="0.2">
      <c r="A193" s="901"/>
      <c r="B193" s="901"/>
      <c r="C193" s="920"/>
      <c r="D193" s="901"/>
      <c r="E193" s="920"/>
      <c r="F193" s="901"/>
      <c r="G193" s="901"/>
    </row>
    <row r="194" spans="1:7" x14ac:dyDescent="0.2">
      <c r="A194" s="901"/>
      <c r="B194" s="901"/>
      <c r="C194" s="920"/>
      <c r="D194" s="901"/>
      <c r="E194" s="920"/>
      <c r="F194" s="901"/>
      <c r="G194" s="901"/>
    </row>
    <row r="195" spans="1:7" x14ac:dyDescent="0.2">
      <c r="A195" s="901"/>
      <c r="B195" s="901"/>
      <c r="C195" s="920"/>
      <c r="D195" s="901"/>
      <c r="E195" s="920"/>
      <c r="F195" s="901"/>
      <c r="G195" s="901"/>
    </row>
    <row r="196" spans="1:7" x14ac:dyDescent="0.2">
      <c r="A196" s="901"/>
      <c r="B196" s="901"/>
      <c r="C196" s="920"/>
      <c r="D196" s="901"/>
      <c r="E196" s="920"/>
      <c r="F196" s="901"/>
      <c r="G196" s="901"/>
    </row>
    <row r="197" spans="1:7" x14ac:dyDescent="0.2">
      <c r="A197" s="901"/>
      <c r="B197" s="901"/>
      <c r="C197" s="920"/>
      <c r="D197" s="901"/>
      <c r="E197" s="920"/>
      <c r="F197" s="901"/>
      <c r="G197" s="901"/>
    </row>
    <row r="198" spans="1:7" x14ac:dyDescent="0.2">
      <c r="A198" s="901"/>
      <c r="B198" s="901"/>
      <c r="C198" s="920"/>
      <c r="D198" s="901"/>
      <c r="E198" s="920"/>
      <c r="F198" s="901"/>
      <c r="G198" s="901"/>
    </row>
    <row r="199" spans="1:7" x14ac:dyDescent="0.2">
      <c r="A199" s="901"/>
      <c r="B199" s="901"/>
      <c r="C199" s="920"/>
      <c r="D199" s="901"/>
      <c r="E199" s="920"/>
      <c r="F199" s="901"/>
      <c r="G199" s="901"/>
    </row>
    <row r="200" spans="1:7" x14ac:dyDescent="0.2">
      <c r="A200" s="901"/>
      <c r="B200" s="901"/>
      <c r="C200" s="920"/>
      <c r="D200" s="901"/>
      <c r="E200" s="920"/>
      <c r="F200" s="901"/>
      <c r="G200" s="901"/>
    </row>
    <row r="201" spans="1:7" x14ac:dyDescent="0.2">
      <c r="A201" s="901"/>
      <c r="B201" s="901"/>
      <c r="C201" s="920"/>
      <c r="D201" s="901"/>
      <c r="E201" s="920"/>
      <c r="F201" s="901"/>
      <c r="G201" s="901"/>
    </row>
    <row r="202" spans="1:7" x14ac:dyDescent="0.2">
      <c r="A202" s="901"/>
      <c r="B202" s="901"/>
      <c r="C202" s="920"/>
      <c r="D202" s="901"/>
      <c r="E202" s="920"/>
      <c r="F202" s="901"/>
      <c r="G202" s="901"/>
    </row>
  </sheetData>
  <sheetProtection password="F60E" sheet="1" objects="1" scenarios="1"/>
  <mergeCells count="5">
    <mergeCell ref="A6:F6"/>
    <mergeCell ref="A1:F1"/>
    <mergeCell ref="A81:F81"/>
    <mergeCell ref="A2:F2"/>
    <mergeCell ref="A5:F5"/>
  </mergeCells>
  <phoneticPr fontId="20"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5" zoomScaleNormal="100" workbookViewId="0">
      <selection activeCell="D119" sqref="D119"/>
    </sheetView>
  </sheetViews>
  <sheetFormatPr defaultColWidth="9.140625" defaultRowHeight="15" x14ac:dyDescent="0.25"/>
  <cols>
    <col min="1" max="1" width="52" style="1512" customWidth="1"/>
    <col min="2" max="2" width="16.42578125" style="1513" bestFit="1" customWidth="1"/>
    <col min="3" max="3" width="33.7109375" style="1513" customWidth="1"/>
    <col min="4" max="4" width="16.28515625" style="1514" customWidth="1"/>
    <col min="5" max="5" width="30" style="1514" hidden="1" customWidth="1"/>
    <col min="6" max="6" width="23.5703125" style="1514" customWidth="1"/>
    <col min="7" max="7" width="23.28515625" style="1513" customWidth="1"/>
    <col min="8" max="16384" width="9.140625" style="1503"/>
  </cols>
  <sheetData>
    <row r="1" spans="1:7" ht="15" customHeight="1" x14ac:dyDescent="0.25">
      <c r="A1" s="1629" t="s">
        <v>1829</v>
      </c>
      <c r="B1" s="1630"/>
      <c r="C1" s="1630"/>
      <c r="D1" s="1630"/>
      <c r="E1" s="1630"/>
      <c r="F1" s="1630"/>
      <c r="G1" s="1630"/>
    </row>
    <row r="2" spans="1:7" x14ac:dyDescent="0.25">
      <c r="A2" s="1627"/>
      <c r="B2" s="1627"/>
      <c r="C2" s="1628" t="s">
        <v>979</v>
      </c>
      <c r="D2" s="1627"/>
      <c r="E2" s="1627"/>
      <c r="F2" s="1627"/>
      <c r="G2" s="1627"/>
    </row>
    <row r="3" spans="1:7" ht="5.25" customHeight="1" x14ac:dyDescent="0.25">
      <c r="A3" s="1515"/>
      <c r="B3" s="1515"/>
      <c r="C3" s="1515"/>
      <c r="D3" s="1515"/>
      <c r="E3" s="1515"/>
      <c r="F3" s="1515"/>
      <c r="G3" s="1515"/>
    </row>
    <row r="4" spans="1:7" ht="18.75" customHeight="1" x14ac:dyDescent="0.25">
      <c r="A4" s="2321" t="s">
        <v>1815</v>
      </c>
      <c r="B4" s="2322"/>
      <c r="C4" s="2322"/>
      <c r="D4" s="2322"/>
      <c r="E4" s="2322"/>
      <c r="F4" s="2322"/>
      <c r="G4" s="2323"/>
    </row>
    <row r="5" spans="1:7" x14ac:dyDescent="0.25">
      <c r="A5" s="2324"/>
      <c r="B5" s="2325"/>
      <c r="C5" s="2325"/>
      <c r="D5" s="2325"/>
      <c r="E5" s="2325"/>
      <c r="F5" s="2325"/>
      <c r="G5" s="2326"/>
    </row>
    <row r="6" spans="1:7" ht="18.75" x14ac:dyDescent="0.25">
      <c r="A6" s="1504" t="s">
        <v>1816</v>
      </c>
      <c r="B6" s="1505"/>
      <c r="C6" s="1505"/>
      <c r="D6" s="1505"/>
      <c r="E6" s="1505"/>
      <c r="F6" s="1505"/>
      <c r="G6" s="1506"/>
    </row>
    <row r="7" spans="1:7" ht="30.75" customHeight="1" x14ac:dyDescent="0.25">
      <c r="A7" s="2327" t="s">
        <v>1929</v>
      </c>
      <c r="B7" s="2328"/>
      <c r="C7" s="2328"/>
      <c r="D7" s="2328"/>
      <c r="E7" s="2328"/>
      <c r="F7" s="2328"/>
      <c r="G7" s="2329"/>
    </row>
    <row r="8" spans="1:7" ht="15.75" customHeight="1" x14ac:dyDescent="0.25">
      <c r="A8" s="2330" t="s">
        <v>1904</v>
      </c>
      <c r="B8" s="2331"/>
      <c r="C8" s="2331"/>
      <c r="D8" s="2331"/>
      <c r="E8" s="2331"/>
      <c r="F8" s="2331"/>
      <c r="G8" s="2332"/>
    </row>
    <row r="9" spans="1:7" ht="35.25" customHeight="1" x14ac:dyDescent="0.25">
      <c r="A9" s="2327" t="s">
        <v>1932</v>
      </c>
      <c r="B9" s="2328"/>
      <c r="C9" s="2328"/>
      <c r="D9" s="2328"/>
      <c r="E9" s="2328"/>
      <c r="F9" s="2328"/>
      <c r="G9" s="2329"/>
    </row>
    <row r="10" spans="1:7" ht="15" customHeight="1" x14ac:dyDescent="0.25">
      <c r="A10" s="1507" t="s">
        <v>1817</v>
      </c>
      <c r="B10" s="1508"/>
      <c r="C10" s="1508"/>
      <c r="D10" s="1508"/>
      <c r="E10" s="1508"/>
      <c r="F10" s="1508"/>
      <c r="G10" s="1509"/>
    </row>
    <row r="11" spans="1:7" ht="17.25" customHeight="1" x14ac:dyDescent="0.25">
      <c r="A11" s="2327" t="s">
        <v>1931</v>
      </c>
      <c r="B11" s="2328"/>
      <c r="C11" s="2328"/>
      <c r="D11" s="2328"/>
      <c r="E11" s="2328"/>
      <c r="F11" s="2328"/>
      <c r="G11" s="2329"/>
    </row>
    <row r="12" spans="1:7" ht="15" customHeight="1" x14ac:dyDescent="0.25">
      <c r="A12" s="1507" t="s">
        <v>1822</v>
      </c>
      <c r="B12" s="1508"/>
      <c r="C12" s="1508"/>
      <c r="D12" s="1508"/>
      <c r="E12" s="1508"/>
      <c r="F12" s="1508"/>
      <c r="G12" s="1509"/>
    </row>
    <row r="13" spans="1:7" ht="32.25" customHeight="1" x14ac:dyDescent="0.25">
      <c r="A13" s="2318" t="s">
        <v>1973</v>
      </c>
      <c r="B13" s="2319"/>
      <c r="C13" s="2319"/>
      <c r="D13" s="2319"/>
      <c r="E13" s="2319"/>
      <c r="F13" s="2319"/>
      <c r="G13" s="2320"/>
    </row>
    <row r="14" spans="1:7" x14ac:dyDescent="0.25">
      <c r="A14" s="1631" t="s">
        <v>1830</v>
      </c>
      <c r="B14" s="1632"/>
      <c r="C14" s="1632"/>
      <c r="D14" s="1632"/>
      <c r="E14" s="1632"/>
      <c r="F14" s="1632"/>
      <c r="G14" s="1633"/>
    </row>
    <row r="15" spans="1:7" ht="61.5" customHeight="1" x14ac:dyDescent="0.25">
      <c r="A15" s="1516" t="s">
        <v>1823</v>
      </c>
      <c r="B15" s="1516" t="s">
        <v>1824</v>
      </c>
      <c r="C15" s="1516" t="s">
        <v>1825</v>
      </c>
      <c r="D15" s="1517" t="s">
        <v>1826</v>
      </c>
      <c r="E15" s="1517" t="s">
        <v>1818</v>
      </c>
      <c r="F15" s="1517" t="s">
        <v>1827</v>
      </c>
      <c r="G15" s="1517" t="s">
        <v>1828</v>
      </c>
    </row>
    <row r="16" spans="1:7" x14ac:dyDescent="0.25">
      <c r="A16" s="1618" t="s">
        <v>1831</v>
      </c>
      <c r="B16" s="1619" t="s">
        <v>1821</v>
      </c>
      <c r="C16" s="1620" t="s">
        <v>1819</v>
      </c>
      <c r="D16" s="1621">
        <v>500000</v>
      </c>
      <c r="E16" s="1621">
        <f>IF(D16&lt;=25000,D16,IF(D16&gt;25000,25000,0))</f>
        <v>25000</v>
      </c>
      <c r="F16" s="162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2">
        <f>IF(F16=0,"0",D16-F16)</f>
        <v>475000</v>
      </c>
    </row>
    <row r="17" spans="1:8" x14ac:dyDescent="0.25">
      <c r="A17" s="1978" t="s">
        <v>3920</v>
      </c>
      <c r="B17" s="1977" t="s">
        <v>3921</v>
      </c>
      <c r="C17" s="1979" t="s">
        <v>3922</v>
      </c>
      <c r="D17" s="1814">
        <v>6800</v>
      </c>
      <c r="E17" s="1510">
        <f t="shared" ref="E17:E141" si="0">IF(D17&lt;=25000,D17,IF(D17&gt;25000,25000,0))</f>
        <v>6800</v>
      </c>
      <c r="F17" s="189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6800</v>
      </c>
      <c r="G17" s="1763">
        <f>IF(F17=0,0,D17-F17)</f>
        <v>0</v>
      </c>
      <c r="H17" s="1617"/>
    </row>
    <row r="18" spans="1:8" x14ac:dyDescent="0.25">
      <c r="A18" s="1980" t="s">
        <v>3923</v>
      </c>
      <c r="B18" s="1977" t="s">
        <v>3924</v>
      </c>
      <c r="C18" s="1989" t="s">
        <v>3967</v>
      </c>
      <c r="D18" s="1814">
        <v>10744</v>
      </c>
      <c r="E18" s="1510">
        <f t="shared" ref="E18:E140" si="2">IF(D18&lt;=25000,D18,IF(D18&gt;25000,25000,0))</f>
        <v>10744</v>
      </c>
      <c r="F18" s="1898">
        <f t="shared" si="1"/>
        <v>10744</v>
      </c>
      <c r="G18" s="1763">
        <f t="shared" ref="G18:G140" si="3">IF(F18=0,0,D18-F18)</f>
        <v>0</v>
      </c>
    </row>
    <row r="19" spans="1:8" x14ac:dyDescent="0.25">
      <c r="A19" s="1978" t="s">
        <v>3923</v>
      </c>
      <c r="B19" s="1977" t="s">
        <v>3924</v>
      </c>
      <c r="C19" s="1989" t="s">
        <v>3968</v>
      </c>
      <c r="D19" s="1814">
        <v>900</v>
      </c>
      <c r="E19" s="1510">
        <f t="shared" si="2"/>
        <v>900</v>
      </c>
      <c r="F19" s="1898">
        <f t="shared" si="1"/>
        <v>900</v>
      </c>
      <c r="G19" s="1763">
        <f t="shared" si="3"/>
        <v>0</v>
      </c>
    </row>
    <row r="20" spans="1:8" x14ac:dyDescent="0.25">
      <c r="A20" s="1980" t="s">
        <v>3923</v>
      </c>
      <c r="B20" s="1977" t="s">
        <v>3924</v>
      </c>
      <c r="C20" s="1989" t="s">
        <v>3965</v>
      </c>
      <c r="D20" s="1814">
        <v>29365</v>
      </c>
      <c r="E20" s="1510">
        <f t="shared" si="2"/>
        <v>25000</v>
      </c>
      <c r="F20" s="1898">
        <f t="shared" si="1"/>
        <v>25000</v>
      </c>
      <c r="G20" s="1763">
        <f t="shared" si="3"/>
        <v>4365</v>
      </c>
    </row>
    <row r="21" spans="1:8" x14ac:dyDescent="0.25">
      <c r="A21" s="1978" t="s">
        <v>3925</v>
      </c>
      <c r="B21" s="1977" t="s">
        <v>3926</v>
      </c>
      <c r="C21" s="1979" t="s">
        <v>3927</v>
      </c>
      <c r="D21" s="1814">
        <v>3456</v>
      </c>
      <c r="E21" s="1510">
        <f t="shared" si="2"/>
        <v>3456</v>
      </c>
      <c r="F21" s="1898">
        <f t="shared" si="1"/>
        <v>3456</v>
      </c>
      <c r="G21" s="1763">
        <f t="shared" si="3"/>
        <v>0</v>
      </c>
    </row>
    <row r="22" spans="1:8" x14ac:dyDescent="0.25">
      <c r="A22" s="1978" t="s">
        <v>3925</v>
      </c>
      <c r="B22" s="1977" t="s">
        <v>3926</v>
      </c>
      <c r="C22" s="1979" t="s">
        <v>3928</v>
      </c>
      <c r="D22" s="1814">
        <v>5890</v>
      </c>
      <c r="E22" s="1510">
        <f t="shared" si="2"/>
        <v>5890</v>
      </c>
      <c r="F22" s="1898">
        <f t="shared" si="1"/>
        <v>5890</v>
      </c>
      <c r="G22" s="1763">
        <f t="shared" si="3"/>
        <v>0</v>
      </c>
    </row>
    <row r="23" spans="1:8" x14ac:dyDescent="0.25">
      <c r="A23" s="1978" t="s">
        <v>3925</v>
      </c>
      <c r="B23" s="1977" t="s">
        <v>3926</v>
      </c>
      <c r="C23" s="1979" t="s">
        <v>3929</v>
      </c>
      <c r="D23" s="1814">
        <v>2700</v>
      </c>
      <c r="E23" s="1510">
        <f t="shared" si="2"/>
        <v>2700</v>
      </c>
      <c r="F23" s="1898">
        <f t="shared" si="1"/>
        <v>2700</v>
      </c>
      <c r="G23" s="1763">
        <f t="shared" si="3"/>
        <v>0</v>
      </c>
    </row>
    <row r="24" spans="1:8" x14ac:dyDescent="0.25">
      <c r="A24" s="1978" t="s">
        <v>3925</v>
      </c>
      <c r="B24" s="1977" t="s">
        <v>3926</v>
      </c>
      <c r="C24" s="1979" t="s">
        <v>3930</v>
      </c>
      <c r="D24" s="1814">
        <v>23404</v>
      </c>
      <c r="E24" s="1510">
        <f t="shared" si="2"/>
        <v>23404</v>
      </c>
      <c r="F24" s="1898">
        <f t="shared" si="1"/>
        <v>23404</v>
      </c>
      <c r="G24" s="1763">
        <f t="shared" si="3"/>
        <v>0</v>
      </c>
    </row>
    <row r="25" spans="1:8" x14ac:dyDescent="0.25">
      <c r="A25" s="1978" t="s">
        <v>3925</v>
      </c>
      <c r="B25" s="1977" t="s">
        <v>3926</v>
      </c>
      <c r="C25" s="1979" t="s">
        <v>3931</v>
      </c>
      <c r="D25" s="1814">
        <v>4402</v>
      </c>
      <c r="E25" s="1510">
        <f t="shared" si="2"/>
        <v>4402</v>
      </c>
      <c r="F25" s="1898">
        <f t="shared" si="1"/>
        <v>4402</v>
      </c>
      <c r="G25" s="1763">
        <f t="shared" si="3"/>
        <v>0</v>
      </c>
    </row>
    <row r="26" spans="1:8" x14ac:dyDescent="0.25">
      <c r="A26" s="1978" t="s">
        <v>3925</v>
      </c>
      <c r="B26" s="1977" t="s">
        <v>3926</v>
      </c>
      <c r="C26" s="1979" t="s">
        <v>3932</v>
      </c>
      <c r="D26" s="1814">
        <v>7141</v>
      </c>
      <c r="E26" s="1510">
        <f t="shared" si="2"/>
        <v>7141</v>
      </c>
      <c r="F26" s="1898">
        <f t="shared" si="1"/>
        <v>7141</v>
      </c>
      <c r="G26" s="1763">
        <f t="shared" si="3"/>
        <v>0</v>
      </c>
    </row>
    <row r="27" spans="1:8" x14ac:dyDescent="0.25">
      <c r="A27" s="1978" t="s">
        <v>3925</v>
      </c>
      <c r="B27" s="1977" t="s">
        <v>3926</v>
      </c>
      <c r="C27" s="1979" t="s">
        <v>3933</v>
      </c>
      <c r="D27" s="1814">
        <v>3360</v>
      </c>
      <c r="E27" s="1510">
        <f t="shared" si="2"/>
        <v>3360</v>
      </c>
      <c r="F27" s="1898">
        <f t="shared" si="1"/>
        <v>3360</v>
      </c>
      <c r="G27" s="1763">
        <f t="shared" si="3"/>
        <v>0</v>
      </c>
    </row>
    <row r="28" spans="1:8" x14ac:dyDescent="0.25">
      <c r="A28" s="1978" t="s">
        <v>3925</v>
      </c>
      <c r="B28" s="1977" t="s">
        <v>3926</v>
      </c>
      <c r="C28" s="1979" t="s">
        <v>3934</v>
      </c>
      <c r="D28" s="1814">
        <v>4394</v>
      </c>
      <c r="E28" s="1510">
        <f t="shared" si="2"/>
        <v>4394</v>
      </c>
      <c r="F28" s="1898">
        <f t="shared" si="1"/>
        <v>4394</v>
      </c>
      <c r="G28" s="1763">
        <f t="shared" si="3"/>
        <v>0</v>
      </c>
    </row>
    <row r="29" spans="1:8" x14ac:dyDescent="0.25">
      <c r="A29" s="1978" t="s">
        <v>3925</v>
      </c>
      <c r="B29" s="1977" t="s">
        <v>3926</v>
      </c>
      <c r="C29" s="1989" t="s">
        <v>3969</v>
      </c>
      <c r="D29" s="1814">
        <v>11500</v>
      </c>
      <c r="E29" s="1510">
        <f t="shared" si="2"/>
        <v>11500</v>
      </c>
      <c r="F29" s="1898">
        <f t="shared" si="1"/>
        <v>11500</v>
      </c>
      <c r="G29" s="1763">
        <f t="shared" si="3"/>
        <v>0</v>
      </c>
    </row>
    <row r="30" spans="1:8" x14ac:dyDescent="0.25">
      <c r="A30" s="1978" t="s">
        <v>3925</v>
      </c>
      <c r="B30" s="1977" t="s">
        <v>3926</v>
      </c>
      <c r="C30" s="1979" t="s">
        <v>3935</v>
      </c>
      <c r="D30" s="1814">
        <v>6000</v>
      </c>
      <c r="E30" s="1510">
        <f t="shared" si="2"/>
        <v>6000</v>
      </c>
      <c r="F30" s="1898">
        <f t="shared" si="1"/>
        <v>6000</v>
      </c>
      <c r="G30" s="1763">
        <f t="shared" si="3"/>
        <v>0</v>
      </c>
    </row>
    <row r="31" spans="1:8" x14ac:dyDescent="0.25">
      <c r="A31" s="1978" t="s">
        <v>3925</v>
      </c>
      <c r="B31" s="1977" t="s">
        <v>3926</v>
      </c>
      <c r="C31" s="1979" t="s">
        <v>3936</v>
      </c>
      <c r="D31" s="1814">
        <v>7800</v>
      </c>
      <c r="E31" s="1510">
        <f t="shared" si="2"/>
        <v>7800</v>
      </c>
      <c r="F31" s="1898">
        <f t="shared" si="1"/>
        <v>7800</v>
      </c>
      <c r="G31" s="1763">
        <f t="shared" si="3"/>
        <v>0</v>
      </c>
    </row>
    <row r="32" spans="1:8" x14ac:dyDescent="0.25">
      <c r="A32" s="1978" t="s">
        <v>3925</v>
      </c>
      <c r="B32" s="1977" t="s">
        <v>3926</v>
      </c>
      <c r="C32" s="1979" t="s">
        <v>3937</v>
      </c>
      <c r="D32" s="1814">
        <v>24000</v>
      </c>
      <c r="E32" s="1510">
        <f t="shared" si="2"/>
        <v>24000</v>
      </c>
      <c r="F32" s="1898">
        <f t="shared" si="1"/>
        <v>24000</v>
      </c>
      <c r="G32" s="1763">
        <f t="shared" si="3"/>
        <v>0</v>
      </c>
    </row>
    <row r="33" spans="1:7" x14ac:dyDescent="0.25">
      <c r="A33" s="1978" t="s">
        <v>3925</v>
      </c>
      <c r="B33" s="1977" t="s">
        <v>3926</v>
      </c>
      <c r="C33" s="1979" t="s">
        <v>3938</v>
      </c>
      <c r="D33" s="1814">
        <v>7200</v>
      </c>
      <c r="E33" s="1510">
        <f t="shared" si="2"/>
        <v>7200</v>
      </c>
      <c r="F33" s="1898">
        <f t="shared" si="1"/>
        <v>7200</v>
      </c>
      <c r="G33" s="1763">
        <f t="shared" si="3"/>
        <v>0</v>
      </c>
    </row>
    <row r="34" spans="1:7" x14ac:dyDescent="0.25">
      <c r="A34" s="1978" t="s">
        <v>3925</v>
      </c>
      <c r="B34" s="1977" t="s">
        <v>3926</v>
      </c>
      <c r="C34" s="1979" t="s">
        <v>3939</v>
      </c>
      <c r="D34" s="1814">
        <v>111893</v>
      </c>
      <c r="E34" s="1510">
        <f t="shared" si="2"/>
        <v>25000</v>
      </c>
      <c r="F34" s="1898">
        <f t="shared" si="1"/>
        <v>25000</v>
      </c>
      <c r="G34" s="1763">
        <f t="shared" si="3"/>
        <v>86893</v>
      </c>
    </row>
    <row r="35" spans="1:7" x14ac:dyDescent="0.25">
      <c r="A35" s="1978" t="s">
        <v>3925</v>
      </c>
      <c r="B35" s="1977" t="s">
        <v>3926</v>
      </c>
      <c r="C35" s="1979" t="s">
        <v>3940</v>
      </c>
      <c r="D35" s="1814">
        <v>26520</v>
      </c>
      <c r="E35" s="1510">
        <f t="shared" si="2"/>
        <v>25000</v>
      </c>
      <c r="F35" s="1898">
        <f t="shared" si="1"/>
        <v>25000</v>
      </c>
      <c r="G35" s="1763">
        <f t="shared" si="3"/>
        <v>1520</v>
      </c>
    </row>
    <row r="36" spans="1:7" x14ac:dyDescent="0.25">
      <c r="A36" s="1978" t="s">
        <v>3925</v>
      </c>
      <c r="B36" s="1977" t="s">
        <v>3926</v>
      </c>
      <c r="C36" s="1989" t="s">
        <v>3975</v>
      </c>
      <c r="D36" s="1814">
        <v>15510</v>
      </c>
      <c r="E36" s="1510">
        <f t="shared" si="2"/>
        <v>15510</v>
      </c>
      <c r="F36" s="1898">
        <f t="shared" si="1"/>
        <v>15510</v>
      </c>
      <c r="G36" s="1763">
        <f t="shared" si="3"/>
        <v>0</v>
      </c>
    </row>
    <row r="37" spans="1:7" x14ac:dyDescent="0.25">
      <c r="A37" s="1978" t="s">
        <v>3925</v>
      </c>
      <c r="B37" s="1977" t="s">
        <v>3926</v>
      </c>
      <c r="C37" s="1989" t="s">
        <v>3976</v>
      </c>
      <c r="D37" s="1814">
        <v>1628</v>
      </c>
      <c r="E37" s="1510">
        <f t="shared" si="2"/>
        <v>1628</v>
      </c>
      <c r="F37" s="1898">
        <f t="shared" si="1"/>
        <v>1628</v>
      </c>
      <c r="G37" s="1763">
        <f t="shared" si="3"/>
        <v>0</v>
      </c>
    </row>
    <row r="38" spans="1:7" x14ac:dyDescent="0.25">
      <c r="A38" s="1978" t="s">
        <v>3941</v>
      </c>
      <c r="B38" s="1981" t="s">
        <v>3942</v>
      </c>
      <c r="C38" s="1979" t="s">
        <v>3943</v>
      </c>
      <c r="D38" s="1814">
        <v>12800</v>
      </c>
      <c r="E38" s="1510">
        <f t="shared" si="2"/>
        <v>12800</v>
      </c>
      <c r="F38" s="1898">
        <f t="shared" si="1"/>
        <v>12800</v>
      </c>
      <c r="G38" s="1763">
        <f t="shared" si="3"/>
        <v>0</v>
      </c>
    </row>
    <row r="39" spans="1:7" x14ac:dyDescent="0.25">
      <c r="A39" s="1978" t="s">
        <v>3941</v>
      </c>
      <c r="B39" s="1981" t="s">
        <v>3942</v>
      </c>
      <c r="C39" s="1979" t="s">
        <v>3944</v>
      </c>
      <c r="D39" s="1814">
        <v>1046</v>
      </c>
      <c r="E39" s="1510">
        <f t="shared" si="2"/>
        <v>1046</v>
      </c>
      <c r="F39" s="1898">
        <f t="shared" si="1"/>
        <v>1046</v>
      </c>
      <c r="G39" s="1763">
        <f t="shared" si="3"/>
        <v>0</v>
      </c>
    </row>
    <row r="40" spans="1:7" x14ac:dyDescent="0.25">
      <c r="A40" s="1980" t="s">
        <v>3923</v>
      </c>
      <c r="B40" s="1977" t="s">
        <v>3924</v>
      </c>
      <c r="C40" s="1979" t="s">
        <v>3945</v>
      </c>
      <c r="D40" s="1814">
        <v>10650</v>
      </c>
      <c r="E40" s="1510">
        <f t="shared" si="2"/>
        <v>10650</v>
      </c>
      <c r="F40" s="1898">
        <f t="shared" si="1"/>
        <v>10650</v>
      </c>
      <c r="G40" s="1763">
        <f t="shared" si="3"/>
        <v>0</v>
      </c>
    </row>
    <row r="41" spans="1:7" x14ac:dyDescent="0.25">
      <c r="A41" s="1978" t="s">
        <v>3923</v>
      </c>
      <c r="B41" s="1977" t="s">
        <v>3924</v>
      </c>
      <c r="C41" s="1989" t="s">
        <v>3966</v>
      </c>
      <c r="D41" s="1814">
        <v>38928</v>
      </c>
      <c r="E41" s="1510">
        <f t="shared" si="2"/>
        <v>25000</v>
      </c>
      <c r="F41" s="1898">
        <f t="shared" si="1"/>
        <v>25000</v>
      </c>
      <c r="G41" s="1763">
        <f t="shared" si="3"/>
        <v>13928</v>
      </c>
    </row>
    <row r="42" spans="1:7" x14ac:dyDescent="0.25">
      <c r="A42" s="1978" t="s">
        <v>3946</v>
      </c>
      <c r="B42" s="1977" t="s">
        <v>3947</v>
      </c>
      <c r="C42" s="1979" t="s">
        <v>3948</v>
      </c>
      <c r="D42" s="1814">
        <v>1180</v>
      </c>
      <c r="E42" s="1510">
        <f t="shared" si="2"/>
        <v>1180</v>
      </c>
      <c r="F42" s="1898">
        <f t="shared" si="1"/>
        <v>1180</v>
      </c>
      <c r="G42" s="1763">
        <f t="shared" si="3"/>
        <v>0</v>
      </c>
    </row>
    <row r="43" spans="1:7" x14ac:dyDescent="0.25">
      <c r="A43" s="1978" t="s">
        <v>3949</v>
      </c>
      <c r="B43" s="1977" t="s">
        <v>3950</v>
      </c>
      <c r="C43" s="1979" t="s">
        <v>3951</v>
      </c>
      <c r="D43" s="1814">
        <v>88987</v>
      </c>
      <c r="E43" s="1510">
        <f t="shared" si="2"/>
        <v>25000</v>
      </c>
      <c r="F43" s="1898">
        <f t="shared" si="1"/>
        <v>25000</v>
      </c>
      <c r="G43" s="1763">
        <f t="shared" si="3"/>
        <v>63987</v>
      </c>
    </row>
    <row r="44" spans="1:7" x14ac:dyDescent="0.25">
      <c r="A44" s="1978" t="s">
        <v>3949</v>
      </c>
      <c r="B44" s="1977" t="s">
        <v>3950</v>
      </c>
      <c r="C44" s="1979" t="s">
        <v>3952</v>
      </c>
      <c r="D44" s="1814">
        <v>15650</v>
      </c>
      <c r="E44" s="1510">
        <f t="shared" si="2"/>
        <v>15650</v>
      </c>
      <c r="F44" s="1898">
        <f t="shared" si="1"/>
        <v>15650</v>
      </c>
      <c r="G44" s="1763">
        <f t="shared" si="3"/>
        <v>0</v>
      </c>
    </row>
    <row r="45" spans="1:7" x14ac:dyDescent="0.25">
      <c r="A45" s="1978" t="s">
        <v>3949</v>
      </c>
      <c r="B45" s="1977" t="s">
        <v>3950</v>
      </c>
      <c r="C45" s="1979" t="s">
        <v>3953</v>
      </c>
      <c r="D45" s="1814">
        <v>1200</v>
      </c>
      <c r="E45" s="1510">
        <f t="shared" si="2"/>
        <v>1200</v>
      </c>
      <c r="F45" s="1898">
        <f t="shared" si="1"/>
        <v>1200</v>
      </c>
      <c r="G45" s="1763">
        <f t="shared" si="3"/>
        <v>0</v>
      </c>
    </row>
    <row r="46" spans="1:7" x14ac:dyDescent="0.25">
      <c r="A46" s="1978" t="s">
        <v>3949</v>
      </c>
      <c r="B46" s="1977" t="s">
        <v>3950</v>
      </c>
      <c r="C46" s="1979" t="s">
        <v>3954</v>
      </c>
      <c r="D46" s="1814">
        <v>1909</v>
      </c>
      <c r="E46" s="1510">
        <f t="shared" si="2"/>
        <v>1909</v>
      </c>
      <c r="F46" s="1898">
        <f t="shared" si="1"/>
        <v>1909</v>
      </c>
      <c r="G46" s="1763">
        <f t="shared" si="3"/>
        <v>0</v>
      </c>
    </row>
    <row r="47" spans="1:7" x14ac:dyDescent="0.25">
      <c r="A47" s="1978" t="s">
        <v>3949</v>
      </c>
      <c r="B47" s="1977" t="s">
        <v>3950</v>
      </c>
      <c r="C47" s="1989" t="s">
        <v>3970</v>
      </c>
      <c r="D47" s="1814">
        <v>20030</v>
      </c>
      <c r="E47" s="1510">
        <f t="shared" si="2"/>
        <v>20030</v>
      </c>
      <c r="F47" s="1898">
        <f t="shared" si="1"/>
        <v>20030</v>
      </c>
      <c r="G47" s="1763">
        <f t="shared" si="3"/>
        <v>0</v>
      </c>
    </row>
    <row r="48" spans="1:7" x14ac:dyDescent="0.25">
      <c r="A48" s="1978" t="s">
        <v>3949</v>
      </c>
      <c r="B48" s="1977" t="s">
        <v>3950</v>
      </c>
      <c r="C48" s="1979" t="s">
        <v>3955</v>
      </c>
      <c r="D48" s="1814">
        <v>8995</v>
      </c>
      <c r="E48" s="1510">
        <f t="shared" si="2"/>
        <v>8995</v>
      </c>
      <c r="F48" s="1898">
        <f t="shared" si="1"/>
        <v>8995</v>
      </c>
      <c r="G48" s="1763">
        <f t="shared" si="3"/>
        <v>0</v>
      </c>
    </row>
    <row r="49" spans="1:7" x14ac:dyDescent="0.25">
      <c r="A49" s="1978" t="s">
        <v>3949</v>
      </c>
      <c r="B49" s="1977" t="s">
        <v>3950</v>
      </c>
      <c r="C49" s="1989" t="s">
        <v>3971</v>
      </c>
      <c r="D49" s="1814">
        <v>6150</v>
      </c>
      <c r="E49" s="1510">
        <f t="shared" si="2"/>
        <v>6150</v>
      </c>
      <c r="F49" s="1898">
        <f t="shared" si="1"/>
        <v>6150</v>
      </c>
      <c r="G49" s="1763">
        <f t="shared" si="3"/>
        <v>0</v>
      </c>
    </row>
    <row r="50" spans="1:7" x14ac:dyDescent="0.25">
      <c r="A50" s="1978" t="s">
        <v>3949</v>
      </c>
      <c r="B50" s="1977" t="s">
        <v>3950</v>
      </c>
      <c r="C50" s="1979" t="s">
        <v>3956</v>
      </c>
      <c r="D50" s="1814">
        <v>675</v>
      </c>
      <c r="E50" s="1510">
        <f t="shared" si="2"/>
        <v>675</v>
      </c>
      <c r="F50" s="1898">
        <f t="shared" si="1"/>
        <v>675</v>
      </c>
      <c r="G50" s="1763">
        <f t="shared" si="3"/>
        <v>0</v>
      </c>
    </row>
    <row r="51" spans="1:7" x14ac:dyDescent="0.25">
      <c r="A51" s="1990" t="s">
        <v>3973</v>
      </c>
      <c r="B51" s="1991" t="s">
        <v>3974</v>
      </c>
      <c r="C51" s="1989" t="s">
        <v>3972</v>
      </c>
      <c r="D51" s="1814">
        <v>1335</v>
      </c>
      <c r="E51" s="1510">
        <f t="shared" si="2"/>
        <v>1335</v>
      </c>
      <c r="F51" s="1898">
        <f t="shared" si="1"/>
        <v>1335</v>
      </c>
      <c r="G51" s="1763">
        <f t="shared" si="3"/>
        <v>0</v>
      </c>
    </row>
    <row r="52" spans="1:7" x14ac:dyDescent="0.25">
      <c r="A52" s="1623"/>
      <c r="B52" s="1637"/>
      <c r="C52" s="1624"/>
      <c r="D52" s="1814"/>
      <c r="E52" s="1510">
        <f t="shared" si="2"/>
        <v>0</v>
      </c>
      <c r="F52" s="1898">
        <f t="shared" si="1"/>
        <v>0</v>
      </c>
      <c r="G52" s="1763">
        <f t="shared" si="3"/>
        <v>0</v>
      </c>
    </row>
    <row r="53" spans="1:7" x14ac:dyDescent="0.25">
      <c r="A53" s="1623"/>
      <c r="B53" s="1637"/>
      <c r="C53" s="1624"/>
      <c r="D53" s="1814"/>
      <c r="E53" s="1510">
        <f t="shared" si="2"/>
        <v>0</v>
      </c>
      <c r="F53" s="1898">
        <f t="shared" si="1"/>
        <v>0</v>
      </c>
      <c r="G53" s="1763">
        <f t="shared" si="3"/>
        <v>0</v>
      </c>
    </row>
    <row r="54" spans="1:7" x14ac:dyDescent="0.25">
      <c r="A54" s="1623"/>
      <c r="B54" s="1637"/>
      <c r="C54" s="1624"/>
      <c r="D54" s="1814"/>
      <c r="E54" s="1510">
        <f t="shared" si="2"/>
        <v>0</v>
      </c>
      <c r="F54" s="1898">
        <f t="shared" si="1"/>
        <v>0</v>
      </c>
      <c r="G54" s="1763">
        <f t="shared" si="3"/>
        <v>0</v>
      </c>
    </row>
    <row r="55" spans="1:7" x14ac:dyDescent="0.25">
      <c r="A55" s="1623"/>
      <c r="B55" s="1637"/>
      <c r="C55" s="1624"/>
      <c r="D55" s="1814"/>
      <c r="E55" s="1510">
        <f t="shared" si="2"/>
        <v>0</v>
      </c>
      <c r="F55" s="1898">
        <f t="shared" si="1"/>
        <v>0</v>
      </c>
      <c r="G55" s="1763">
        <f t="shared" si="3"/>
        <v>0</v>
      </c>
    </row>
    <row r="56" spans="1:7" x14ac:dyDescent="0.25">
      <c r="A56" s="1623"/>
      <c r="B56" s="1637"/>
      <c r="C56" s="1624"/>
      <c r="D56" s="1814"/>
      <c r="E56" s="1510">
        <f t="shared" si="2"/>
        <v>0</v>
      </c>
      <c r="F56" s="1898">
        <f t="shared" si="1"/>
        <v>0</v>
      </c>
      <c r="G56" s="1763">
        <f t="shared" si="3"/>
        <v>0</v>
      </c>
    </row>
    <row r="57" spans="1:7" x14ac:dyDescent="0.25">
      <c r="A57" s="1623"/>
      <c r="B57" s="1637"/>
      <c r="C57" s="1624"/>
      <c r="D57" s="1814"/>
      <c r="E57" s="1510">
        <f t="shared" si="2"/>
        <v>0</v>
      </c>
      <c r="F57" s="1898">
        <f t="shared" si="1"/>
        <v>0</v>
      </c>
      <c r="G57" s="1763">
        <f t="shared" si="3"/>
        <v>0</v>
      </c>
    </row>
    <row r="58" spans="1:7" x14ac:dyDescent="0.25">
      <c r="A58" s="1623"/>
      <c r="B58" s="1637"/>
      <c r="C58" s="1624"/>
      <c r="D58" s="1814"/>
      <c r="E58" s="1510">
        <f t="shared" si="2"/>
        <v>0</v>
      </c>
      <c r="F58" s="1898">
        <f t="shared" si="1"/>
        <v>0</v>
      </c>
      <c r="G58" s="1763">
        <f t="shared" si="3"/>
        <v>0</v>
      </c>
    </row>
    <row r="59" spans="1:7" x14ac:dyDescent="0.25">
      <c r="A59" s="1623"/>
      <c r="B59" s="1637"/>
      <c r="C59" s="1624"/>
      <c r="D59" s="1814"/>
      <c r="E59" s="1510">
        <f t="shared" si="2"/>
        <v>0</v>
      </c>
      <c r="F59" s="1898">
        <f t="shared" si="1"/>
        <v>0</v>
      </c>
      <c r="G59" s="1763">
        <f t="shared" si="3"/>
        <v>0</v>
      </c>
    </row>
    <row r="60" spans="1:7" x14ac:dyDescent="0.25">
      <c r="A60" s="1623"/>
      <c r="B60" s="1637"/>
      <c r="C60" s="1624"/>
      <c r="D60" s="1814"/>
      <c r="E60" s="1510">
        <f t="shared" si="2"/>
        <v>0</v>
      </c>
      <c r="F60" s="1898">
        <f t="shared" si="1"/>
        <v>0</v>
      </c>
      <c r="G60" s="1763">
        <f t="shared" si="3"/>
        <v>0</v>
      </c>
    </row>
    <row r="61" spans="1:7" x14ac:dyDescent="0.25">
      <c r="A61" s="1623"/>
      <c r="B61" s="1637"/>
      <c r="C61" s="1624"/>
      <c r="D61" s="1814"/>
      <c r="E61" s="1510">
        <f t="shared" si="2"/>
        <v>0</v>
      </c>
      <c r="F61" s="1898">
        <f t="shared" si="1"/>
        <v>0</v>
      </c>
      <c r="G61" s="1763">
        <f t="shared" si="3"/>
        <v>0</v>
      </c>
    </row>
    <row r="62" spans="1:7" x14ac:dyDescent="0.25">
      <c r="A62" s="1623"/>
      <c r="B62" s="1637"/>
      <c r="C62" s="1624"/>
      <c r="D62" s="1814"/>
      <c r="E62" s="1510">
        <f t="shared" si="2"/>
        <v>0</v>
      </c>
      <c r="F62" s="1898">
        <f t="shared" si="1"/>
        <v>0</v>
      </c>
      <c r="G62" s="1763">
        <f t="shared" si="3"/>
        <v>0</v>
      </c>
    </row>
    <row r="63" spans="1:7" x14ac:dyDescent="0.25">
      <c r="A63" s="1623"/>
      <c r="B63" s="1637"/>
      <c r="C63" s="1624"/>
      <c r="D63" s="1814"/>
      <c r="E63" s="1510">
        <f t="shared" si="2"/>
        <v>0</v>
      </c>
      <c r="F63" s="1898">
        <f t="shared" si="1"/>
        <v>0</v>
      </c>
      <c r="G63" s="1763">
        <f t="shared" si="3"/>
        <v>0</v>
      </c>
    </row>
    <row r="64" spans="1:7" x14ac:dyDescent="0.25">
      <c r="A64" s="1625"/>
      <c r="B64" s="1637"/>
      <c r="C64" s="1626"/>
      <c r="D64" s="1814"/>
      <c r="E64" s="1510">
        <f t="shared" si="2"/>
        <v>0</v>
      </c>
      <c r="F64" s="1898">
        <f t="shared" si="1"/>
        <v>0</v>
      </c>
      <c r="G64" s="1763">
        <f t="shared" si="3"/>
        <v>0</v>
      </c>
    </row>
    <row r="65" spans="1:7" x14ac:dyDescent="0.25">
      <c r="A65" s="1623"/>
      <c r="B65" s="1637"/>
      <c r="C65" s="1624"/>
      <c r="D65" s="1814"/>
      <c r="E65" s="1510">
        <f t="shared" si="2"/>
        <v>0</v>
      </c>
      <c r="F65" s="1898">
        <f t="shared" si="1"/>
        <v>0</v>
      </c>
      <c r="G65" s="1763">
        <f t="shared" si="3"/>
        <v>0</v>
      </c>
    </row>
    <row r="66" spans="1:7" x14ac:dyDescent="0.25">
      <c r="A66" s="1623"/>
      <c r="B66" s="1637"/>
      <c r="C66" s="1624"/>
      <c r="D66" s="1814"/>
      <c r="E66" s="1510">
        <f t="shared" si="2"/>
        <v>0</v>
      </c>
      <c r="F66" s="1898">
        <f t="shared" si="1"/>
        <v>0</v>
      </c>
      <c r="G66" s="1763">
        <f t="shared" si="3"/>
        <v>0</v>
      </c>
    </row>
    <row r="67" spans="1:7" x14ac:dyDescent="0.25">
      <c r="A67" s="1623"/>
      <c r="B67" s="1637"/>
      <c r="C67" s="1624"/>
      <c r="D67" s="1814"/>
      <c r="E67" s="1510">
        <f t="shared" si="2"/>
        <v>0</v>
      </c>
      <c r="F67" s="1898">
        <f t="shared" si="1"/>
        <v>0</v>
      </c>
      <c r="G67" s="1763">
        <f t="shared" si="3"/>
        <v>0</v>
      </c>
    </row>
    <row r="68" spans="1:7" x14ac:dyDescent="0.25">
      <c r="A68" s="1623"/>
      <c r="B68" s="1637"/>
      <c r="C68" s="1624"/>
      <c r="D68" s="1814"/>
      <c r="E68" s="1510">
        <f t="shared" si="2"/>
        <v>0</v>
      </c>
      <c r="F68" s="1898">
        <f t="shared" si="1"/>
        <v>0</v>
      </c>
      <c r="G68" s="1763">
        <f t="shared" si="3"/>
        <v>0</v>
      </c>
    </row>
    <row r="69" spans="1:7" x14ac:dyDescent="0.25">
      <c r="A69" s="1623"/>
      <c r="B69" s="1637"/>
      <c r="C69" s="1624"/>
      <c r="D69" s="1814"/>
      <c r="E69" s="1510">
        <f t="shared" si="2"/>
        <v>0</v>
      </c>
      <c r="F69" s="1898">
        <f t="shared" si="1"/>
        <v>0</v>
      </c>
      <c r="G69" s="1763">
        <f t="shared" si="3"/>
        <v>0</v>
      </c>
    </row>
    <row r="70" spans="1:7" x14ac:dyDescent="0.25">
      <c r="A70" s="1623"/>
      <c r="B70" s="1637"/>
      <c r="C70" s="1624"/>
      <c r="D70" s="1814"/>
      <c r="E70" s="1510">
        <f t="shared" si="2"/>
        <v>0</v>
      </c>
      <c r="F70" s="1898">
        <f t="shared" si="1"/>
        <v>0</v>
      </c>
      <c r="G70" s="1763">
        <f t="shared" si="3"/>
        <v>0</v>
      </c>
    </row>
    <row r="71" spans="1:7" x14ac:dyDescent="0.25">
      <c r="A71" s="1623"/>
      <c r="B71" s="1637"/>
      <c r="C71" s="1624"/>
      <c r="D71" s="1814"/>
      <c r="E71" s="1510">
        <f t="shared" si="2"/>
        <v>0</v>
      </c>
      <c r="F71" s="1898">
        <f t="shared" si="1"/>
        <v>0</v>
      </c>
      <c r="G71" s="1763">
        <f t="shared" si="3"/>
        <v>0</v>
      </c>
    </row>
    <row r="72" spans="1:7" x14ac:dyDescent="0.25">
      <c r="A72" s="1623"/>
      <c r="B72" s="1637"/>
      <c r="C72" s="1624"/>
      <c r="D72" s="1814"/>
      <c r="E72" s="1510">
        <f t="shared" si="2"/>
        <v>0</v>
      </c>
      <c r="F72" s="1898">
        <f t="shared" si="1"/>
        <v>0</v>
      </c>
      <c r="G72" s="1763">
        <f t="shared" si="3"/>
        <v>0</v>
      </c>
    </row>
    <row r="73" spans="1:7" x14ac:dyDescent="0.25">
      <c r="A73" s="1623"/>
      <c r="B73" s="1637"/>
      <c r="C73" s="1624"/>
      <c r="D73" s="1814"/>
      <c r="E73" s="1510">
        <f t="shared" ref="E73:E84" si="4">IF(D73&lt;=25000,D73,IF(D73&gt;25000,25000,0))</f>
        <v>0</v>
      </c>
      <c r="F73" s="1898">
        <f t="shared" si="1"/>
        <v>0</v>
      </c>
      <c r="G73" s="1763">
        <f t="shared" ref="G73:G84" si="5">IF(F73=0,0,D73-F73)</f>
        <v>0</v>
      </c>
    </row>
    <row r="74" spans="1:7" x14ac:dyDescent="0.25">
      <c r="A74" s="1623"/>
      <c r="B74" s="1637"/>
      <c r="C74" s="1624"/>
      <c r="D74" s="1814"/>
      <c r="E74" s="1510">
        <f t="shared" si="4"/>
        <v>0</v>
      </c>
      <c r="F74" s="1898">
        <f t="shared" si="1"/>
        <v>0</v>
      </c>
      <c r="G74" s="1763">
        <f t="shared" si="5"/>
        <v>0</v>
      </c>
    </row>
    <row r="75" spans="1:7" x14ac:dyDescent="0.25">
      <c r="A75" s="1623"/>
      <c r="B75" s="1637"/>
      <c r="C75" s="1624"/>
      <c r="D75" s="1814"/>
      <c r="E75" s="1510">
        <f t="shared" si="4"/>
        <v>0</v>
      </c>
      <c r="F75" s="1898">
        <f t="shared" si="1"/>
        <v>0</v>
      </c>
      <c r="G75" s="1763">
        <f t="shared" si="5"/>
        <v>0</v>
      </c>
    </row>
    <row r="76" spans="1:7" x14ac:dyDescent="0.25">
      <c r="A76" s="1623"/>
      <c r="B76" s="1637"/>
      <c r="C76" s="1624"/>
      <c r="D76" s="1814"/>
      <c r="E76" s="1510">
        <f t="shared" si="4"/>
        <v>0</v>
      </c>
      <c r="F76" s="1898">
        <f t="shared" si="1"/>
        <v>0</v>
      </c>
      <c r="G76" s="1763">
        <f t="shared" si="5"/>
        <v>0</v>
      </c>
    </row>
    <row r="77" spans="1:7" x14ac:dyDescent="0.25">
      <c r="A77" s="1623"/>
      <c r="B77" s="1637"/>
      <c r="C77" s="1624"/>
      <c r="D77" s="1814"/>
      <c r="E77" s="1510">
        <f t="shared" si="4"/>
        <v>0</v>
      </c>
      <c r="F77" s="1898">
        <f t="shared" si="1"/>
        <v>0</v>
      </c>
      <c r="G77" s="1763">
        <f t="shared" si="5"/>
        <v>0</v>
      </c>
    </row>
    <row r="78" spans="1:7" x14ac:dyDescent="0.25">
      <c r="A78" s="1623"/>
      <c r="B78" s="1637"/>
      <c r="C78" s="1624"/>
      <c r="D78" s="1814"/>
      <c r="E78" s="1510">
        <f t="shared" si="4"/>
        <v>0</v>
      </c>
      <c r="F78" s="1898">
        <f t="shared" si="1"/>
        <v>0</v>
      </c>
      <c r="G78" s="1763">
        <f t="shared" si="5"/>
        <v>0</v>
      </c>
    </row>
    <row r="79" spans="1:7" x14ac:dyDescent="0.25">
      <c r="A79" s="1623"/>
      <c r="B79" s="1637"/>
      <c r="C79" s="1624"/>
      <c r="D79" s="1814"/>
      <c r="E79" s="1510">
        <f t="shared" si="4"/>
        <v>0</v>
      </c>
      <c r="F79" s="1898">
        <f t="shared" si="1"/>
        <v>0</v>
      </c>
      <c r="G79" s="1763">
        <f t="shared" si="5"/>
        <v>0</v>
      </c>
    </row>
    <row r="80" spans="1:7" x14ac:dyDescent="0.25">
      <c r="A80" s="1623"/>
      <c r="B80" s="1637"/>
      <c r="C80" s="1624"/>
      <c r="D80" s="1814"/>
      <c r="E80" s="1510">
        <f t="shared" si="4"/>
        <v>0</v>
      </c>
      <c r="F80" s="1898">
        <f t="shared" si="1"/>
        <v>0</v>
      </c>
      <c r="G80" s="1763">
        <f t="shared" si="5"/>
        <v>0</v>
      </c>
    </row>
    <row r="81" spans="1:7" x14ac:dyDescent="0.25">
      <c r="A81" s="1623"/>
      <c r="B81" s="1637"/>
      <c r="C81" s="1624"/>
      <c r="D81" s="1814"/>
      <c r="E81" s="1510">
        <f t="shared" si="4"/>
        <v>0</v>
      </c>
      <c r="F81" s="189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3">
        <f t="shared" si="5"/>
        <v>0</v>
      </c>
    </row>
    <row r="82" spans="1:7" x14ac:dyDescent="0.25">
      <c r="A82" s="1623"/>
      <c r="B82" s="1637"/>
      <c r="C82" s="1624"/>
      <c r="D82" s="1814"/>
      <c r="E82" s="1510">
        <f t="shared" si="4"/>
        <v>0</v>
      </c>
      <c r="F82" s="1898">
        <f t="shared" si="6"/>
        <v>0</v>
      </c>
      <c r="G82" s="1763">
        <f t="shared" si="5"/>
        <v>0</v>
      </c>
    </row>
    <row r="83" spans="1:7" x14ac:dyDescent="0.25">
      <c r="A83" s="1623"/>
      <c r="B83" s="1637"/>
      <c r="C83" s="1624"/>
      <c r="D83" s="1814"/>
      <c r="E83" s="1510">
        <f t="shared" si="4"/>
        <v>0</v>
      </c>
      <c r="F83" s="1898">
        <f t="shared" si="6"/>
        <v>0</v>
      </c>
      <c r="G83" s="1763">
        <f t="shared" si="5"/>
        <v>0</v>
      </c>
    </row>
    <row r="84" spans="1:7" x14ac:dyDescent="0.25">
      <c r="A84" s="1623"/>
      <c r="B84" s="1637"/>
      <c r="C84" s="1624"/>
      <c r="D84" s="1814"/>
      <c r="E84" s="1510">
        <f t="shared" si="4"/>
        <v>0</v>
      </c>
      <c r="F84" s="1898">
        <f t="shared" si="6"/>
        <v>0</v>
      </c>
      <c r="G84" s="1763">
        <f t="shared" si="5"/>
        <v>0</v>
      </c>
    </row>
    <row r="85" spans="1:7" x14ac:dyDescent="0.25">
      <c r="A85" s="1623"/>
      <c r="B85" s="1637"/>
      <c r="C85" s="1624"/>
      <c r="D85" s="1814"/>
      <c r="E85" s="1510">
        <f t="shared" si="2"/>
        <v>0</v>
      </c>
      <c r="F85" s="1898">
        <f t="shared" si="6"/>
        <v>0</v>
      </c>
      <c r="G85" s="1763">
        <f t="shared" si="3"/>
        <v>0</v>
      </c>
    </row>
    <row r="86" spans="1:7" x14ac:dyDescent="0.25">
      <c r="A86" s="1623"/>
      <c r="B86" s="1637"/>
      <c r="C86" s="1624"/>
      <c r="D86" s="1814"/>
      <c r="E86" s="1510">
        <f t="shared" si="2"/>
        <v>0</v>
      </c>
      <c r="F86" s="1898">
        <f t="shared" si="6"/>
        <v>0</v>
      </c>
      <c r="G86" s="1763">
        <f t="shared" si="3"/>
        <v>0</v>
      </c>
    </row>
    <row r="87" spans="1:7" x14ac:dyDescent="0.25">
      <c r="A87" s="1623"/>
      <c r="B87" s="1637"/>
      <c r="C87" s="1624"/>
      <c r="D87" s="1814"/>
      <c r="E87" s="1510">
        <f t="shared" si="2"/>
        <v>0</v>
      </c>
      <c r="F87" s="1898">
        <f t="shared" si="6"/>
        <v>0</v>
      </c>
      <c r="G87" s="1763">
        <f t="shared" si="3"/>
        <v>0</v>
      </c>
    </row>
    <row r="88" spans="1:7" x14ac:dyDescent="0.25">
      <c r="A88" s="1623"/>
      <c r="B88" s="1637"/>
      <c r="C88" s="1624"/>
      <c r="D88" s="1814"/>
      <c r="E88" s="1510">
        <f t="shared" si="2"/>
        <v>0</v>
      </c>
      <c r="F88" s="1898">
        <f t="shared" si="6"/>
        <v>0</v>
      </c>
      <c r="G88" s="1763">
        <f t="shared" si="3"/>
        <v>0</v>
      </c>
    </row>
    <row r="89" spans="1:7" x14ac:dyDescent="0.25">
      <c r="A89" s="1623"/>
      <c r="B89" s="1637"/>
      <c r="C89" s="1624"/>
      <c r="D89" s="1814"/>
      <c r="E89" s="1510">
        <f t="shared" si="2"/>
        <v>0</v>
      </c>
      <c r="F89" s="1898">
        <f t="shared" si="6"/>
        <v>0</v>
      </c>
      <c r="G89" s="1763">
        <f t="shared" si="3"/>
        <v>0</v>
      </c>
    </row>
    <row r="90" spans="1:7" x14ac:dyDescent="0.25">
      <c r="A90" s="1623"/>
      <c r="B90" s="1637"/>
      <c r="C90" s="1624"/>
      <c r="D90" s="1814"/>
      <c r="E90" s="1510">
        <f t="shared" si="2"/>
        <v>0</v>
      </c>
      <c r="F90" s="1898">
        <f t="shared" si="6"/>
        <v>0</v>
      </c>
      <c r="G90" s="1763">
        <f t="shared" si="3"/>
        <v>0</v>
      </c>
    </row>
    <row r="91" spans="1:7" x14ac:dyDescent="0.25">
      <c r="A91" s="1623"/>
      <c r="B91" s="1637"/>
      <c r="C91" s="1624"/>
      <c r="D91" s="1814"/>
      <c r="E91" s="1510">
        <f t="shared" si="2"/>
        <v>0</v>
      </c>
      <c r="F91" s="1898">
        <f t="shared" si="6"/>
        <v>0</v>
      </c>
      <c r="G91" s="1763">
        <f t="shared" si="3"/>
        <v>0</v>
      </c>
    </row>
    <row r="92" spans="1:7" x14ac:dyDescent="0.25">
      <c r="A92" s="1623"/>
      <c r="B92" s="1637"/>
      <c r="C92" s="1624"/>
      <c r="D92" s="1814"/>
      <c r="E92" s="1510">
        <f t="shared" si="2"/>
        <v>0</v>
      </c>
      <c r="F92" s="1898">
        <f t="shared" si="6"/>
        <v>0</v>
      </c>
      <c r="G92" s="1763">
        <f t="shared" si="3"/>
        <v>0</v>
      </c>
    </row>
    <row r="93" spans="1:7" x14ac:dyDescent="0.25">
      <c r="A93" s="1623"/>
      <c r="B93" s="1637"/>
      <c r="C93" s="1624"/>
      <c r="D93" s="1814"/>
      <c r="E93" s="1510">
        <f t="shared" ref="E93" si="7">IF(D93&lt;=25000,D93,IF(D93&gt;25000,25000,0))</f>
        <v>0</v>
      </c>
      <c r="F93" s="1898">
        <f t="shared" si="6"/>
        <v>0</v>
      </c>
      <c r="G93" s="1763">
        <f t="shared" ref="G93" si="8">IF(F93=0,0,D93-F93)</f>
        <v>0</v>
      </c>
    </row>
    <row r="94" spans="1:7" x14ac:dyDescent="0.25">
      <c r="A94" s="1623"/>
      <c r="B94" s="1637"/>
      <c r="C94" s="1624"/>
      <c r="D94" s="1814"/>
      <c r="E94" s="1510">
        <f t="shared" si="2"/>
        <v>0</v>
      </c>
      <c r="F94" s="1898">
        <f t="shared" si="6"/>
        <v>0</v>
      </c>
      <c r="G94" s="1763">
        <f t="shared" si="3"/>
        <v>0</v>
      </c>
    </row>
    <row r="95" spans="1:7" x14ac:dyDescent="0.25">
      <c r="A95" s="1623"/>
      <c r="B95" s="1637"/>
      <c r="C95" s="1624"/>
      <c r="D95" s="1814"/>
      <c r="E95" s="1510">
        <f t="shared" ref="E95:E98" si="9">IF(D95&lt;=25000,D95,IF(D95&gt;25000,25000,0))</f>
        <v>0</v>
      </c>
      <c r="F95" s="1898">
        <f t="shared" si="6"/>
        <v>0</v>
      </c>
      <c r="G95" s="1763">
        <f t="shared" ref="G95:G98" si="10">IF(F95=0,0,D95-F95)</f>
        <v>0</v>
      </c>
    </row>
    <row r="96" spans="1:7" x14ac:dyDescent="0.25">
      <c r="A96" s="1623"/>
      <c r="B96" s="1637"/>
      <c r="C96" s="1624"/>
      <c r="D96" s="1814"/>
      <c r="E96" s="1510">
        <f t="shared" si="9"/>
        <v>0</v>
      </c>
      <c r="F96" s="1898">
        <f t="shared" si="6"/>
        <v>0</v>
      </c>
      <c r="G96" s="1763">
        <f t="shared" si="10"/>
        <v>0</v>
      </c>
    </row>
    <row r="97" spans="1:7" x14ac:dyDescent="0.25">
      <c r="A97" s="1623"/>
      <c r="B97" s="1637"/>
      <c r="C97" s="1624"/>
      <c r="D97" s="1814"/>
      <c r="E97" s="1510">
        <f t="shared" si="9"/>
        <v>0</v>
      </c>
      <c r="F97" s="1898">
        <f t="shared" si="6"/>
        <v>0</v>
      </c>
      <c r="G97" s="1763">
        <f t="shared" si="10"/>
        <v>0</v>
      </c>
    </row>
    <row r="98" spans="1:7" x14ac:dyDescent="0.25">
      <c r="A98" s="1623"/>
      <c r="B98" s="1637"/>
      <c r="C98" s="1624"/>
      <c r="D98" s="1814"/>
      <c r="E98" s="1510">
        <f t="shared" si="9"/>
        <v>0</v>
      </c>
      <c r="F98" s="1898">
        <f t="shared" si="6"/>
        <v>0</v>
      </c>
      <c r="G98" s="1763">
        <f t="shared" si="10"/>
        <v>0</v>
      </c>
    </row>
    <row r="99" spans="1:7" x14ac:dyDescent="0.25">
      <c r="A99" s="1623"/>
      <c r="B99" s="1637"/>
      <c r="C99" s="1624"/>
      <c r="D99" s="1814"/>
      <c r="E99" s="1510">
        <f t="shared" ref="E99" si="11">IF(D99&lt;=25000,D99,IF(D99&gt;25000,25000,0))</f>
        <v>0</v>
      </c>
      <c r="F99" s="1898">
        <f t="shared" si="6"/>
        <v>0</v>
      </c>
      <c r="G99" s="1763">
        <f t="shared" ref="G99" si="12">IF(F99=0,0,D99-F99)</f>
        <v>0</v>
      </c>
    </row>
    <row r="100" spans="1:7" x14ac:dyDescent="0.25">
      <c r="A100" s="1623"/>
      <c r="B100" s="1637"/>
      <c r="C100" s="1624"/>
      <c r="D100" s="1814"/>
      <c r="E100" s="1510">
        <f t="shared" ref="E100:E112" si="13">IF(D100&lt;=25000,D100,IF(D100&gt;25000,25000,0))</f>
        <v>0</v>
      </c>
      <c r="F100" s="1898">
        <f t="shared" si="6"/>
        <v>0</v>
      </c>
      <c r="G100" s="1763">
        <f t="shared" ref="G100:G112" si="14">IF(F100=0,0,D100-F100)</f>
        <v>0</v>
      </c>
    </row>
    <row r="101" spans="1:7" x14ac:dyDescent="0.25">
      <c r="A101" s="1623"/>
      <c r="B101" s="1637"/>
      <c r="C101" s="1624"/>
      <c r="D101" s="1814"/>
      <c r="E101" s="1510">
        <f t="shared" si="13"/>
        <v>0</v>
      </c>
      <c r="F101" s="1898">
        <f t="shared" si="6"/>
        <v>0</v>
      </c>
      <c r="G101" s="1763">
        <f t="shared" si="14"/>
        <v>0</v>
      </c>
    </row>
    <row r="102" spans="1:7" x14ac:dyDescent="0.25">
      <c r="A102" s="1623"/>
      <c r="B102" s="1637"/>
      <c r="C102" s="1624"/>
      <c r="D102" s="1814"/>
      <c r="E102" s="1510">
        <f t="shared" si="13"/>
        <v>0</v>
      </c>
      <c r="F102" s="1898">
        <f t="shared" si="6"/>
        <v>0</v>
      </c>
      <c r="G102" s="1763">
        <f t="shared" si="14"/>
        <v>0</v>
      </c>
    </row>
    <row r="103" spans="1:7" x14ac:dyDescent="0.25">
      <c r="A103" s="1623"/>
      <c r="B103" s="1637"/>
      <c r="C103" s="1624"/>
      <c r="D103" s="1814"/>
      <c r="E103" s="1510">
        <f t="shared" si="13"/>
        <v>0</v>
      </c>
      <c r="F103" s="1898">
        <f t="shared" si="6"/>
        <v>0</v>
      </c>
      <c r="G103" s="1763">
        <f t="shared" si="14"/>
        <v>0</v>
      </c>
    </row>
    <row r="104" spans="1:7" x14ac:dyDescent="0.25">
      <c r="A104" s="1623"/>
      <c r="B104" s="1637"/>
      <c r="C104" s="1624"/>
      <c r="D104" s="1814"/>
      <c r="E104" s="1510">
        <f t="shared" si="13"/>
        <v>0</v>
      </c>
      <c r="F104" s="1898">
        <f t="shared" si="6"/>
        <v>0</v>
      </c>
      <c r="G104" s="1763">
        <f t="shared" si="14"/>
        <v>0</v>
      </c>
    </row>
    <row r="105" spans="1:7" x14ac:dyDescent="0.25">
      <c r="A105" s="1623"/>
      <c r="B105" s="1637"/>
      <c r="C105" s="1624"/>
      <c r="D105" s="1814"/>
      <c r="E105" s="1510">
        <f t="shared" si="13"/>
        <v>0</v>
      </c>
      <c r="F105" s="1898">
        <f t="shared" si="6"/>
        <v>0</v>
      </c>
      <c r="G105" s="1763">
        <f t="shared" si="14"/>
        <v>0</v>
      </c>
    </row>
    <row r="106" spans="1:7" x14ac:dyDescent="0.25">
      <c r="A106" s="1623"/>
      <c r="B106" s="1637"/>
      <c r="C106" s="1624"/>
      <c r="D106" s="1814"/>
      <c r="E106" s="1510">
        <f t="shared" si="13"/>
        <v>0</v>
      </c>
      <c r="F106" s="1898">
        <f t="shared" si="6"/>
        <v>0</v>
      </c>
      <c r="G106" s="1763">
        <f t="shared" si="14"/>
        <v>0</v>
      </c>
    </row>
    <row r="107" spans="1:7" x14ac:dyDescent="0.25">
      <c r="A107" s="1623"/>
      <c r="B107" s="1637"/>
      <c r="C107" s="1624"/>
      <c r="D107" s="1814"/>
      <c r="E107" s="1510">
        <f t="shared" si="13"/>
        <v>0</v>
      </c>
      <c r="F107" s="1898">
        <f t="shared" si="6"/>
        <v>0</v>
      </c>
      <c r="G107" s="1763">
        <f t="shared" si="14"/>
        <v>0</v>
      </c>
    </row>
    <row r="108" spans="1:7" x14ac:dyDescent="0.25">
      <c r="A108" s="1623"/>
      <c r="B108" s="1637"/>
      <c r="C108" s="1624"/>
      <c r="D108" s="1814"/>
      <c r="E108" s="1510">
        <f t="shared" si="13"/>
        <v>0</v>
      </c>
      <c r="F108" s="1898">
        <f t="shared" si="6"/>
        <v>0</v>
      </c>
      <c r="G108" s="1763">
        <f t="shared" si="14"/>
        <v>0</v>
      </c>
    </row>
    <row r="109" spans="1:7" x14ac:dyDescent="0.25">
      <c r="A109" s="1623"/>
      <c r="B109" s="1637"/>
      <c r="C109" s="1624"/>
      <c r="D109" s="1814"/>
      <c r="E109" s="1510">
        <f t="shared" si="13"/>
        <v>0</v>
      </c>
      <c r="F109" s="1898">
        <f t="shared" si="6"/>
        <v>0</v>
      </c>
      <c r="G109" s="1763">
        <f t="shared" si="14"/>
        <v>0</v>
      </c>
    </row>
    <row r="110" spans="1:7" x14ac:dyDescent="0.25">
      <c r="A110" s="1623"/>
      <c r="B110" s="1637"/>
      <c r="C110" s="1624"/>
      <c r="D110" s="1814"/>
      <c r="E110" s="1510">
        <f t="shared" si="13"/>
        <v>0</v>
      </c>
      <c r="F110" s="1898">
        <f t="shared" si="6"/>
        <v>0</v>
      </c>
      <c r="G110" s="1763">
        <f t="shared" si="14"/>
        <v>0</v>
      </c>
    </row>
    <row r="111" spans="1:7" x14ac:dyDescent="0.25">
      <c r="A111" s="1623"/>
      <c r="B111" s="1637"/>
      <c r="C111" s="1624"/>
      <c r="D111" s="1814"/>
      <c r="E111" s="1510">
        <f t="shared" si="13"/>
        <v>0</v>
      </c>
      <c r="F111" s="1898">
        <f t="shared" si="6"/>
        <v>0</v>
      </c>
      <c r="G111" s="1763">
        <f t="shared" si="14"/>
        <v>0</v>
      </c>
    </row>
    <row r="112" spans="1:7" x14ac:dyDescent="0.25">
      <c r="A112" s="1623"/>
      <c r="B112" s="1637"/>
      <c r="C112" s="1624"/>
      <c r="D112" s="1814"/>
      <c r="E112" s="1510">
        <f t="shared" si="13"/>
        <v>0</v>
      </c>
      <c r="F112" s="1898">
        <f t="shared" si="6"/>
        <v>0</v>
      </c>
      <c r="G112" s="1763">
        <f t="shared" si="14"/>
        <v>0</v>
      </c>
    </row>
    <row r="113" spans="1:7" x14ac:dyDescent="0.25">
      <c r="A113" s="1623"/>
      <c r="B113" s="1637"/>
      <c r="C113" s="1624"/>
      <c r="D113" s="1814"/>
      <c r="E113" s="1510">
        <f t="shared" ref="E113:E125" si="15">IF(D113&lt;=25000,D113,IF(D113&gt;25000,25000,0))</f>
        <v>0</v>
      </c>
      <c r="F113" s="1898">
        <f t="shared" si="6"/>
        <v>0</v>
      </c>
      <c r="G113" s="1763">
        <f t="shared" ref="G113:G125" si="16">IF(F113=0,0,D113-F113)</f>
        <v>0</v>
      </c>
    </row>
    <row r="114" spans="1:7" x14ac:dyDescent="0.25">
      <c r="A114" s="1623"/>
      <c r="B114" s="1637"/>
      <c r="C114" s="1624"/>
      <c r="D114" s="1814"/>
      <c r="E114" s="1510">
        <f t="shared" si="15"/>
        <v>0</v>
      </c>
      <c r="F114" s="1898">
        <f t="shared" si="6"/>
        <v>0</v>
      </c>
      <c r="G114" s="1763">
        <f t="shared" si="16"/>
        <v>0</v>
      </c>
    </row>
    <row r="115" spans="1:7" x14ac:dyDescent="0.25">
      <c r="A115" s="1623"/>
      <c r="B115" s="1637"/>
      <c r="C115" s="1624"/>
      <c r="D115" s="1814"/>
      <c r="E115" s="1510">
        <f t="shared" si="15"/>
        <v>0</v>
      </c>
      <c r="F115" s="1898">
        <f t="shared" si="6"/>
        <v>0</v>
      </c>
      <c r="G115" s="1763">
        <f t="shared" si="16"/>
        <v>0</v>
      </c>
    </row>
    <row r="116" spans="1:7" x14ac:dyDescent="0.25">
      <c r="A116" s="1623"/>
      <c r="B116" s="1637"/>
      <c r="C116" s="1624"/>
      <c r="D116" s="1814"/>
      <c r="E116" s="1510">
        <f t="shared" si="15"/>
        <v>0</v>
      </c>
      <c r="F116" s="1898">
        <f t="shared" si="6"/>
        <v>0</v>
      </c>
      <c r="G116" s="1763">
        <f t="shared" si="16"/>
        <v>0</v>
      </c>
    </row>
    <row r="117" spans="1:7" x14ac:dyDescent="0.25">
      <c r="A117" s="1623"/>
      <c r="B117" s="1637"/>
      <c r="C117" s="1624"/>
      <c r="D117" s="1814"/>
      <c r="E117" s="1510">
        <f t="shared" si="15"/>
        <v>0</v>
      </c>
      <c r="F117" s="1898">
        <f t="shared" si="6"/>
        <v>0</v>
      </c>
      <c r="G117" s="1763">
        <f t="shared" si="16"/>
        <v>0</v>
      </c>
    </row>
    <row r="118" spans="1:7" x14ac:dyDescent="0.25">
      <c r="A118" s="1623"/>
      <c r="B118" s="1637"/>
      <c r="C118" s="1624"/>
      <c r="D118" s="1814"/>
      <c r="E118" s="1510">
        <f t="shared" si="15"/>
        <v>0</v>
      </c>
      <c r="F118" s="1898">
        <f t="shared" si="6"/>
        <v>0</v>
      </c>
      <c r="G118" s="1763">
        <f t="shared" si="16"/>
        <v>0</v>
      </c>
    </row>
    <row r="119" spans="1:7" x14ac:dyDescent="0.25">
      <c r="A119" s="1623"/>
      <c r="B119" s="1637"/>
      <c r="C119" s="1624"/>
      <c r="D119" s="1814"/>
      <c r="E119" s="1510">
        <f t="shared" si="15"/>
        <v>0</v>
      </c>
      <c r="F119" s="1898">
        <f t="shared" si="6"/>
        <v>0</v>
      </c>
      <c r="G119" s="1763">
        <f t="shared" si="16"/>
        <v>0</v>
      </c>
    </row>
    <row r="120" spans="1:7" x14ac:dyDescent="0.25">
      <c r="A120" s="1623"/>
      <c r="B120" s="1637"/>
      <c r="C120" s="1624"/>
      <c r="D120" s="1814"/>
      <c r="E120" s="1510">
        <f t="shared" si="15"/>
        <v>0</v>
      </c>
      <c r="F120" s="1898">
        <f t="shared" si="6"/>
        <v>0</v>
      </c>
      <c r="G120" s="1763">
        <f t="shared" si="16"/>
        <v>0</v>
      </c>
    </row>
    <row r="121" spans="1:7" x14ac:dyDescent="0.25">
      <c r="A121" s="1623"/>
      <c r="B121" s="1637"/>
      <c r="C121" s="1624"/>
      <c r="D121" s="1814"/>
      <c r="E121" s="1510">
        <f t="shared" si="15"/>
        <v>0</v>
      </c>
      <c r="F121" s="1898">
        <f t="shared" si="6"/>
        <v>0</v>
      </c>
      <c r="G121" s="1763">
        <f t="shared" si="16"/>
        <v>0</v>
      </c>
    </row>
    <row r="122" spans="1:7" x14ac:dyDescent="0.25">
      <c r="A122" s="1623"/>
      <c r="B122" s="1637"/>
      <c r="C122" s="1624"/>
      <c r="D122" s="1814"/>
      <c r="E122" s="1510">
        <f t="shared" si="15"/>
        <v>0</v>
      </c>
      <c r="F122" s="1898">
        <f t="shared" si="6"/>
        <v>0</v>
      </c>
      <c r="G122" s="1763">
        <f t="shared" si="16"/>
        <v>0</v>
      </c>
    </row>
    <row r="123" spans="1:7" x14ac:dyDescent="0.25">
      <c r="A123" s="1623"/>
      <c r="B123" s="1637"/>
      <c r="C123" s="1624"/>
      <c r="D123" s="1814"/>
      <c r="E123" s="1510">
        <f t="shared" si="15"/>
        <v>0</v>
      </c>
      <c r="F123" s="1898">
        <f t="shared" si="6"/>
        <v>0</v>
      </c>
      <c r="G123" s="1763">
        <f t="shared" si="16"/>
        <v>0</v>
      </c>
    </row>
    <row r="124" spans="1:7" x14ac:dyDescent="0.25">
      <c r="A124" s="1623"/>
      <c r="B124" s="1637"/>
      <c r="C124" s="1624"/>
      <c r="D124" s="1814"/>
      <c r="E124" s="1510">
        <f t="shared" si="15"/>
        <v>0</v>
      </c>
      <c r="F124" s="1898">
        <f t="shared" si="6"/>
        <v>0</v>
      </c>
      <c r="G124" s="1763">
        <f t="shared" si="16"/>
        <v>0</v>
      </c>
    </row>
    <row r="125" spans="1:7" x14ac:dyDescent="0.25">
      <c r="A125" s="1623"/>
      <c r="B125" s="1637"/>
      <c r="C125" s="1624"/>
      <c r="D125" s="1814"/>
      <c r="E125" s="1510">
        <f t="shared" si="15"/>
        <v>0</v>
      </c>
      <c r="F125" s="1898">
        <f t="shared" si="6"/>
        <v>0</v>
      </c>
      <c r="G125" s="1763">
        <f t="shared" si="16"/>
        <v>0</v>
      </c>
    </row>
    <row r="126" spans="1:7" x14ac:dyDescent="0.25">
      <c r="A126" s="1623"/>
      <c r="B126" s="1637"/>
      <c r="C126" s="1624"/>
      <c r="D126" s="1814"/>
      <c r="E126" s="1510">
        <f t="shared" ref="E126:E134" si="17">IF(D126&lt;=25000,D126,IF(D126&gt;25000,25000,0))</f>
        <v>0</v>
      </c>
      <c r="F126" s="1898">
        <f t="shared" si="6"/>
        <v>0</v>
      </c>
      <c r="G126" s="1763">
        <f t="shared" ref="G126:G134" si="18">IF(F126=0,0,D126-F126)</f>
        <v>0</v>
      </c>
    </row>
    <row r="127" spans="1:7" x14ac:dyDescent="0.25">
      <c r="A127" s="1623"/>
      <c r="B127" s="1637"/>
      <c r="C127" s="1624"/>
      <c r="D127" s="1814"/>
      <c r="E127" s="1510">
        <f t="shared" si="17"/>
        <v>0</v>
      </c>
      <c r="F127" s="1898">
        <f t="shared" si="6"/>
        <v>0</v>
      </c>
      <c r="G127" s="1763">
        <f t="shared" si="18"/>
        <v>0</v>
      </c>
    </row>
    <row r="128" spans="1:7" x14ac:dyDescent="0.25">
      <c r="A128" s="1623"/>
      <c r="B128" s="1637"/>
      <c r="C128" s="1624"/>
      <c r="D128" s="1814"/>
      <c r="E128" s="1510">
        <f t="shared" si="17"/>
        <v>0</v>
      </c>
      <c r="F128" s="1898">
        <f t="shared" si="6"/>
        <v>0</v>
      </c>
      <c r="G128" s="1763">
        <f t="shared" si="18"/>
        <v>0</v>
      </c>
    </row>
    <row r="129" spans="1:7" x14ac:dyDescent="0.25">
      <c r="A129" s="1623"/>
      <c r="B129" s="1637"/>
      <c r="C129" s="1624"/>
      <c r="D129" s="1814"/>
      <c r="E129" s="1510">
        <f t="shared" si="17"/>
        <v>0</v>
      </c>
      <c r="F129" s="1898">
        <f t="shared" si="6"/>
        <v>0</v>
      </c>
      <c r="G129" s="1763">
        <f t="shared" si="18"/>
        <v>0</v>
      </c>
    </row>
    <row r="130" spans="1:7" x14ac:dyDescent="0.25">
      <c r="A130" s="1623"/>
      <c r="B130" s="1637"/>
      <c r="C130" s="1624"/>
      <c r="D130" s="1814"/>
      <c r="E130" s="1510">
        <f t="shared" si="17"/>
        <v>0</v>
      </c>
      <c r="F130" s="1898">
        <f t="shared" si="6"/>
        <v>0</v>
      </c>
      <c r="G130" s="1763">
        <f t="shared" si="18"/>
        <v>0</v>
      </c>
    </row>
    <row r="131" spans="1:7" x14ac:dyDescent="0.25">
      <c r="A131" s="1623"/>
      <c r="B131" s="1807"/>
      <c r="C131" s="1624"/>
      <c r="D131" s="1814"/>
      <c r="E131" s="1510">
        <f t="shared" si="17"/>
        <v>0</v>
      </c>
      <c r="F131" s="1898">
        <f t="shared" si="6"/>
        <v>0</v>
      </c>
      <c r="G131" s="1763">
        <f t="shared" si="18"/>
        <v>0</v>
      </c>
    </row>
    <row r="132" spans="1:7" x14ac:dyDescent="0.25">
      <c r="A132" s="1623"/>
      <c r="B132" s="1807"/>
      <c r="C132" s="1624"/>
      <c r="D132" s="1814"/>
      <c r="E132" s="1510">
        <f t="shared" si="17"/>
        <v>0</v>
      </c>
      <c r="F132" s="1898">
        <f t="shared" si="6"/>
        <v>0</v>
      </c>
      <c r="G132" s="1763">
        <f t="shared" si="18"/>
        <v>0</v>
      </c>
    </row>
    <row r="133" spans="1:7" x14ac:dyDescent="0.25">
      <c r="A133" s="1623"/>
      <c r="B133" s="1637"/>
      <c r="C133" s="1624"/>
      <c r="D133" s="1814"/>
      <c r="E133" s="1510">
        <f t="shared" si="17"/>
        <v>0</v>
      </c>
      <c r="F133" s="1898">
        <f t="shared" si="6"/>
        <v>0</v>
      </c>
      <c r="G133" s="1763">
        <f t="shared" si="18"/>
        <v>0</v>
      </c>
    </row>
    <row r="134" spans="1:7" x14ac:dyDescent="0.25">
      <c r="A134" s="1623"/>
      <c r="B134" s="1637"/>
      <c r="C134" s="1624"/>
      <c r="D134" s="1814"/>
      <c r="E134" s="1510">
        <f t="shared" si="17"/>
        <v>0</v>
      </c>
      <c r="F134" s="1898">
        <f t="shared" si="6"/>
        <v>0</v>
      </c>
      <c r="G134" s="1763">
        <f t="shared" si="18"/>
        <v>0</v>
      </c>
    </row>
    <row r="135" spans="1:7" x14ac:dyDescent="0.25">
      <c r="A135" s="1623"/>
      <c r="B135" s="1637"/>
      <c r="C135" s="1624"/>
      <c r="D135" s="1814"/>
      <c r="E135" s="1510">
        <f t="shared" ref="E135:E139" si="19">IF(D135&lt;=25000,D135,IF(D135&gt;25000,25000,0))</f>
        <v>0</v>
      </c>
      <c r="F135" s="1898">
        <f t="shared" si="6"/>
        <v>0</v>
      </c>
      <c r="G135" s="1763">
        <f t="shared" ref="G135:G139" si="20">IF(F135=0,0,D135-F135)</f>
        <v>0</v>
      </c>
    </row>
    <row r="136" spans="1:7" x14ac:dyDescent="0.25">
      <c r="A136" s="1623"/>
      <c r="B136" s="1637"/>
      <c r="C136" s="1624"/>
      <c r="D136" s="1814"/>
      <c r="E136" s="1510">
        <f t="shared" si="19"/>
        <v>0</v>
      </c>
      <c r="F136" s="1898">
        <f t="shared" si="6"/>
        <v>0</v>
      </c>
      <c r="G136" s="1763">
        <f t="shared" si="20"/>
        <v>0</v>
      </c>
    </row>
    <row r="137" spans="1:7" x14ac:dyDescent="0.25">
      <c r="A137" s="1623"/>
      <c r="B137" s="1637"/>
      <c r="C137" s="1624"/>
      <c r="D137" s="1814"/>
      <c r="E137" s="1510">
        <f t="shared" si="19"/>
        <v>0</v>
      </c>
      <c r="F137" s="1898">
        <f t="shared" si="6"/>
        <v>0</v>
      </c>
      <c r="G137" s="1763">
        <f t="shared" si="20"/>
        <v>0</v>
      </c>
    </row>
    <row r="138" spans="1:7" x14ac:dyDescent="0.25">
      <c r="A138" s="1623"/>
      <c r="B138" s="1637"/>
      <c r="C138" s="1624"/>
      <c r="D138" s="1814"/>
      <c r="E138" s="1510">
        <f t="shared" si="19"/>
        <v>0</v>
      </c>
      <c r="F138" s="1898">
        <f t="shared" si="6"/>
        <v>0</v>
      </c>
      <c r="G138" s="1763">
        <f t="shared" si="20"/>
        <v>0</v>
      </c>
    </row>
    <row r="139" spans="1:7" x14ac:dyDescent="0.25">
      <c r="A139" s="1623"/>
      <c r="B139" s="1637"/>
      <c r="C139" s="1624"/>
      <c r="D139" s="1814"/>
      <c r="E139" s="1510">
        <f t="shared" si="19"/>
        <v>0</v>
      </c>
      <c r="F139" s="1898">
        <f t="shared" si="6"/>
        <v>0</v>
      </c>
      <c r="G139" s="1763">
        <f t="shared" si="20"/>
        <v>0</v>
      </c>
    </row>
    <row r="140" spans="1:7" x14ac:dyDescent="0.25">
      <c r="A140" s="1623"/>
      <c r="B140" s="1636"/>
      <c r="C140" s="1624"/>
      <c r="D140" s="1814"/>
      <c r="E140" s="1510">
        <f t="shared" si="2"/>
        <v>0</v>
      </c>
      <c r="F140" s="1898">
        <f t="shared" si="6"/>
        <v>0</v>
      </c>
      <c r="G140" s="1763">
        <f t="shared" si="3"/>
        <v>0</v>
      </c>
    </row>
    <row r="141" spans="1:7" x14ac:dyDescent="0.25">
      <c r="A141" s="1766" t="s">
        <v>156</v>
      </c>
      <c r="B141" s="1767"/>
      <c r="C141" s="1768"/>
      <c r="D141" s="1764">
        <f>SUM(D17:D140)</f>
        <v>524142</v>
      </c>
      <c r="E141" s="1511">
        <f t="shared" si="0"/>
        <v>25000</v>
      </c>
      <c r="F141" s="1899">
        <f>SUM(F17:F140)</f>
        <v>353449</v>
      </c>
      <c r="G141" s="1765">
        <f>SUM(G17:G140)</f>
        <v>170693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4" t="s">
        <v>1115</v>
      </c>
      <c r="B1" s="1605"/>
      <c r="C1" s="1606"/>
    </row>
    <row r="2" spans="1:9" x14ac:dyDescent="0.2">
      <c r="A2" s="923" t="s">
        <v>1116</v>
      </c>
      <c r="B2" s="924"/>
      <c r="C2" s="924"/>
      <c r="D2" s="924"/>
      <c r="E2" s="925"/>
      <c r="F2" s="925"/>
      <c r="G2" s="926"/>
    </row>
    <row r="3" spans="1:9" ht="12" customHeight="1" x14ac:dyDescent="0.2">
      <c r="A3" s="927" t="s">
        <v>1356</v>
      </c>
      <c r="B3" s="928"/>
      <c r="C3" s="928"/>
      <c r="D3" s="928"/>
      <c r="E3" s="929"/>
      <c r="F3" s="929"/>
      <c r="G3" s="930"/>
    </row>
    <row r="4" spans="1:9" x14ac:dyDescent="0.2">
      <c r="A4" s="931" t="s">
        <v>755</v>
      </c>
      <c r="B4" s="932"/>
      <c r="C4" s="932"/>
      <c r="D4" s="932"/>
      <c r="E4" s="933"/>
      <c r="F4" s="934"/>
      <c r="G4" s="935"/>
      <c r="H4" s="252"/>
      <c r="I4" s="252"/>
    </row>
    <row r="5" spans="1:9" s="343" customFormat="1" ht="57" customHeight="1" x14ac:dyDescent="0.2">
      <c r="A5" s="2333" t="s">
        <v>1679</v>
      </c>
      <c r="B5" s="2334"/>
      <c r="C5" s="2334"/>
      <c r="D5" s="2334"/>
      <c r="E5" s="2334"/>
      <c r="F5" s="2334"/>
      <c r="G5" s="2335"/>
      <c r="H5" s="252"/>
      <c r="I5" s="585"/>
    </row>
    <row r="6" spans="1:9" s="641" customFormat="1" x14ac:dyDescent="0.2">
      <c r="A6" s="1607" t="s">
        <v>205</v>
      </c>
      <c r="B6" s="937"/>
      <c r="C6" s="937"/>
      <c r="D6" s="938"/>
      <c r="E6" s="938"/>
      <c r="F6" s="939"/>
      <c r="G6" s="940"/>
      <c r="H6" s="162"/>
      <c r="I6" s="162"/>
    </row>
    <row r="7" spans="1:9" s="641" customFormat="1" ht="12" customHeight="1" x14ac:dyDescent="0.2">
      <c r="A7" s="941" t="s">
        <v>908</v>
      </c>
      <c r="B7" s="942"/>
      <c r="C7" s="942"/>
      <c r="D7" s="943"/>
      <c r="E7" s="944"/>
      <c r="F7" s="945"/>
      <c r="G7" s="946"/>
      <c r="H7" s="162"/>
      <c r="I7" s="162"/>
    </row>
    <row r="8" spans="1:9" s="641" customFormat="1" ht="12" customHeight="1" x14ac:dyDescent="0.2">
      <c r="A8" s="941" t="s">
        <v>129</v>
      </c>
      <c r="B8" s="942"/>
      <c r="C8" s="942"/>
      <c r="D8" s="943"/>
      <c r="E8" s="944"/>
      <c r="F8" s="945"/>
      <c r="G8" s="946"/>
      <c r="H8" s="162"/>
      <c r="I8" s="162"/>
    </row>
    <row r="9" spans="1:9" s="641" customFormat="1" ht="12" customHeight="1" x14ac:dyDescent="0.2">
      <c r="A9" s="941" t="s">
        <v>130</v>
      </c>
      <c r="B9" s="942"/>
      <c r="C9" s="942"/>
      <c r="D9" s="943"/>
      <c r="E9" s="944"/>
      <c r="F9" s="945"/>
      <c r="G9" s="946"/>
      <c r="H9" s="162"/>
      <c r="I9" s="162"/>
    </row>
    <row r="10" spans="1:9" s="641" customFormat="1" ht="12" customHeight="1" x14ac:dyDescent="0.2">
      <c r="A10" s="941" t="s">
        <v>1930</v>
      </c>
      <c r="B10" s="942"/>
      <c r="C10" s="947"/>
      <c r="D10" s="943"/>
      <c r="E10" s="944">
        <v>279400</v>
      </c>
      <c r="F10" s="945"/>
      <c r="G10" s="946"/>
      <c r="H10" s="162"/>
      <c r="I10" s="162"/>
    </row>
    <row r="11" spans="1:9" s="641" customFormat="1" ht="22.5" customHeight="1" x14ac:dyDescent="0.2">
      <c r="A11" s="2338" t="s">
        <v>1974</v>
      </c>
      <c r="B11" s="2339"/>
      <c r="C11" s="2339"/>
      <c r="D11" s="2340"/>
      <c r="E11" s="948">
        <v>80614</v>
      </c>
      <c r="F11" s="945"/>
      <c r="G11" s="949"/>
      <c r="H11" s="162"/>
      <c r="I11" s="162"/>
    </row>
    <row r="12" spans="1:9" s="641" customFormat="1" ht="12" customHeight="1" x14ac:dyDescent="0.2">
      <c r="A12" s="941" t="s">
        <v>131</v>
      </c>
      <c r="B12" s="942"/>
      <c r="C12" s="942"/>
      <c r="D12" s="943"/>
      <c r="E12" s="944"/>
      <c r="F12" s="945"/>
      <c r="G12" s="946"/>
      <c r="H12" s="162"/>
      <c r="I12" s="162"/>
    </row>
    <row r="13" spans="1:9" s="641" customFormat="1" ht="12" customHeight="1" x14ac:dyDescent="0.2">
      <c r="A13" s="941" t="s">
        <v>203</v>
      </c>
      <c r="B13" s="942"/>
      <c r="C13" s="942"/>
      <c r="D13" s="943"/>
      <c r="E13" s="944"/>
      <c r="F13" s="945"/>
      <c r="G13" s="946"/>
      <c r="H13" s="162"/>
      <c r="I13" s="162"/>
    </row>
    <row r="14" spans="1:9" s="641" customFormat="1" ht="12" customHeight="1" x14ac:dyDescent="0.2">
      <c r="A14" s="941" t="s">
        <v>204</v>
      </c>
      <c r="B14" s="942"/>
      <c r="C14" s="942"/>
      <c r="D14" s="943"/>
      <c r="E14" s="944"/>
      <c r="F14" s="950"/>
      <c r="G14" s="951"/>
      <c r="H14" s="162"/>
      <c r="I14" s="162"/>
    </row>
    <row r="15" spans="1:9" s="641" customFormat="1" ht="12" customHeight="1" x14ac:dyDescent="0.2">
      <c r="A15" s="936" t="s">
        <v>371</v>
      </c>
      <c r="B15" s="938"/>
      <c r="C15" s="938"/>
      <c r="D15" s="938"/>
      <c r="E15" s="938"/>
      <c r="F15" s="938"/>
      <c r="G15" s="952"/>
      <c r="H15" s="162"/>
      <c r="I15" s="162"/>
    </row>
    <row r="16" spans="1:9" s="641" customFormat="1" x14ac:dyDescent="0.2">
      <c r="A16" s="953" t="s">
        <v>1376</v>
      </c>
      <c r="B16" s="954"/>
      <c r="C16" s="955"/>
      <c r="D16" s="934"/>
      <c r="E16" s="929"/>
      <c r="F16" s="929"/>
      <c r="G16" s="930"/>
      <c r="H16" s="162"/>
      <c r="I16" s="162"/>
    </row>
    <row r="17" spans="1:9" s="641" customFormat="1" ht="12" customHeight="1" x14ac:dyDescent="0.2">
      <c r="A17" s="956"/>
      <c r="B17" s="957"/>
      <c r="C17" s="329"/>
      <c r="D17" s="1608" t="s">
        <v>532</v>
      </c>
      <c r="E17" s="1609"/>
      <c r="F17" s="1608" t="s">
        <v>433</v>
      </c>
      <c r="G17" s="1610"/>
      <c r="H17" s="162"/>
      <c r="I17" s="162"/>
    </row>
    <row r="18" spans="1:9" s="259" customFormat="1" ht="11.25" x14ac:dyDescent="0.2">
      <c r="A18" s="959"/>
      <c r="C18" s="960" t="s">
        <v>434</v>
      </c>
      <c r="D18" s="1611" t="s">
        <v>435</v>
      </c>
      <c r="E18" s="1611" t="s">
        <v>53</v>
      </c>
      <c r="F18" s="1611" t="s">
        <v>435</v>
      </c>
      <c r="G18" s="1611" t="s">
        <v>53</v>
      </c>
      <c r="H18" s="178"/>
      <c r="I18" s="178"/>
    </row>
    <row r="19" spans="1:9" s="641" customFormat="1" ht="12" customHeight="1" x14ac:dyDescent="0.2">
      <c r="A19" s="961" t="s">
        <v>456</v>
      </c>
      <c r="B19" s="962"/>
      <c r="C19" s="963" t="s">
        <v>570</v>
      </c>
      <c r="D19" s="1769"/>
      <c r="E19" s="1770">
        <f ca="1">'Expenditures 15-22'!K33-SUM('Expenditures 15-22'!G33,'Expenditures 15-22'!I33)+'Expenditures 15-22'!D229</f>
        <v>11882350</v>
      </c>
      <c r="F19" s="1769"/>
      <c r="G19" s="1771">
        <f ca="1">'Expenditures 15-22'!K33-SUM('Expenditures 15-22'!G33,'Expenditures 15-22'!I33)+'Expenditures 15-22'!D229</f>
        <v>11882350</v>
      </c>
      <c r="H19" s="958"/>
      <c r="I19" s="162"/>
    </row>
    <row r="20" spans="1:9" s="641" customFormat="1" ht="12" customHeight="1" x14ac:dyDescent="0.2">
      <c r="A20" s="961" t="s">
        <v>54</v>
      </c>
      <c r="B20" s="962"/>
      <c r="C20" s="964"/>
      <c r="D20" s="1772"/>
      <c r="E20" s="1772"/>
      <c r="F20" s="1772"/>
      <c r="G20" s="1773"/>
      <c r="H20" s="958"/>
      <c r="I20" s="162"/>
    </row>
    <row r="21" spans="1:9" s="641" customFormat="1" ht="12" customHeight="1" x14ac:dyDescent="0.2">
      <c r="A21" s="965" t="s">
        <v>401</v>
      </c>
      <c r="B21" s="966"/>
      <c r="C21" s="964">
        <v>2100</v>
      </c>
      <c r="D21" s="1772"/>
      <c r="E21" s="1774">
        <f ca="1">'Expenditures 15-22'!K42-SUM('Expenditures 15-22'!G42,'Expenditures 15-22'!I42)+'Expenditures 15-22'!K120-SUM('Expenditures 15-22'!G120,'Expenditures 15-22'!I120)+'Expenditures 15-22'!K180-SUM('Expenditures 15-22'!G180,'Expenditures 15-22'!I180)+'Expenditures 15-22'!D238</f>
        <v>1638845</v>
      </c>
      <c r="F21" s="1772"/>
      <c r="G21" s="1775">
        <f ca="1">'Expenditures 15-22'!K42-SUM('Expenditures 15-22'!G42,'Expenditures 15-22'!I42)+'Expenditures 15-22'!K120-SUM('Expenditures 15-22'!G120,'Expenditures 15-22'!I120)+'Expenditures 15-22'!K180-SUM('Expenditures 15-22'!G180,'Expenditures 15-22'!I180)+'Expenditures 15-22'!D238</f>
        <v>1638845</v>
      </c>
      <c r="H21" s="958"/>
      <c r="I21" s="162"/>
    </row>
    <row r="22" spans="1:9" s="641" customFormat="1" ht="12" customHeight="1" x14ac:dyDescent="0.2">
      <c r="A22" s="965" t="s">
        <v>564</v>
      </c>
      <c r="B22" s="966"/>
      <c r="C22" s="964">
        <v>2200</v>
      </c>
      <c r="D22" s="1772"/>
      <c r="E22" s="1774">
        <f ca="1">'Expenditures 15-22'!K47-SUM('Expenditures 15-22'!G47,'Expenditures 15-22'!I47)+'Expenditures 15-22'!D243</f>
        <v>854095</v>
      </c>
      <c r="F22" s="1772"/>
      <c r="G22" s="1775">
        <f ca="1">'Expenditures 15-22'!K47-SUM('Expenditures 15-22'!G47,'Expenditures 15-22'!I47)+'Expenditures 15-22'!D243</f>
        <v>854095</v>
      </c>
      <c r="H22" s="958"/>
      <c r="I22" s="162"/>
    </row>
    <row r="23" spans="1:9" s="641" customFormat="1" ht="12" customHeight="1" x14ac:dyDescent="0.2">
      <c r="A23" s="965" t="s">
        <v>565</v>
      </c>
      <c r="B23" s="966"/>
      <c r="C23" s="964">
        <v>2300</v>
      </c>
      <c r="D23" s="1772"/>
      <c r="E23" s="1774">
        <f ca="1">'Expenditures 15-22'!K53-SUM('Expenditures 15-22'!G53,'Expenditures 15-22'!I53)+'Expenditures 15-22'!D257+'Expenditures 15-22'!K330-SUM('Expenditures 15-22'!G330,'Expenditures 15-22'!I330)</f>
        <v>1009835</v>
      </c>
      <c r="F23" s="1772"/>
      <c r="G23" s="1774">
        <f ca="1">'Expenditures 15-22'!K53-SUM('Expenditures 15-22'!G53,'Expenditures 15-22'!I53)+'Expenditures 15-22'!D257+'Expenditures 15-22'!K330-SUM('Expenditures 15-22'!G330,'Expenditures 15-22'!I330)</f>
        <v>1009835</v>
      </c>
      <c r="H23" s="958"/>
      <c r="I23" s="162"/>
    </row>
    <row r="24" spans="1:9" s="641" customFormat="1" ht="12" customHeight="1" x14ac:dyDescent="0.2">
      <c r="A24" s="965" t="s">
        <v>566</v>
      </c>
      <c r="B24" s="966"/>
      <c r="C24" s="964">
        <v>2400</v>
      </c>
      <c r="D24" s="1772"/>
      <c r="E24" s="1774">
        <f ca="1">'Expenditures 15-22'!K57-SUM('Expenditures 15-22'!G57,'Expenditures 15-22'!I57)+'Expenditures 15-22'!D261</f>
        <v>1018582</v>
      </c>
      <c r="F24" s="1772"/>
      <c r="G24" s="1775">
        <f ca="1">'Expenditures 15-22'!K57-SUM('Expenditures 15-22'!G57,'Expenditures 15-22'!I57)+'Expenditures 15-22'!D261</f>
        <v>1018582</v>
      </c>
      <c r="H24" s="958"/>
      <c r="I24" s="162"/>
    </row>
    <row r="25" spans="1:9" s="641" customFormat="1" ht="12" customHeight="1" x14ac:dyDescent="0.2">
      <c r="A25" s="961" t="s">
        <v>567</v>
      </c>
      <c r="B25" s="967"/>
      <c r="C25" s="964"/>
      <c r="D25" s="1772"/>
      <c r="E25" s="1774"/>
      <c r="F25" s="1772"/>
      <c r="G25" s="1775"/>
      <c r="H25" s="958"/>
      <c r="I25" s="162"/>
    </row>
    <row r="26" spans="1:9" s="641" customFormat="1" ht="12" customHeight="1" x14ac:dyDescent="0.2">
      <c r="A26" s="965" t="s">
        <v>515</v>
      </c>
      <c r="B26" s="968"/>
      <c r="C26" s="964">
        <v>2510</v>
      </c>
      <c r="D26" s="1774">
        <f ca="1">'Expenditures 15-22'!K59-SUM('Expenditures 15-22'!G59,'Expenditures 15-22'!I59)+'Expenditures 15-22'!D263-E7</f>
        <v>0</v>
      </c>
      <c r="E26" s="1774">
        <f ca="1">'Expenditures 15-22'!K122-SUM('Expenditures 15-22'!G122,'Expenditures 15-22'!I122)+E7</f>
        <v>0</v>
      </c>
      <c r="F26" s="1774">
        <f ca="1">'Expenditures 15-22'!K59-SUM('Expenditures 15-22'!G59,'Expenditures 15-22'!I59)+'Expenditures 15-22'!D263-E7</f>
        <v>0</v>
      </c>
      <c r="G26" s="1775">
        <f ca="1">'Expenditures 15-22'!K122-SUM('Expenditures 15-22'!G122,'Expenditures 15-22'!I122)+E7</f>
        <v>0</v>
      </c>
      <c r="H26" s="958"/>
      <c r="I26" s="162"/>
    </row>
    <row r="27" spans="1:9" s="641" customFormat="1" ht="12" customHeight="1" x14ac:dyDescent="0.2">
      <c r="A27" s="965" t="s">
        <v>463</v>
      </c>
      <c r="B27" s="968"/>
      <c r="C27" s="964">
        <v>2520</v>
      </c>
      <c r="D27" s="1774">
        <f ca="1">'Expenditures 15-22'!K60-SUM('Expenditures 15-22'!G60,'Expenditures 15-22'!I60)+'Expenditures 15-22'!D264-E8</f>
        <v>159966</v>
      </c>
      <c r="E27" s="1774">
        <f>E8</f>
        <v>0</v>
      </c>
      <c r="F27" s="1774">
        <f ca="1">'Expenditures 15-22'!K60-SUM('Expenditures 15-22'!G60,'Expenditures 15-22'!I60)+'Expenditures 15-22'!D264-E8</f>
        <v>159966</v>
      </c>
      <c r="G27" s="1775">
        <f>E8</f>
        <v>0</v>
      </c>
      <c r="H27" s="958"/>
      <c r="I27" s="162"/>
    </row>
    <row r="28" spans="1:9" s="641" customFormat="1" ht="12" customHeight="1" x14ac:dyDescent="0.2">
      <c r="A28" s="965" t="s">
        <v>516</v>
      </c>
      <c r="B28" s="968"/>
      <c r="C28" s="964">
        <v>2540</v>
      </c>
      <c r="D28" s="1776"/>
      <c r="E28" s="1774">
        <f ca="1">'Expenditures 15-22'!K61-SUM('Expenditures 15-22'!G61,'Expenditures 15-22'!I61)+'Expenditures 15-22'!K124-SUM('Expenditures 15-22'!G124,'Expenditures 15-22'!I124)+'Expenditures 15-22'!D266</f>
        <v>1814524</v>
      </c>
      <c r="F28" s="1776">
        <f ca="1">'Expenditures 15-22'!K61-SUM('Expenditures 15-22'!G61,'Expenditures 15-22'!I61)+'Expenditures 15-22'!K124-SUM('Expenditures 15-22'!G124,'Expenditures 15-22'!I124)+'Expenditures 15-22'!D266-E9</f>
        <v>1814524</v>
      </c>
      <c r="G28" s="1775">
        <f>E9</f>
        <v>0</v>
      </c>
      <c r="H28" s="958"/>
      <c r="I28" s="162"/>
    </row>
    <row r="29" spans="1:9" ht="12" customHeight="1" x14ac:dyDescent="0.2">
      <c r="A29" s="965" t="s">
        <v>517</v>
      </c>
      <c r="B29" s="968"/>
      <c r="C29" s="964">
        <v>2550</v>
      </c>
      <c r="D29" s="1772"/>
      <c r="E29" s="1774">
        <f ca="1">'Expenditures 15-22'!K62-SUM('Expenditures 15-22'!G62,'Expenditures 15-22'!I62)+'Expenditures 15-22'!K125-SUM('Expenditures 15-22'!G125,'Expenditures 15-22'!I125)+'Expenditures 15-22'!K182-SUM('Expenditures 15-22'!G182,'Expenditures 15-22'!I182)+'Expenditures 15-22'!D267</f>
        <v>1458974</v>
      </c>
      <c r="F29" s="1772"/>
      <c r="G29" s="1775">
        <f ca="1">'Expenditures 15-22'!K62-SUM('Expenditures 15-22'!G62,'Expenditures 15-22'!I62)+'Expenditures 15-22'!K125-SUM('Expenditures 15-22'!G125,'Expenditures 15-22'!I125)+'Expenditures 15-22'!K182-SUM('Expenditures 15-22'!G182,'Expenditures 15-22'!I182)+'Expenditures 15-22'!D267</f>
        <v>1458974</v>
      </c>
      <c r="H29" s="956"/>
    </row>
    <row r="30" spans="1:9" ht="12" customHeight="1" x14ac:dyDescent="0.2">
      <c r="A30" s="965" t="s">
        <v>100</v>
      </c>
      <c r="B30" s="968"/>
      <c r="C30" s="964">
        <v>2560</v>
      </c>
      <c r="D30" s="1772"/>
      <c r="E30" s="1774">
        <f ca="1">'Expenditures 15-22'!K63-SUM('Expenditures 15-22'!G63,'Expenditures 15-22'!I63)+'Expenditures 15-22'!D268-E10</f>
        <v>307908</v>
      </c>
      <c r="F30" s="1772"/>
      <c r="G30" s="1774">
        <f ca="1">'Expenditures 15-22'!K63-SUM('Expenditures 15-22'!G63,'Expenditures 15-22'!I63)+'Expenditures 15-22'!D268-E10</f>
        <v>307908</v>
      </c>
    </row>
    <row r="31" spans="1:9" ht="12" customHeight="1" x14ac:dyDescent="0.2">
      <c r="A31" s="965" t="s">
        <v>101</v>
      </c>
      <c r="B31" s="968"/>
      <c r="C31" s="964">
        <v>2570</v>
      </c>
      <c r="D31" s="1774">
        <f ca="1">'Expenditures 15-22'!K64-SUM('Expenditures 15-22'!G64,'Expenditures 15-22'!I64)+'Expenditures 15-22'!D269-E12</f>
        <v>26587</v>
      </c>
      <c r="E31" s="1774">
        <f>E12</f>
        <v>0</v>
      </c>
      <c r="F31" s="1774">
        <f ca="1">'Expenditures 15-22'!K64-SUM('Expenditures 15-22'!G64,'Expenditures 15-22'!I64)+'Expenditures 15-22'!D269-E12</f>
        <v>26587</v>
      </c>
      <c r="G31" s="1774">
        <f>E12</f>
        <v>0</v>
      </c>
    </row>
    <row r="32" spans="1:9" ht="12" customHeight="1" x14ac:dyDescent="0.2">
      <c r="A32" s="961" t="s">
        <v>518</v>
      </c>
      <c r="B32" s="967"/>
      <c r="C32" s="964"/>
      <c r="D32" s="1772"/>
      <c r="E32" s="1772"/>
      <c r="F32" s="1772"/>
      <c r="G32" s="1772"/>
    </row>
    <row r="33" spans="1:7" ht="12" customHeight="1" x14ac:dyDescent="0.2">
      <c r="A33" s="965" t="s">
        <v>519</v>
      </c>
      <c r="B33" s="968"/>
      <c r="C33" s="964">
        <v>2610</v>
      </c>
      <c r="D33" s="1772"/>
      <c r="E33" s="1774">
        <f ca="1">'Expenditures 15-22'!K67-SUM('Expenditures 15-22'!G67,'Expenditures 15-22'!I67)+'Expenditures 15-22'!D272</f>
        <v>0</v>
      </c>
      <c r="F33" s="1772"/>
      <c r="G33" s="1774">
        <f ca="1">'Expenditures 15-22'!K67-SUM('Expenditures 15-22'!G67,'Expenditures 15-22'!I67)+'Expenditures 15-22'!D272</f>
        <v>0</v>
      </c>
    </row>
    <row r="34" spans="1:7" ht="12" customHeight="1" x14ac:dyDescent="0.2">
      <c r="A34" s="965" t="s">
        <v>520</v>
      </c>
      <c r="B34" s="968"/>
      <c r="C34" s="964">
        <v>2620</v>
      </c>
      <c r="D34" s="1772"/>
      <c r="E34" s="1774">
        <f ca="1">'Expenditures 15-22'!K68-SUM('Expenditures 15-22'!G68,'Expenditures 15-22'!I68)+'Expenditures 15-22'!D273</f>
        <v>23500</v>
      </c>
      <c r="F34" s="1772"/>
      <c r="G34" s="1774">
        <f ca="1">'Expenditures 15-22'!K68-SUM('Expenditures 15-22'!G68,'Expenditures 15-22'!I68)+'Expenditures 15-22'!D273</f>
        <v>23500</v>
      </c>
    </row>
    <row r="35" spans="1:7" ht="12" customHeight="1" x14ac:dyDescent="0.2">
      <c r="A35" s="965" t="s">
        <v>1061</v>
      </c>
      <c r="B35" s="968"/>
      <c r="C35" s="964">
        <v>2630</v>
      </c>
      <c r="D35" s="1772"/>
      <c r="E35" s="1774">
        <f ca="1">'Expenditures 15-22'!K69-SUM('Expenditures 15-22'!G69,'Expenditures 15-22'!I69)+'Expenditures 15-22'!D274</f>
        <v>7152</v>
      </c>
      <c r="F35" s="1772"/>
      <c r="G35" s="1774">
        <f ca="1">'Expenditures 15-22'!K69-SUM('Expenditures 15-22'!G69,'Expenditures 15-22'!I69)+'Expenditures 15-22'!D274</f>
        <v>7152</v>
      </c>
    </row>
    <row r="36" spans="1:7" ht="12" customHeight="1" x14ac:dyDescent="0.2">
      <c r="A36" s="965" t="s">
        <v>403</v>
      </c>
      <c r="B36" s="968"/>
      <c r="C36" s="964">
        <v>2640</v>
      </c>
      <c r="D36" s="1774">
        <f ca="1">'Expenditures 15-22'!K70-SUM('Expenditures 15-22'!G70,'Expenditures 15-22'!I70)+'Expenditures 15-22'!D275-E13</f>
        <v>6626</v>
      </c>
      <c r="E36" s="1774">
        <f>E13</f>
        <v>0</v>
      </c>
      <c r="F36" s="1774">
        <f ca="1">'Expenditures 15-22'!K70-SUM('Expenditures 15-22'!G70,'Expenditures 15-22'!I70)+'Expenditures 15-22'!D275-E13</f>
        <v>6626</v>
      </c>
      <c r="G36" s="1774">
        <f>E13</f>
        <v>0</v>
      </c>
    </row>
    <row r="37" spans="1:7" ht="12" customHeight="1" x14ac:dyDescent="0.2">
      <c r="A37" s="965" t="s">
        <v>404</v>
      </c>
      <c r="B37" s="968"/>
      <c r="C37" s="964">
        <v>2660</v>
      </c>
      <c r="D37" s="1774">
        <f ca="1">'Expenditures 15-22'!K71-SUM('Expenditures 15-22'!G71,'Expenditures 15-22'!I71)+'Expenditures 15-22'!D276-E14</f>
        <v>0</v>
      </c>
      <c r="E37" s="1774">
        <f>E14</f>
        <v>0</v>
      </c>
      <c r="F37" s="1774">
        <f ca="1">'Expenditures 15-22'!K71-SUM('Expenditures 15-22'!G71,'Expenditures 15-22'!I71)+'Expenditures 15-22'!D276-E14</f>
        <v>0</v>
      </c>
      <c r="G37" s="1774">
        <f>E14</f>
        <v>0</v>
      </c>
    </row>
    <row r="38" spans="1:7" ht="12" customHeight="1" x14ac:dyDescent="0.2">
      <c r="A38" s="961" t="s">
        <v>521</v>
      </c>
      <c r="B38" s="962"/>
      <c r="C38" s="964">
        <v>2900</v>
      </c>
      <c r="D38" s="1772"/>
      <c r="E38" s="1774">
        <f ca="1">'Expenditures 15-22'!K73-SUM('Expenditures 15-22'!G73,'Expenditures 15-22'!I73)+'Expenditures 15-22'!K128-SUM('Expenditures 15-22'!G128,'Expenditures 15-22'!I128)+'Expenditures 15-22'!K183-SUM('Expenditures 15-22'!G183,'Expenditures 15-22'!I183)+'Expenditures 15-22'!D278</f>
        <v>0</v>
      </c>
      <c r="F38" s="1772"/>
      <c r="G38" s="1774">
        <f ca="1">'Expenditures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1" t="s">
        <v>449</v>
      </c>
      <c r="B39" s="962"/>
      <c r="C39" s="964">
        <v>3000</v>
      </c>
      <c r="D39" s="1772"/>
      <c r="E39" s="1774">
        <f ca="1">'Expenditures 15-22'!K75-SUM('Expenditures 15-22'!G75,'Expenditures 15-22'!I75)+'Expenditures 15-22'!K130-SUM('Expenditures 15-22'!G130,'Expenditures 15-22'!I130)+'Expenditures 15-22'!K185-SUM('Expenditures 15-22'!G185,'Expenditures 15-22'!I185)+'Expenditures 15-22'!D280</f>
        <v>3271</v>
      </c>
      <c r="F39" s="1772"/>
      <c r="G39" s="1774">
        <f ca="1">'Expenditures 15-22'!K75-SUM('Expenditures 15-22'!G75,'Expenditures 15-22'!I75)+'Expenditures 15-22'!K130-SUM('Expenditures 15-22'!G130,'Expenditures 15-22'!I130)+'Expenditures 15-22'!K185-SUM('Expenditures 15-22'!G185,'Expenditures 15-22'!I185)+'Expenditures 15-22'!D280</f>
        <v>3271</v>
      </c>
    </row>
    <row r="40" spans="1:7" ht="12" customHeight="1" x14ac:dyDescent="0.2">
      <c r="A40" s="961" t="s">
        <v>1820</v>
      </c>
      <c r="B40" s="962"/>
      <c r="C40" s="964"/>
      <c r="D40" s="1772"/>
      <c r="E40" s="1776">
        <f>-'Contracts Paid in CY 29'!G141</f>
        <v>-170693</v>
      </c>
      <c r="F40" s="1772"/>
      <c r="G40" s="1776">
        <f>-'Contracts Paid in CY 29'!G141</f>
        <v>-170693</v>
      </c>
    </row>
    <row r="41" spans="1:7" ht="12" customHeight="1" x14ac:dyDescent="0.2">
      <c r="A41" s="969" t="s">
        <v>156</v>
      </c>
      <c r="B41" s="970"/>
      <c r="C41" s="971"/>
      <c r="D41" s="1776">
        <f ca="1">SUM(D19:D39)</f>
        <v>193179</v>
      </c>
      <c r="E41" s="1776">
        <f ca="1">SUM(E19:E40)</f>
        <v>19848343</v>
      </c>
      <c r="F41" s="1776">
        <f ca="1">SUM(F19:F39)</f>
        <v>2007703</v>
      </c>
      <c r="G41" s="1776">
        <f ca="1">SUM(G19:G40)</f>
        <v>18033819</v>
      </c>
    </row>
    <row r="42" spans="1:7" x14ac:dyDescent="0.2">
      <c r="A42" s="958"/>
      <c r="B42" s="162"/>
      <c r="C42" s="972"/>
      <c r="D42" s="2336" t="s">
        <v>522</v>
      </c>
      <c r="E42" s="2337"/>
      <c r="F42" s="973" t="s">
        <v>523</v>
      </c>
      <c r="G42" s="974"/>
    </row>
    <row r="43" spans="1:7" ht="12" customHeight="1" x14ac:dyDescent="0.2">
      <c r="A43" s="958"/>
      <c r="B43" s="162"/>
      <c r="C43" s="972"/>
      <c r="D43" s="1777" t="s">
        <v>473</v>
      </c>
      <c r="E43" s="1778">
        <f ca="1">D41</f>
        <v>193179</v>
      </c>
      <c r="F43" s="1777" t="s">
        <v>473</v>
      </c>
      <c r="G43" s="1778">
        <f ca="1">F41</f>
        <v>2007703</v>
      </c>
    </row>
    <row r="44" spans="1:7" ht="12" customHeight="1" x14ac:dyDescent="0.2">
      <c r="A44" s="958"/>
      <c r="B44" s="162"/>
      <c r="C44" s="972"/>
      <c r="D44" s="1777" t="s">
        <v>474</v>
      </c>
      <c r="E44" s="1778">
        <f ca="1">E41</f>
        <v>19848343</v>
      </c>
      <c r="F44" s="1777" t="s">
        <v>474</v>
      </c>
      <c r="G44" s="1778">
        <f ca="1">G41</f>
        <v>18033819</v>
      </c>
    </row>
    <row r="45" spans="1:7" ht="12" customHeight="1" x14ac:dyDescent="0.2">
      <c r="A45" s="958"/>
      <c r="B45" s="162"/>
      <c r="C45" s="162"/>
      <c r="D45" s="1779" t="s">
        <v>1006</v>
      </c>
      <c r="E45" s="1780">
        <f ca="1">(E43/E44)</f>
        <v>9.7327519984917628E-3</v>
      </c>
      <c r="F45" s="1779" t="s">
        <v>1006</v>
      </c>
      <c r="G45" s="1780">
        <f ca="1">(G43/G44)</f>
        <v>0.11132988525614014</v>
      </c>
    </row>
    <row r="46" spans="1:7" x14ac:dyDescent="0.2">
      <c r="A46" s="975"/>
      <c r="B46" s="976"/>
      <c r="C46" s="976"/>
      <c r="D46" s="977"/>
      <c r="E46" s="978"/>
      <c r="F46" s="977"/>
      <c r="G46" s="978"/>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F172" sqref="F172"/>
      <selection pane="bottomLeft" activeCell="F18" sqref="F18"/>
    </sheetView>
  </sheetViews>
  <sheetFormatPr defaultColWidth="9.140625" defaultRowHeight="12.75" x14ac:dyDescent="0.2"/>
  <cols>
    <col min="1" max="1" width="54.5703125" style="1842" customWidth="1"/>
    <col min="2" max="2" width="4.140625" style="1842" customWidth="1"/>
    <col min="3" max="4" width="9.85546875" style="1817" customWidth="1"/>
    <col min="5" max="5" width="12.5703125" style="1843" customWidth="1"/>
    <col min="6" max="6" width="67.5703125" style="1817" customWidth="1"/>
    <col min="7" max="7" width="9.140625" style="1817" customWidth="1"/>
    <col min="8" max="8" width="5.5703125" style="1844" bestFit="1" customWidth="1"/>
    <col min="9" max="10" width="2" style="1844" bestFit="1" customWidth="1"/>
    <col min="11" max="11" width="9" style="1844" customWidth="1"/>
    <col min="12" max="16384" width="9.140625" style="1817"/>
  </cols>
  <sheetData>
    <row r="1" spans="1:10" x14ac:dyDescent="0.2">
      <c r="A1" s="2355" t="s">
        <v>1379</v>
      </c>
      <c r="B1" s="2355"/>
      <c r="C1" s="2355"/>
      <c r="D1" s="2355"/>
      <c r="E1" s="2355"/>
      <c r="F1" s="2355"/>
    </row>
    <row r="2" spans="1:10" x14ac:dyDescent="0.2">
      <c r="A2" s="1853" t="s">
        <v>1909</v>
      </c>
      <c r="B2" s="1818"/>
      <c r="C2" s="1853"/>
      <c r="D2" s="1818"/>
      <c r="E2" s="1818"/>
      <c r="F2" s="1819"/>
    </row>
    <row r="3" spans="1:10" x14ac:dyDescent="0.2">
      <c r="A3" s="1853" t="s">
        <v>1975</v>
      </c>
      <c r="B3" s="1818"/>
      <c r="C3" s="1853"/>
      <c r="D3" s="1818"/>
      <c r="E3" s="1818"/>
      <c r="F3" s="1819"/>
    </row>
    <row r="4" spans="1:10" ht="3.75" customHeight="1" x14ac:dyDescent="0.2">
      <c r="A4" s="1818"/>
      <c r="B4" s="1818"/>
      <c r="C4" s="1818"/>
      <c r="D4" s="1818"/>
      <c r="E4" s="1818"/>
      <c r="F4" s="1819"/>
    </row>
    <row r="5" spans="1:10" ht="15" x14ac:dyDescent="0.25">
      <c r="A5" s="2356" t="s">
        <v>1546</v>
      </c>
      <c r="B5" s="2357"/>
      <c r="C5" s="2358"/>
      <c r="D5" s="2358"/>
      <c r="E5" s="2358"/>
      <c r="F5" s="2358"/>
    </row>
    <row r="6" spans="1:10" ht="12" customHeight="1" x14ac:dyDescent="0.25">
      <c r="A6" s="1820"/>
      <c r="B6" s="1821"/>
      <c r="C6" s="2359" t="str">
        <f>COVER!A17</f>
        <v>Ottawa ESD 141</v>
      </c>
      <c r="D6" s="2359"/>
      <c r="E6" s="2359"/>
      <c r="F6" s="1822"/>
    </row>
    <row r="7" spans="1:10" ht="11.25" customHeight="1" thickBot="1" x14ac:dyDescent="0.3">
      <c r="A7" s="1820"/>
      <c r="B7" s="1821"/>
      <c r="C7" s="2360">
        <f>COVER!A13</f>
        <v>35050141002</v>
      </c>
      <c r="D7" s="2360"/>
      <c r="E7" s="2360"/>
      <c r="F7" s="1822"/>
    </row>
    <row r="8" spans="1:10" ht="25.5" customHeight="1" thickBot="1" x14ac:dyDescent="0.25">
      <c r="A8" s="1859" t="s">
        <v>1905</v>
      </c>
      <c r="B8" s="1823"/>
      <c r="C8" s="1855" t="s">
        <v>1681</v>
      </c>
      <c r="D8" s="1854" t="s">
        <v>1682</v>
      </c>
      <c r="E8" s="1856" t="s">
        <v>1380</v>
      </c>
      <c r="F8" s="1854" t="s">
        <v>1683</v>
      </c>
      <c r="H8" s="1824" t="b">
        <v>0</v>
      </c>
    </row>
    <row r="9" spans="1:10" ht="15.75" customHeight="1" x14ac:dyDescent="0.2">
      <c r="A9" s="1825" t="s">
        <v>1542</v>
      </c>
      <c r="B9" s="1826"/>
      <c r="C9" s="1827"/>
      <c r="D9" s="1827"/>
      <c r="E9" s="1828"/>
      <c r="F9" s="1829"/>
    </row>
    <row r="10" spans="1:10" ht="27.75" customHeight="1" x14ac:dyDescent="0.2">
      <c r="A10" s="1830" t="s">
        <v>1680</v>
      </c>
      <c r="B10" s="1831"/>
      <c r="C10" s="1832"/>
      <c r="D10" s="1832"/>
      <c r="E10" s="1857" t="s">
        <v>1381</v>
      </c>
      <c r="F10" s="1858" t="s">
        <v>1382</v>
      </c>
    </row>
    <row r="11" spans="1:10" ht="12" customHeight="1" x14ac:dyDescent="0.2">
      <c r="A11" s="1833" t="s">
        <v>1383</v>
      </c>
      <c r="B11" s="1834"/>
      <c r="C11" s="1970"/>
      <c r="D11" s="1970"/>
      <c r="E11" s="1971"/>
      <c r="F11" s="1972"/>
      <c r="H11" s="1844">
        <f>IF(C11="X",5,0)</f>
        <v>0</v>
      </c>
      <c r="I11" s="1844">
        <f>IF(D11="X",5,0)</f>
        <v>0</v>
      </c>
      <c r="J11" s="1844">
        <f>IF(E11="X",5,0)</f>
        <v>0</v>
      </c>
    </row>
    <row r="12" spans="1:10" ht="12" customHeight="1" x14ac:dyDescent="0.2">
      <c r="A12" s="1833" t="s">
        <v>1384</v>
      </c>
      <c r="B12" s="1834"/>
      <c r="C12" s="1970"/>
      <c r="D12" s="1970"/>
      <c r="E12" s="1973"/>
      <c r="F12" s="1972"/>
      <c r="H12" s="1844">
        <f t="shared" ref="H12:H33" si="0">IF(C12="X",5,0)</f>
        <v>0</v>
      </c>
      <c r="I12" s="1844">
        <f t="shared" ref="I12:I33" si="1">IF(D12="X",5,0)</f>
        <v>0</v>
      </c>
      <c r="J12" s="1844">
        <f t="shared" ref="J12:J33" si="2">IF(E12="X",5,0)</f>
        <v>0</v>
      </c>
    </row>
    <row r="13" spans="1:10" ht="12" customHeight="1" x14ac:dyDescent="0.2">
      <c r="A13" s="1833" t="s">
        <v>1385</v>
      </c>
      <c r="B13" s="1834"/>
      <c r="C13" s="1970"/>
      <c r="D13" s="1970"/>
      <c r="E13" s="1973"/>
      <c r="F13" s="1972"/>
      <c r="H13" s="1844">
        <f t="shared" si="0"/>
        <v>0</v>
      </c>
      <c r="I13" s="1844">
        <f t="shared" si="1"/>
        <v>0</v>
      </c>
      <c r="J13" s="1844">
        <f t="shared" si="2"/>
        <v>0</v>
      </c>
    </row>
    <row r="14" spans="1:10" ht="12" customHeight="1" x14ac:dyDescent="0.2">
      <c r="A14" s="1833" t="s">
        <v>1386</v>
      </c>
      <c r="B14" s="1834"/>
      <c r="C14" s="1970"/>
      <c r="D14" s="1970"/>
      <c r="E14" s="1973"/>
      <c r="F14" s="1972"/>
      <c r="H14" s="1844">
        <f t="shared" si="0"/>
        <v>0</v>
      </c>
      <c r="I14" s="1844">
        <f t="shared" si="1"/>
        <v>0</v>
      </c>
      <c r="J14" s="1844">
        <f t="shared" si="2"/>
        <v>0</v>
      </c>
    </row>
    <row r="15" spans="1:10" ht="12" customHeight="1" x14ac:dyDescent="0.2">
      <c r="A15" s="1833" t="s">
        <v>1387</v>
      </c>
      <c r="B15" s="1834"/>
      <c r="C15" s="1970"/>
      <c r="D15" s="1970"/>
      <c r="E15" s="1973"/>
      <c r="F15" s="1972"/>
      <c r="H15" s="1844">
        <f t="shared" si="0"/>
        <v>0</v>
      </c>
      <c r="I15" s="1844">
        <f t="shared" si="1"/>
        <v>0</v>
      </c>
      <c r="J15" s="1844">
        <f t="shared" si="2"/>
        <v>0</v>
      </c>
    </row>
    <row r="16" spans="1:10" ht="12" customHeight="1" x14ac:dyDescent="0.2">
      <c r="A16" s="1833" t="s">
        <v>1388</v>
      </c>
      <c r="B16" s="1834"/>
      <c r="C16" s="1974" t="s">
        <v>2062</v>
      </c>
      <c r="D16" s="1974" t="s">
        <v>2062</v>
      </c>
      <c r="E16" s="1976" t="s">
        <v>2062</v>
      </c>
      <c r="F16" s="1975" t="s">
        <v>3918</v>
      </c>
      <c r="H16" s="1844">
        <f t="shared" si="0"/>
        <v>5</v>
      </c>
      <c r="I16" s="1844">
        <f t="shared" si="1"/>
        <v>5</v>
      </c>
      <c r="J16" s="1844">
        <f t="shared" si="2"/>
        <v>5</v>
      </c>
    </row>
    <row r="17" spans="1:12" ht="12" customHeight="1" x14ac:dyDescent="0.2">
      <c r="A17" s="1833" t="s">
        <v>1389</v>
      </c>
      <c r="B17" s="1834"/>
      <c r="C17" s="1970"/>
      <c r="D17" s="1970"/>
      <c r="E17" s="1973"/>
      <c r="F17" s="1972"/>
      <c r="H17" s="1844">
        <f t="shared" si="0"/>
        <v>0</v>
      </c>
      <c r="I17" s="1844">
        <f t="shared" si="1"/>
        <v>0</v>
      </c>
      <c r="J17" s="1844">
        <f t="shared" si="2"/>
        <v>0</v>
      </c>
    </row>
    <row r="18" spans="1:12" ht="12" customHeight="1" x14ac:dyDescent="0.2">
      <c r="A18" s="1833" t="s">
        <v>1390</v>
      </c>
      <c r="B18" s="1834"/>
      <c r="C18" s="1970"/>
      <c r="D18" s="1970"/>
      <c r="E18" s="1973"/>
      <c r="F18" s="1972"/>
      <c r="H18" s="1844">
        <f t="shared" si="0"/>
        <v>0</v>
      </c>
      <c r="I18" s="1844">
        <f t="shared" si="1"/>
        <v>0</v>
      </c>
      <c r="J18" s="1844">
        <f t="shared" si="2"/>
        <v>0</v>
      </c>
    </row>
    <row r="19" spans="1:12" ht="12" customHeight="1" x14ac:dyDescent="0.2">
      <c r="A19" s="1833" t="s">
        <v>1527</v>
      </c>
      <c r="B19" s="1834"/>
      <c r="C19" s="1970"/>
      <c r="D19" s="1970"/>
      <c r="E19" s="1973"/>
      <c r="F19" s="1972"/>
      <c r="H19" s="1844">
        <f t="shared" si="0"/>
        <v>0</v>
      </c>
      <c r="I19" s="1844">
        <f t="shared" si="1"/>
        <v>0</v>
      </c>
      <c r="J19" s="1844">
        <f t="shared" si="2"/>
        <v>0</v>
      </c>
    </row>
    <row r="20" spans="1:12" ht="12" customHeight="1" x14ac:dyDescent="0.2">
      <c r="A20" s="1833" t="s">
        <v>1528</v>
      </c>
      <c r="B20" s="1834"/>
      <c r="C20" s="1970"/>
      <c r="D20" s="1970"/>
      <c r="E20" s="1973"/>
      <c r="F20" s="1972"/>
      <c r="H20" s="1844">
        <f t="shared" si="0"/>
        <v>0</v>
      </c>
      <c r="I20" s="1844">
        <f t="shared" si="1"/>
        <v>0</v>
      </c>
      <c r="J20" s="1844">
        <f t="shared" si="2"/>
        <v>0</v>
      </c>
    </row>
    <row r="21" spans="1:12" ht="12" customHeight="1" x14ac:dyDescent="0.2">
      <c r="A21" s="1833" t="s">
        <v>1529</v>
      </c>
      <c r="B21" s="1834"/>
      <c r="C21" s="1970"/>
      <c r="D21" s="1970"/>
      <c r="E21" s="1973"/>
      <c r="F21" s="1972"/>
      <c r="H21" s="1844">
        <f t="shared" si="0"/>
        <v>0</v>
      </c>
      <c r="I21" s="1844">
        <f t="shared" si="1"/>
        <v>0</v>
      </c>
      <c r="J21" s="1844">
        <f t="shared" si="2"/>
        <v>0</v>
      </c>
    </row>
    <row r="22" spans="1:12" ht="12" customHeight="1" x14ac:dyDescent="0.2">
      <c r="A22" s="1833" t="s">
        <v>1530</v>
      </c>
      <c r="B22" s="1834"/>
      <c r="C22" s="1970"/>
      <c r="D22" s="1970"/>
      <c r="E22" s="1973"/>
      <c r="F22" s="1972"/>
      <c r="H22" s="1844">
        <f t="shared" si="0"/>
        <v>0</v>
      </c>
      <c r="I22" s="1844">
        <f t="shared" si="1"/>
        <v>0</v>
      </c>
      <c r="J22" s="1844">
        <f t="shared" si="2"/>
        <v>0</v>
      </c>
    </row>
    <row r="23" spans="1:12" ht="12" customHeight="1" x14ac:dyDescent="0.2">
      <c r="A23" s="1833" t="s">
        <v>1531</v>
      </c>
      <c r="B23" s="1834"/>
      <c r="C23" s="1970"/>
      <c r="D23" s="1970"/>
      <c r="E23" s="1973"/>
      <c r="F23" s="1972"/>
      <c r="H23" s="1844">
        <f t="shared" si="0"/>
        <v>0</v>
      </c>
      <c r="I23" s="1844">
        <f t="shared" si="1"/>
        <v>0</v>
      </c>
      <c r="J23" s="1844">
        <f t="shared" si="2"/>
        <v>0</v>
      </c>
    </row>
    <row r="24" spans="1:12" ht="12" customHeight="1" x14ac:dyDescent="0.2">
      <c r="A24" s="1833" t="s">
        <v>1532</v>
      </c>
      <c r="B24" s="1834"/>
      <c r="C24" s="1970"/>
      <c r="D24" s="1970"/>
      <c r="E24" s="1973"/>
      <c r="F24" s="1972"/>
      <c r="H24" s="1844">
        <f t="shared" si="0"/>
        <v>0</v>
      </c>
      <c r="I24" s="1844">
        <f t="shared" si="1"/>
        <v>0</v>
      </c>
      <c r="J24" s="1844">
        <f t="shared" si="2"/>
        <v>0</v>
      </c>
    </row>
    <row r="25" spans="1:12" ht="12" customHeight="1" x14ac:dyDescent="0.2">
      <c r="A25" s="1833" t="s">
        <v>1533</v>
      </c>
      <c r="B25" s="1834"/>
      <c r="C25" s="1970"/>
      <c r="D25" s="1970"/>
      <c r="E25" s="1973"/>
      <c r="F25" s="1972"/>
      <c r="H25" s="1844">
        <f t="shared" si="0"/>
        <v>0</v>
      </c>
      <c r="I25" s="1844">
        <f t="shared" si="1"/>
        <v>0</v>
      </c>
      <c r="J25" s="1844">
        <f t="shared" si="2"/>
        <v>0</v>
      </c>
    </row>
    <row r="26" spans="1:12" ht="12" customHeight="1" x14ac:dyDescent="0.2">
      <c r="A26" s="1833" t="s">
        <v>1534</v>
      </c>
      <c r="B26" s="1834"/>
      <c r="C26" s="1974" t="s">
        <v>2062</v>
      </c>
      <c r="D26" s="1974" t="s">
        <v>2062</v>
      </c>
      <c r="E26" s="1976" t="s">
        <v>2062</v>
      </c>
      <c r="F26" s="1975" t="s">
        <v>3919</v>
      </c>
      <c r="H26" s="1844">
        <f t="shared" si="0"/>
        <v>5</v>
      </c>
      <c r="I26" s="1844">
        <f t="shared" si="1"/>
        <v>5</v>
      </c>
      <c r="J26" s="1844">
        <f t="shared" si="2"/>
        <v>5</v>
      </c>
    </row>
    <row r="27" spans="1:12" ht="18.75" x14ac:dyDescent="0.2">
      <c r="A27" s="1833" t="s">
        <v>1535</v>
      </c>
      <c r="B27" s="1834"/>
      <c r="C27" s="1970"/>
      <c r="D27" s="1970"/>
      <c r="E27" s="1973"/>
      <c r="F27" s="1972"/>
      <c r="H27" s="1844">
        <f t="shared" si="0"/>
        <v>0</v>
      </c>
      <c r="I27" s="1844">
        <f t="shared" si="1"/>
        <v>0</v>
      </c>
      <c r="J27" s="1844">
        <f t="shared" si="2"/>
        <v>0</v>
      </c>
    </row>
    <row r="28" spans="1:12" ht="12" customHeight="1" x14ac:dyDescent="0.2">
      <c r="A28" s="1833" t="s">
        <v>1536</v>
      </c>
      <c r="B28" s="1834"/>
      <c r="C28" s="1970"/>
      <c r="D28" s="1970"/>
      <c r="E28" s="1973"/>
      <c r="F28" s="1972"/>
      <c r="H28" s="1844">
        <f t="shared" si="0"/>
        <v>0</v>
      </c>
      <c r="I28" s="1844">
        <f t="shared" si="1"/>
        <v>0</v>
      </c>
      <c r="J28" s="1844">
        <f t="shared" si="2"/>
        <v>0</v>
      </c>
    </row>
    <row r="29" spans="1:12" ht="12" customHeight="1" x14ac:dyDescent="0.2">
      <c r="A29" s="1833" t="s">
        <v>1537</v>
      </c>
      <c r="B29" s="1834"/>
      <c r="C29" s="1970"/>
      <c r="D29" s="1970"/>
      <c r="E29" s="1973"/>
      <c r="F29" s="1972"/>
      <c r="H29" s="1844">
        <f t="shared" si="0"/>
        <v>0</v>
      </c>
      <c r="I29" s="1844">
        <f t="shared" si="1"/>
        <v>0</v>
      </c>
      <c r="J29" s="1844">
        <f t="shared" si="2"/>
        <v>0</v>
      </c>
    </row>
    <row r="30" spans="1:12" ht="12" customHeight="1" x14ac:dyDescent="0.2">
      <c r="A30" s="1833" t="s">
        <v>1538</v>
      </c>
      <c r="B30" s="1834"/>
      <c r="C30" s="1970"/>
      <c r="D30" s="1970"/>
      <c r="E30" s="1973"/>
      <c r="F30" s="1972"/>
      <c r="H30" s="1844">
        <f t="shared" si="0"/>
        <v>0</v>
      </c>
      <c r="I30" s="1844">
        <f t="shared" si="1"/>
        <v>0</v>
      </c>
      <c r="J30" s="1844">
        <f t="shared" si="2"/>
        <v>0</v>
      </c>
    </row>
    <row r="31" spans="1:12" ht="12" customHeight="1" x14ac:dyDescent="0.2">
      <c r="A31" s="1833" t="s">
        <v>1539</v>
      </c>
      <c r="B31" s="1834"/>
      <c r="C31" s="1970"/>
      <c r="D31" s="1970"/>
      <c r="E31" s="1973"/>
      <c r="F31" s="1972"/>
      <c r="H31" s="1844">
        <f t="shared" si="0"/>
        <v>0</v>
      </c>
      <c r="I31" s="1844">
        <f t="shared" si="1"/>
        <v>0</v>
      </c>
      <c r="J31" s="1844">
        <f t="shared" si="2"/>
        <v>0</v>
      </c>
      <c r="L31" s="1835"/>
    </row>
    <row r="32" spans="1:12" ht="12" customHeight="1" x14ac:dyDescent="0.2">
      <c r="A32" s="1833" t="s">
        <v>1540</v>
      </c>
      <c r="B32" s="1834"/>
      <c r="C32" s="1970"/>
      <c r="D32" s="1970"/>
      <c r="E32" s="1973"/>
      <c r="F32" s="1972"/>
      <c r="H32" s="1844">
        <f t="shared" si="0"/>
        <v>0</v>
      </c>
      <c r="I32" s="1844">
        <f t="shared" si="1"/>
        <v>0</v>
      </c>
      <c r="J32" s="1844">
        <f t="shared" si="2"/>
        <v>0</v>
      </c>
    </row>
    <row r="33" spans="1:11" ht="12" customHeight="1" x14ac:dyDescent="0.2">
      <c r="A33" s="1833" t="s">
        <v>1541</v>
      </c>
      <c r="B33" s="1834"/>
      <c r="C33" s="1970"/>
      <c r="D33" s="1970"/>
      <c r="E33" s="1973"/>
      <c r="F33" s="1972"/>
      <c r="H33" s="1844">
        <f t="shared" si="0"/>
        <v>0</v>
      </c>
      <c r="I33" s="1844">
        <f t="shared" si="1"/>
        <v>0</v>
      </c>
      <c r="J33" s="1844">
        <f t="shared" si="2"/>
        <v>0</v>
      </c>
    </row>
    <row r="34" spans="1:11" ht="12" customHeight="1" x14ac:dyDescent="0.25">
      <c r="A34" s="1836"/>
      <c r="B34" s="1836"/>
      <c r="C34" s="1836"/>
      <c r="D34" s="1836"/>
      <c r="E34" s="1836"/>
      <c r="F34" s="1836"/>
      <c r="H34" s="1844">
        <f>SUM(H11:H32)</f>
        <v>10</v>
      </c>
      <c r="I34" s="1844">
        <f>SUM(I11:I32)</f>
        <v>10</v>
      </c>
      <c r="J34" s="1844">
        <f>SUM(J11:J32)</f>
        <v>10</v>
      </c>
      <c r="K34" s="1844">
        <f>SUM(H34:J34)</f>
        <v>30</v>
      </c>
    </row>
    <row r="35" spans="1:11" ht="12" customHeight="1" x14ac:dyDescent="0.2">
      <c r="A35" s="1837" t="s">
        <v>1392</v>
      </c>
      <c r="B35" s="1838"/>
      <c r="C35" s="2361"/>
      <c r="D35" s="2361"/>
      <c r="E35" s="2361"/>
      <c r="F35" s="2362"/>
    </row>
    <row r="36" spans="1:11" ht="12" customHeight="1" x14ac:dyDescent="0.2">
      <c r="A36" s="2344"/>
      <c r="B36" s="2345"/>
      <c r="C36" s="2345"/>
      <c r="D36" s="2345"/>
      <c r="E36" s="2345"/>
      <c r="F36" s="2346"/>
    </row>
    <row r="37" spans="1:11" ht="12" customHeight="1" x14ac:dyDescent="0.2">
      <c r="A37" s="2344"/>
      <c r="B37" s="2345"/>
      <c r="C37" s="2345"/>
      <c r="D37" s="2345"/>
      <c r="E37" s="2345"/>
      <c r="F37" s="2346"/>
    </row>
    <row r="38" spans="1:11" ht="12" customHeight="1" x14ac:dyDescent="0.2">
      <c r="A38" s="2347"/>
      <c r="B38" s="2348"/>
      <c r="C38" s="2348"/>
      <c r="D38" s="2348"/>
      <c r="E38" s="2348"/>
      <c r="F38" s="2349"/>
    </row>
    <row r="39" spans="1:11" ht="4.5" hidden="1" customHeight="1" x14ac:dyDescent="0.2">
      <c r="A39" s="1839"/>
      <c r="B39" s="1839"/>
      <c r="C39" s="1839"/>
      <c r="D39" s="1839"/>
      <c r="E39" s="1839"/>
      <c r="F39" s="1839"/>
    </row>
    <row r="40" spans="1:11" s="1836" customFormat="1" ht="12" customHeight="1" x14ac:dyDescent="0.25">
      <c r="A40" s="1840" t="s">
        <v>1391</v>
      </c>
      <c r="B40" s="1841"/>
      <c r="C40" s="2350"/>
      <c r="D40" s="2350"/>
      <c r="E40" s="2350"/>
      <c r="F40" s="2351"/>
      <c r="H40" s="1845"/>
      <c r="I40" s="1845"/>
      <c r="J40" s="1845"/>
      <c r="K40" s="1845"/>
    </row>
    <row r="41" spans="1:11" s="1836" customFormat="1" ht="12" customHeight="1" x14ac:dyDescent="0.25">
      <c r="A41" s="2352"/>
      <c r="B41" s="2353"/>
      <c r="C41" s="2353"/>
      <c r="D41" s="2353"/>
      <c r="E41" s="2353"/>
      <c r="F41" s="2354"/>
      <c r="H41" s="1845"/>
      <c r="I41" s="1845"/>
      <c r="J41" s="1845"/>
      <c r="K41" s="1845"/>
    </row>
    <row r="42" spans="1:11" s="1836" customFormat="1" ht="12" customHeight="1" x14ac:dyDescent="0.25">
      <c r="A42" s="2352"/>
      <c r="B42" s="2353"/>
      <c r="C42" s="2353"/>
      <c r="D42" s="2353"/>
      <c r="E42" s="2353"/>
      <c r="F42" s="2354"/>
      <c r="H42" s="1845"/>
      <c r="I42" s="1845"/>
      <c r="J42" s="1845"/>
      <c r="K42" s="1845"/>
    </row>
    <row r="43" spans="1:11" s="1836" customFormat="1" ht="15" x14ac:dyDescent="0.25">
      <c r="A43" s="2341"/>
      <c r="B43" s="2342"/>
      <c r="C43" s="2342"/>
      <c r="D43" s="2342"/>
      <c r="E43" s="2342"/>
      <c r="F43" s="2343"/>
      <c r="H43" s="1845"/>
      <c r="I43" s="1845"/>
      <c r="J43" s="1845"/>
      <c r="K43" s="1845"/>
    </row>
    <row r="44" spans="1:11" s="1836" customFormat="1" ht="12" hidden="1" customHeight="1" x14ac:dyDescent="0.25">
      <c r="A44" s="2341"/>
      <c r="B44" s="2342"/>
      <c r="C44" s="2342"/>
      <c r="D44" s="2342"/>
      <c r="E44" s="2342"/>
      <c r="F44" s="2343"/>
      <c r="H44" s="1845"/>
      <c r="I44" s="1845"/>
      <c r="J44" s="1845"/>
      <c r="K44" s="1845"/>
    </row>
    <row r="45" spans="1:11" s="1836" customFormat="1" ht="12" customHeight="1" x14ac:dyDescent="0.25">
      <c r="H45" s="1845"/>
      <c r="I45" s="1845"/>
      <c r="J45" s="1845"/>
      <c r="K45" s="1845"/>
    </row>
    <row r="46" spans="1:11" s="1836" customFormat="1" ht="9.75" customHeight="1" x14ac:dyDescent="0.25">
      <c r="H46" s="1845"/>
      <c r="I46" s="1845"/>
      <c r="J46" s="1845"/>
      <c r="K46" s="1845"/>
    </row>
    <row r="47" spans="1:11" s="1836" customFormat="1" ht="13.5" customHeight="1" x14ac:dyDescent="0.25">
      <c r="H47" s="1845"/>
      <c r="I47" s="1845"/>
      <c r="J47" s="1845"/>
      <c r="K47" s="1845"/>
    </row>
    <row r="48" spans="1:11" s="1836" customFormat="1" ht="15" x14ac:dyDescent="0.25">
      <c r="H48" s="1845"/>
      <c r="I48" s="1845"/>
      <c r="J48" s="1845"/>
      <c r="K48" s="1845"/>
    </row>
    <row r="49" spans="1:11" s="1836" customFormat="1" ht="15" hidden="1" x14ac:dyDescent="0.25">
      <c r="A49" s="1836" t="b">
        <v>0</v>
      </c>
      <c r="H49" s="1845"/>
      <c r="I49" s="1845"/>
      <c r="J49" s="1845"/>
      <c r="K49" s="1845"/>
    </row>
    <row r="50" spans="1:11" s="1836" customFormat="1" ht="15" x14ac:dyDescent="0.25">
      <c r="H50" s="1845"/>
      <c r="I50" s="1845"/>
      <c r="J50" s="1845"/>
      <c r="K50" s="1845"/>
    </row>
    <row r="51" spans="1:11" s="1836" customFormat="1" ht="15" x14ac:dyDescent="0.25">
      <c r="H51" s="1845"/>
      <c r="I51" s="1845"/>
      <c r="J51" s="1845"/>
      <c r="K51" s="1845"/>
    </row>
    <row r="52" spans="1:11" s="1836" customFormat="1" ht="15" x14ac:dyDescent="0.25">
      <c r="H52" s="1845"/>
      <c r="I52" s="1845"/>
      <c r="J52" s="1845"/>
      <c r="K52" s="1845"/>
    </row>
    <row r="53" spans="1:11" s="1836" customFormat="1" ht="15" x14ac:dyDescent="0.25">
      <c r="H53" s="1845"/>
      <c r="I53" s="1845"/>
      <c r="J53" s="1845"/>
      <c r="K53" s="1845"/>
    </row>
    <row r="54" spans="1:11" s="1836" customFormat="1" ht="15" x14ac:dyDescent="0.25">
      <c r="H54" s="1845"/>
      <c r="I54" s="1845"/>
      <c r="J54" s="1845"/>
      <c r="K54" s="1845"/>
    </row>
    <row r="55" spans="1:11" s="1836" customFormat="1" ht="15" x14ac:dyDescent="0.25">
      <c r="H55" s="1845"/>
      <c r="I55" s="1845"/>
      <c r="J55" s="1845"/>
      <c r="K55" s="1845"/>
    </row>
    <row r="56" spans="1:11" s="1836" customFormat="1" ht="15" x14ac:dyDescent="0.25">
      <c r="H56" s="1845"/>
      <c r="I56" s="1845"/>
      <c r="J56" s="1845"/>
      <c r="K56" s="1845"/>
    </row>
    <row r="57" spans="1:11" s="1836" customFormat="1" ht="15" x14ac:dyDescent="0.25">
      <c r="H57" s="1845"/>
      <c r="I57" s="1845"/>
      <c r="J57" s="1845"/>
      <c r="K57" s="1845"/>
    </row>
    <row r="58" spans="1:11" s="1836" customFormat="1" ht="15" x14ac:dyDescent="0.25">
      <c r="H58" s="1845"/>
      <c r="I58" s="1845"/>
      <c r="J58" s="1845"/>
      <c r="K58" s="1845"/>
    </row>
    <row r="59" spans="1:11" s="1836" customFormat="1" ht="15" x14ac:dyDescent="0.25">
      <c r="H59" s="1845"/>
      <c r="I59" s="1845"/>
      <c r="J59" s="1845"/>
      <c r="K59" s="1845"/>
    </row>
    <row r="60" spans="1:11" s="1836" customFormat="1" ht="15" x14ac:dyDescent="0.25">
      <c r="H60" s="1845"/>
      <c r="I60" s="1845"/>
      <c r="J60" s="1845"/>
      <c r="K60" s="1845"/>
    </row>
    <row r="61" spans="1:11" s="1836" customFormat="1" ht="15" x14ac:dyDescent="0.25">
      <c r="H61" s="1845"/>
      <c r="I61" s="1845"/>
      <c r="J61" s="1845"/>
      <c r="K61" s="1845"/>
    </row>
    <row r="62" spans="1:11" s="1836" customFormat="1" ht="15" x14ac:dyDescent="0.25">
      <c r="H62" s="1845"/>
      <c r="I62" s="1845"/>
      <c r="J62" s="1845"/>
      <c r="K62" s="1845"/>
    </row>
    <row r="63" spans="1:11" s="1836" customFormat="1" ht="15" x14ac:dyDescent="0.25">
      <c r="H63" s="1845"/>
      <c r="I63" s="1845"/>
      <c r="J63" s="1845"/>
      <c r="K63" s="1845"/>
    </row>
    <row r="64" spans="1:11" s="1836" customFormat="1" ht="15" x14ac:dyDescent="0.25">
      <c r="H64" s="1845"/>
      <c r="I64" s="1845"/>
      <c r="J64" s="1845"/>
      <c r="K64" s="1845"/>
    </row>
    <row r="65" spans="8:11" s="1836" customFormat="1" ht="15" x14ac:dyDescent="0.25">
      <c r="H65" s="1845"/>
      <c r="I65" s="1845"/>
      <c r="J65" s="1845"/>
      <c r="K65" s="1845"/>
    </row>
    <row r="66" spans="8:11" s="1836" customFormat="1" ht="15" x14ac:dyDescent="0.25">
      <c r="H66" s="1845"/>
      <c r="I66" s="1845"/>
      <c r="J66" s="1845"/>
      <c r="K66" s="1845"/>
    </row>
    <row r="67" spans="8:11" s="1836" customFormat="1" ht="15" x14ac:dyDescent="0.25">
      <c r="H67" s="1845"/>
      <c r="I67" s="1845"/>
      <c r="J67" s="1845"/>
      <c r="K67" s="1845"/>
    </row>
    <row r="68" spans="8:11" s="1836" customFormat="1" ht="15" x14ac:dyDescent="0.25">
      <c r="H68" s="1845"/>
      <c r="I68" s="1845"/>
      <c r="J68" s="1845"/>
      <c r="K68" s="1845"/>
    </row>
    <row r="69" spans="8:11" s="1836" customFormat="1" ht="15" x14ac:dyDescent="0.25">
      <c r="H69" s="1845"/>
      <c r="I69" s="1845"/>
      <c r="J69" s="1845"/>
      <c r="K69" s="1845"/>
    </row>
    <row r="70" spans="8:11" s="1836" customFormat="1" ht="15" x14ac:dyDescent="0.25">
      <c r="H70" s="1845"/>
      <c r="I70" s="1845"/>
      <c r="J70" s="1845"/>
      <c r="K70" s="1845"/>
    </row>
    <row r="71" spans="8:11" s="1836" customFormat="1" ht="15" x14ac:dyDescent="0.25">
      <c r="H71" s="1845"/>
      <c r="I71" s="1845"/>
      <c r="J71" s="1845"/>
      <c r="K71" s="1845"/>
    </row>
    <row r="72" spans="8:11" s="1836" customFormat="1" ht="15" x14ac:dyDescent="0.25">
      <c r="H72" s="1845"/>
      <c r="I72" s="1845"/>
      <c r="J72" s="1845"/>
      <c r="K72" s="1845"/>
    </row>
    <row r="73" spans="8:11" s="1836" customFormat="1" ht="15" x14ac:dyDescent="0.25">
      <c r="H73" s="1845"/>
      <c r="I73" s="1845"/>
      <c r="J73" s="1845"/>
      <c r="K73" s="1845"/>
    </row>
    <row r="74" spans="8:11" s="1836" customFormat="1" ht="15" x14ac:dyDescent="0.25">
      <c r="H74" s="1845"/>
      <c r="I74" s="1845"/>
      <c r="J74" s="1845"/>
      <c r="K74" s="1845"/>
    </row>
    <row r="75" spans="8:11" s="1836" customFormat="1" ht="15" x14ac:dyDescent="0.25">
      <c r="H75" s="1845"/>
      <c r="I75" s="1845"/>
      <c r="J75" s="1845"/>
      <c r="K75" s="1845"/>
    </row>
    <row r="76" spans="8:11" s="1836" customFormat="1" ht="15" x14ac:dyDescent="0.25">
      <c r="H76" s="1845"/>
      <c r="I76" s="1845"/>
      <c r="J76" s="1845"/>
      <c r="K76" s="1845"/>
    </row>
    <row r="77" spans="8:11" s="1836" customFormat="1" ht="15" x14ac:dyDescent="0.25">
      <c r="H77" s="1845"/>
      <c r="I77" s="1845"/>
      <c r="J77" s="1845"/>
      <c r="K77" s="1845"/>
    </row>
    <row r="78" spans="8:11" s="1836" customFormat="1" ht="15" x14ac:dyDescent="0.25">
      <c r="H78" s="1845"/>
      <c r="I78" s="1845"/>
      <c r="J78" s="1845"/>
      <c r="K78" s="1845"/>
    </row>
    <row r="79" spans="8:11" s="1836" customFormat="1" ht="15" x14ac:dyDescent="0.25">
      <c r="H79" s="1845"/>
      <c r="I79" s="1845"/>
      <c r="J79" s="1845"/>
      <c r="K79" s="1845"/>
    </row>
    <row r="80" spans="8:11" s="1836" customFormat="1" ht="15" x14ac:dyDescent="0.25">
      <c r="H80" s="1845"/>
      <c r="I80" s="1845"/>
      <c r="J80" s="1845"/>
      <c r="K80" s="1845"/>
    </row>
    <row r="81" spans="8:11" s="1836" customFormat="1" ht="15" x14ac:dyDescent="0.25">
      <c r="H81" s="1845"/>
      <c r="I81" s="1845"/>
      <c r="J81" s="1845"/>
      <c r="K81" s="1845"/>
    </row>
    <row r="82" spans="8:11" s="1836" customFormat="1" ht="15" x14ac:dyDescent="0.25">
      <c r="H82" s="1845"/>
      <c r="I82" s="1845"/>
      <c r="J82" s="1845"/>
      <c r="K82" s="1845"/>
    </row>
    <row r="83" spans="8:11" s="1836" customFormat="1" ht="15" x14ac:dyDescent="0.25">
      <c r="H83" s="1845"/>
      <c r="I83" s="1845"/>
      <c r="J83" s="1845"/>
      <c r="K83" s="1845"/>
    </row>
    <row r="84" spans="8:11" s="1836" customFormat="1" ht="15" x14ac:dyDescent="0.25">
      <c r="H84" s="1845"/>
      <c r="I84" s="1845"/>
      <c r="J84" s="1845"/>
      <c r="K84" s="1845"/>
    </row>
    <row r="85" spans="8:11" s="1836" customFormat="1" ht="15" x14ac:dyDescent="0.25">
      <c r="H85" s="1845"/>
      <c r="I85" s="1845"/>
      <c r="J85" s="1845"/>
      <c r="K85" s="1845"/>
    </row>
    <row r="86" spans="8:11" s="1836" customFormat="1" ht="15" x14ac:dyDescent="0.25">
      <c r="H86" s="1845"/>
      <c r="I86" s="1845"/>
      <c r="J86" s="1845"/>
      <c r="K86" s="1845"/>
    </row>
    <row r="87" spans="8:11" s="1836" customFormat="1" ht="15" x14ac:dyDescent="0.25">
      <c r="H87" s="1845"/>
      <c r="I87" s="1845"/>
      <c r="J87" s="1845"/>
      <c r="K87" s="1845"/>
    </row>
    <row r="88" spans="8:11" s="1836" customFormat="1" ht="15" x14ac:dyDescent="0.25">
      <c r="H88" s="1845"/>
      <c r="I88" s="1845"/>
      <c r="J88" s="1845"/>
      <c r="K88" s="1845"/>
    </row>
    <row r="89" spans="8:11" s="1836" customFormat="1" ht="15" x14ac:dyDescent="0.25">
      <c r="H89" s="1845"/>
      <c r="I89" s="1845"/>
      <c r="J89" s="1845"/>
      <c r="K89" s="1845"/>
    </row>
    <row r="90" spans="8:11" s="1836" customFormat="1" ht="15" x14ac:dyDescent="0.25">
      <c r="H90" s="1845"/>
      <c r="I90" s="1845"/>
      <c r="J90" s="1845"/>
      <c r="K90" s="1845"/>
    </row>
    <row r="91" spans="8:11" s="1836" customFormat="1" ht="15" x14ac:dyDescent="0.25">
      <c r="H91" s="1845"/>
      <c r="I91" s="1845"/>
      <c r="J91" s="1845"/>
      <c r="K91" s="1845"/>
    </row>
    <row r="92" spans="8:11" s="1836" customFormat="1" ht="15" x14ac:dyDescent="0.25">
      <c r="H92" s="1845"/>
      <c r="I92" s="1845"/>
      <c r="J92" s="1845"/>
      <c r="K92" s="1845"/>
    </row>
    <row r="93" spans="8:11" s="1836" customFormat="1" ht="15" x14ac:dyDescent="0.25">
      <c r="H93" s="1845"/>
      <c r="I93" s="1845"/>
      <c r="J93" s="1845"/>
      <c r="K93" s="1845"/>
    </row>
    <row r="94" spans="8:11" s="1836" customFormat="1" ht="15" x14ac:dyDescent="0.25">
      <c r="H94" s="1845"/>
      <c r="I94" s="1845"/>
      <c r="J94" s="1845"/>
      <c r="K94" s="1845"/>
    </row>
    <row r="95" spans="8:11" s="1836" customFormat="1" ht="15" x14ac:dyDescent="0.25">
      <c r="H95" s="1845"/>
      <c r="I95" s="1845"/>
      <c r="J95" s="1845"/>
      <c r="K95" s="1845"/>
    </row>
    <row r="96" spans="8:11" s="1836" customFormat="1" ht="15" x14ac:dyDescent="0.25">
      <c r="H96" s="1845"/>
      <c r="I96" s="1845"/>
      <c r="J96" s="1845"/>
      <c r="K96" s="1845"/>
    </row>
    <row r="97" spans="8:11" s="1836" customFormat="1" ht="15" x14ac:dyDescent="0.25">
      <c r="H97" s="1845"/>
      <c r="I97" s="1845"/>
      <c r="J97" s="1845"/>
      <c r="K97" s="184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981" customWidth="1"/>
    <col min="2" max="2" width="2.7109375" style="981" customWidth="1"/>
    <col min="3" max="3" width="38.5703125" style="981" customWidth="1"/>
    <col min="4" max="4" width="6.42578125" style="981" customWidth="1"/>
    <col min="5" max="10" width="15.7109375" style="981" customWidth="1"/>
    <col min="11" max="14" width="4.7109375" style="981" customWidth="1"/>
    <col min="15" max="16384" width="9.140625" style="981"/>
  </cols>
  <sheetData>
    <row r="1" spans="1:17" ht="11.85" customHeight="1" x14ac:dyDescent="0.2">
      <c r="A1" s="979"/>
      <c r="B1" s="980"/>
      <c r="E1" s="982"/>
      <c r="F1" s="983" t="s">
        <v>405</v>
      </c>
      <c r="G1" s="984"/>
    </row>
    <row r="2" spans="1:17" ht="11.85" customHeight="1" x14ac:dyDescent="0.2">
      <c r="A2" s="979"/>
      <c r="B2" s="980"/>
      <c r="E2" s="982"/>
      <c r="F2" s="985" t="s">
        <v>290</v>
      </c>
      <c r="G2" s="984"/>
    </row>
    <row r="3" spans="1:17" ht="11.85" customHeight="1" x14ac:dyDescent="0.2">
      <c r="E3" s="982"/>
      <c r="F3" s="985" t="s">
        <v>406</v>
      </c>
      <c r="G3" s="982"/>
    </row>
    <row r="4" spans="1:17" ht="11.85" customHeight="1" x14ac:dyDescent="0.2">
      <c r="E4" s="982"/>
      <c r="F4" s="985" t="s">
        <v>868</v>
      </c>
      <c r="G4" s="982"/>
    </row>
    <row r="5" spans="1:17" ht="12.2" customHeight="1" x14ac:dyDescent="0.2">
      <c r="F5" s="985"/>
    </row>
    <row r="6" spans="1:17" x14ac:dyDescent="0.2">
      <c r="A6" s="1860" t="s">
        <v>672</v>
      </c>
      <c r="B6" s="1612"/>
      <c r="C6" s="1612"/>
      <c r="D6" s="1612"/>
      <c r="E6" s="1613"/>
      <c r="F6" s="986"/>
      <c r="G6" s="980"/>
      <c r="H6" s="987" t="s">
        <v>1028</v>
      </c>
      <c r="I6" s="2368" t="str">
        <f>COVER!A17</f>
        <v>Ottawa ESD 141</v>
      </c>
      <c r="J6" s="2369"/>
      <c r="Q6" s="1634"/>
    </row>
    <row r="7" spans="1:17" x14ac:dyDescent="0.2">
      <c r="A7" s="2370" t="s">
        <v>869</v>
      </c>
      <c r="B7" s="2371"/>
      <c r="C7" s="2371"/>
      <c r="D7" s="2371"/>
      <c r="E7" s="2372"/>
      <c r="F7" s="988"/>
      <c r="G7" s="980"/>
      <c r="H7" s="987" t="s">
        <v>372</v>
      </c>
      <c r="I7" s="2373">
        <f>COVER!A13</f>
        <v>35050141002</v>
      </c>
      <c r="J7" s="2373"/>
    </row>
    <row r="8" spans="1:17" ht="8.25" customHeight="1" x14ac:dyDescent="0.2">
      <c r="A8" s="1614"/>
      <c r="B8" s="1615"/>
      <c r="C8" s="1615"/>
      <c r="D8" s="1615"/>
      <c r="E8" s="1616"/>
      <c r="F8" s="989"/>
      <c r="G8" s="990"/>
      <c r="H8" s="990"/>
      <c r="I8" s="990"/>
      <c r="J8" s="990"/>
    </row>
    <row r="9" spans="1:17" ht="13.5" customHeight="1" x14ac:dyDescent="0.2">
      <c r="A9" s="991"/>
      <c r="B9" s="992"/>
      <c r="C9" s="992"/>
      <c r="D9" s="993"/>
      <c r="E9" s="1861" t="s">
        <v>1976</v>
      </c>
      <c r="F9" s="994"/>
      <c r="G9" s="994"/>
      <c r="H9" s="1862" t="s">
        <v>1977</v>
      </c>
      <c r="I9" s="994"/>
      <c r="J9" s="995"/>
    </row>
    <row r="10" spans="1:17" s="1003" customFormat="1" ht="13.5" customHeight="1" x14ac:dyDescent="0.2">
      <c r="A10" s="996"/>
      <c r="B10" s="997"/>
      <c r="C10" s="998"/>
      <c r="D10" s="999"/>
      <c r="E10" s="1000" t="s">
        <v>425</v>
      </c>
      <c r="F10" s="1001" t="s">
        <v>426</v>
      </c>
      <c r="G10" s="1002"/>
      <c r="H10" s="1001" t="s">
        <v>425</v>
      </c>
      <c r="I10" s="1001" t="s">
        <v>426</v>
      </c>
      <c r="J10" s="1001"/>
    </row>
    <row r="11" spans="1:17" s="1003" customFormat="1" ht="22.5" x14ac:dyDescent="0.2">
      <c r="A11" s="2374" t="s">
        <v>481</v>
      </c>
      <c r="B11" s="2375"/>
      <c r="C11" s="2376"/>
      <c r="D11" s="1004" t="s">
        <v>871</v>
      </c>
      <c r="E11" s="1004" t="s">
        <v>64</v>
      </c>
      <c r="F11" s="1004" t="s">
        <v>6</v>
      </c>
      <c r="G11" s="1005" t="s">
        <v>156</v>
      </c>
      <c r="H11" s="1005" t="s">
        <v>64</v>
      </c>
      <c r="I11" s="1004" t="s">
        <v>6</v>
      </c>
      <c r="J11" s="1005" t="s">
        <v>156</v>
      </c>
    </row>
    <row r="12" spans="1:17" ht="15" customHeight="1" x14ac:dyDescent="0.2">
      <c r="A12" s="1006">
        <v>1</v>
      </c>
      <c r="B12" s="1007" t="s">
        <v>818</v>
      </c>
      <c r="C12" s="1008"/>
      <c r="D12" s="1009">
        <v>2320</v>
      </c>
      <c r="E12" s="1781">
        <f ca="1">'Expenditures 15-22'!K50</f>
        <v>292362</v>
      </c>
      <c r="F12" s="1010"/>
      <c r="G12" s="1781">
        <f t="shared" ref="G12:G18" ca="1" si="0">SUM(E12:F12)</f>
        <v>292362</v>
      </c>
      <c r="H12" s="1011">
        <v>299479</v>
      </c>
      <c r="I12" s="1010"/>
      <c r="J12" s="1781">
        <f t="shared" ref="J12:J18" si="1">SUM(H12:I12)</f>
        <v>299479</v>
      </c>
    </row>
    <row r="13" spans="1:17" ht="15" customHeight="1" x14ac:dyDescent="0.2">
      <c r="A13" s="1006">
        <v>2</v>
      </c>
      <c r="B13" s="1007" t="s">
        <v>42</v>
      </c>
      <c r="C13" s="1008"/>
      <c r="D13" s="1009">
        <v>2330</v>
      </c>
      <c r="E13" s="1781">
        <f ca="1">'Expenditures 15-22'!K51</f>
        <v>0</v>
      </c>
      <c r="F13" s="1010"/>
      <c r="G13" s="1781">
        <f t="shared" ca="1" si="0"/>
        <v>0</v>
      </c>
      <c r="H13" s="1011"/>
      <c r="I13" s="1010"/>
      <c r="J13" s="1781">
        <f t="shared" si="1"/>
        <v>0</v>
      </c>
    </row>
    <row r="14" spans="1:17" ht="15" customHeight="1" x14ac:dyDescent="0.2">
      <c r="A14" s="1006">
        <v>3</v>
      </c>
      <c r="B14" s="1007" t="s">
        <v>43</v>
      </c>
      <c r="C14" s="1008"/>
      <c r="D14" s="1012">
        <v>2490</v>
      </c>
      <c r="E14" s="1781">
        <f ca="1">'Expenditures 15-22'!K56</f>
        <v>0</v>
      </c>
      <c r="F14" s="1010"/>
      <c r="G14" s="1781">
        <f t="shared" ca="1" si="0"/>
        <v>0</v>
      </c>
      <c r="H14" s="1011"/>
      <c r="I14" s="1010"/>
      <c r="J14" s="1781">
        <f t="shared" si="1"/>
        <v>0</v>
      </c>
    </row>
    <row r="15" spans="1:17" ht="15" customHeight="1" x14ac:dyDescent="0.2">
      <c r="A15" s="1006">
        <v>4</v>
      </c>
      <c r="B15" s="1007" t="s">
        <v>1068</v>
      </c>
      <c r="C15" s="1008"/>
      <c r="D15" s="1009">
        <v>2510</v>
      </c>
      <c r="E15" s="1781">
        <f ca="1">'Expenditures 15-22'!K59</f>
        <v>0</v>
      </c>
      <c r="F15" s="1781">
        <f ca="1">'Expenditures 15-22'!K122</f>
        <v>0</v>
      </c>
      <c r="G15" s="1781">
        <f t="shared" ca="1" si="0"/>
        <v>0</v>
      </c>
      <c r="H15" s="1011"/>
      <c r="I15" s="1011"/>
      <c r="J15" s="1781">
        <f t="shared" si="1"/>
        <v>0</v>
      </c>
    </row>
    <row r="16" spans="1:17" ht="15" customHeight="1" x14ac:dyDescent="0.2">
      <c r="A16" s="1006">
        <v>5</v>
      </c>
      <c r="B16" s="1007" t="s">
        <v>101</v>
      </c>
      <c r="C16" s="1008"/>
      <c r="D16" s="1009">
        <v>2570</v>
      </c>
      <c r="E16" s="1781">
        <f ca="1">'Expenditures 15-22'!K64</f>
        <v>26587</v>
      </c>
      <c r="F16" s="1010"/>
      <c r="G16" s="1781">
        <f t="shared" ca="1" si="0"/>
        <v>26587</v>
      </c>
      <c r="H16" s="1011">
        <v>21500</v>
      </c>
      <c r="I16" s="1010"/>
      <c r="J16" s="1781">
        <f t="shared" si="1"/>
        <v>21500</v>
      </c>
    </row>
    <row r="17" spans="1:10" ht="15" customHeight="1" x14ac:dyDescent="0.2">
      <c r="A17" s="1006">
        <v>6</v>
      </c>
      <c r="B17" s="1007" t="s">
        <v>1060</v>
      </c>
      <c r="C17" s="1008"/>
      <c r="D17" s="1009">
        <v>2610</v>
      </c>
      <c r="E17" s="1781">
        <f ca="1">'Expenditures 15-22'!K67</f>
        <v>0</v>
      </c>
      <c r="F17" s="1010"/>
      <c r="G17" s="1781">
        <f t="shared" ca="1" si="0"/>
        <v>0</v>
      </c>
      <c r="H17" s="1011"/>
      <c r="I17" s="1010"/>
      <c r="J17" s="1781">
        <f t="shared" si="1"/>
        <v>0</v>
      </c>
    </row>
    <row r="18" spans="1:10" ht="22.5" customHeight="1" x14ac:dyDescent="0.2">
      <c r="A18" s="1013">
        <v>7</v>
      </c>
      <c r="B18" s="2377" t="s">
        <v>7</v>
      </c>
      <c r="C18" s="2378"/>
      <c r="D18" s="2379"/>
      <c r="E18" s="1014"/>
      <c r="F18" s="1014"/>
      <c r="G18" s="1782">
        <f t="shared" si="0"/>
        <v>0</v>
      </c>
      <c r="H18" s="1011"/>
      <c r="I18" s="1011"/>
      <c r="J18" s="1781">
        <f t="shared" si="1"/>
        <v>0</v>
      </c>
    </row>
    <row r="19" spans="1:10" ht="12.75" customHeight="1" thickBot="1" x14ac:dyDescent="0.25">
      <c r="A19" s="1006">
        <v>8</v>
      </c>
      <c r="B19" s="1015" t="s">
        <v>1161</v>
      </c>
      <c r="D19" s="1016"/>
      <c r="E19" s="1783">
        <f t="shared" ref="E19:J19" ca="1" si="2">SUM(E12:E17)-E18</f>
        <v>318949</v>
      </c>
      <c r="F19" s="1783">
        <f t="shared" ca="1" si="2"/>
        <v>0</v>
      </c>
      <c r="G19" s="1783">
        <f t="shared" ca="1" si="2"/>
        <v>318949</v>
      </c>
      <c r="H19" s="1783">
        <f t="shared" si="2"/>
        <v>320979</v>
      </c>
      <c r="I19" s="1783">
        <f t="shared" si="2"/>
        <v>0</v>
      </c>
      <c r="J19" s="1783">
        <f t="shared" si="2"/>
        <v>320979</v>
      </c>
    </row>
    <row r="20" spans="1:10" ht="13.5" thickTop="1" x14ac:dyDescent="0.2">
      <c r="A20" s="1006">
        <v>9</v>
      </c>
      <c r="B20" s="2380" t="s">
        <v>1978</v>
      </c>
      <c r="C20" s="2380"/>
      <c r="D20" s="2381"/>
      <c r="E20" s="1017"/>
      <c r="F20" s="1017"/>
      <c r="G20" s="1017"/>
      <c r="H20" s="1017"/>
      <c r="I20" s="1017"/>
      <c r="J20" s="1784">
        <f ca="1">IF(AND(G19&gt;0,J19&gt;0),(((J19-G19)/G19)),"Enter Budget Data")</f>
        <v>6.364653910186268E-3</v>
      </c>
    </row>
    <row r="21" spans="1:10" ht="9" customHeight="1" x14ac:dyDescent="0.2">
      <c r="B21" s="1018"/>
    </row>
    <row r="22" spans="1:10" x14ac:dyDescent="0.2">
      <c r="A22" s="1019" t="s">
        <v>133</v>
      </c>
      <c r="B22" s="1018"/>
    </row>
    <row r="23" spans="1:10" x14ac:dyDescent="0.2">
      <c r="A23" s="982" t="s">
        <v>1979</v>
      </c>
      <c r="B23" s="1018"/>
    </row>
    <row r="24" spans="1:10" x14ac:dyDescent="0.2">
      <c r="A24" s="982" t="s">
        <v>1992</v>
      </c>
      <c r="B24" s="1018"/>
    </row>
    <row r="25" spans="1:10" x14ac:dyDescent="0.2">
      <c r="A25" s="1020"/>
      <c r="B25" s="1018"/>
    </row>
    <row r="26" spans="1:10" ht="20.100000000000001" customHeight="1" x14ac:dyDescent="0.2">
      <c r="B26" s="1018"/>
      <c r="C26" s="2386"/>
      <c r="D26" s="2386"/>
      <c r="E26" s="1021"/>
      <c r="F26" s="2385"/>
      <c r="G26" s="2385"/>
    </row>
    <row r="27" spans="1:10" x14ac:dyDescent="0.2">
      <c r="B27" s="1018"/>
      <c r="C27" s="1022" t="s">
        <v>1033</v>
      </c>
      <c r="D27" s="1023"/>
      <c r="E27" s="1024"/>
      <c r="F27" s="2382" t="s">
        <v>1509</v>
      </c>
      <c r="G27" s="2382"/>
    </row>
    <row r="28" spans="1:10" ht="28.5" customHeight="1" x14ac:dyDescent="0.2">
      <c r="B28" s="1018"/>
      <c r="C28" s="2384"/>
      <c r="D28" s="2384"/>
      <c r="E28" s="1025"/>
      <c r="F28" s="2384"/>
      <c r="G28" s="2384"/>
    </row>
    <row r="29" spans="1:10" x14ac:dyDescent="0.2">
      <c r="B29" s="1018"/>
      <c r="C29" s="1026" t="s">
        <v>1561</v>
      </c>
      <c r="E29" s="1027"/>
      <c r="F29" s="2383" t="s">
        <v>1510</v>
      </c>
      <c r="G29" s="2383"/>
    </row>
    <row r="30" spans="1:10" ht="9" customHeight="1" x14ac:dyDescent="0.2">
      <c r="B30" s="1018"/>
      <c r="C30" s="1028"/>
      <c r="E30" s="1029"/>
      <c r="F30" s="1030"/>
      <c r="G30" s="1030"/>
    </row>
    <row r="31" spans="1:10" ht="15" customHeight="1" x14ac:dyDescent="0.2">
      <c r="A31" s="982"/>
      <c r="B31" s="1031" t="s">
        <v>1034</v>
      </c>
    </row>
    <row r="32" spans="1:10" ht="9" customHeight="1" x14ac:dyDescent="0.2">
      <c r="A32" s="982"/>
      <c r="B32" s="1019"/>
    </row>
    <row r="33" spans="1:10" ht="12.75" customHeight="1" x14ac:dyDescent="0.2">
      <c r="A33" s="982"/>
      <c r="B33" s="1032"/>
      <c r="C33" s="2365" t="s">
        <v>132</v>
      </c>
      <c r="D33" s="2366"/>
      <c r="E33" s="2366"/>
      <c r="F33" s="2366"/>
      <c r="G33" s="2366"/>
      <c r="H33" s="2366"/>
      <c r="I33" s="2366"/>
    </row>
    <row r="34" spans="1:10" ht="10.35" customHeight="1" x14ac:dyDescent="0.2">
      <c r="C34" s="2366"/>
      <c r="D34" s="2366"/>
      <c r="E34" s="2366"/>
      <c r="F34" s="2366"/>
      <c r="G34" s="2366"/>
      <c r="H34" s="2366"/>
      <c r="I34" s="2366"/>
    </row>
    <row r="35" spans="1:10" ht="7.5" customHeight="1" x14ac:dyDescent="0.2">
      <c r="C35" s="1033"/>
    </row>
    <row r="36" spans="1:10" ht="13.5" customHeight="1" x14ac:dyDescent="0.2">
      <c r="B36" s="1032"/>
      <c r="C36" s="2367" t="s">
        <v>1980</v>
      </c>
      <c r="D36" s="2366"/>
      <c r="E36" s="2366"/>
      <c r="F36" s="2366"/>
      <c r="G36" s="2366"/>
      <c r="H36" s="2366"/>
      <c r="I36" s="2366"/>
      <c r="J36" s="1034"/>
    </row>
    <row r="37" spans="1:10" ht="22.5" customHeight="1" x14ac:dyDescent="0.2">
      <c r="C37" s="2366"/>
      <c r="D37" s="2366"/>
      <c r="E37" s="2366"/>
      <c r="F37" s="2366"/>
      <c r="G37" s="2366"/>
      <c r="H37" s="2366"/>
      <c r="I37" s="2366"/>
      <c r="J37" s="1034"/>
    </row>
    <row r="38" spans="1:10" ht="7.5" customHeight="1" x14ac:dyDescent="0.2">
      <c r="C38" s="1033"/>
      <c r="D38" s="1035"/>
      <c r="E38" s="1036"/>
      <c r="F38" s="1037"/>
      <c r="G38" s="1036"/>
    </row>
    <row r="39" spans="1:10" ht="13.5" customHeight="1" x14ac:dyDescent="0.2">
      <c r="B39" s="1032"/>
      <c r="C39" s="2363" t="s">
        <v>882</v>
      </c>
      <c r="D39" s="2364"/>
      <c r="E39" s="2364"/>
      <c r="F39" s="2364"/>
      <c r="G39" s="2364"/>
      <c r="H39" s="2364"/>
      <c r="I39" s="2364"/>
    </row>
    <row r="40" spans="1:10" ht="13.35" customHeight="1" x14ac:dyDescent="0.2">
      <c r="A40" s="982"/>
      <c r="C40" s="1038"/>
      <c r="D40" s="1038"/>
      <c r="E40" s="1038"/>
      <c r="F40" s="1038"/>
      <c r="G40" s="1038"/>
      <c r="H40" s="1038"/>
      <c r="I40" s="1038"/>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F172" sqref="F17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937">
        <v>1</v>
      </c>
      <c r="B5" s="1936" t="s">
        <v>3828</v>
      </c>
    </row>
    <row r="6" spans="1:2" x14ac:dyDescent="0.2">
      <c r="A6" s="1937">
        <v>2</v>
      </c>
      <c r="B6" s="1936" t="s">
        <v>3829</v>
      </c>
    </row>
    <row r="7" spans="1:2" x14ac:dyDescent="0.2">
      <c r="A7" s="1937">
        <v>3</v>
      </c>
      <c r="B7" s="1936" t="s">
        <v>3830</v>
      </c>
    </row>
    <row r="8" spans="1:2" x14ac:dyDescent="0.2">
      <c r="A8" s="1937">
        <v>4</v>
      </c>
      <c r="B8" s="1936" t="s">
        <v>3831</v>
      </c>
    </row>
    <row r="9" spans="1:2" x14ac:dyDescent="0.2">
      <c r="A9" s="1937">
        <v>5</v>
      </c>
      <c r="B9" s="1936" t="s">
        <v>3832</v>
      </c>
    </row>
    <row r="10" spans="1:2" x14ac:dyDescent="0.2">
      <c r="A10" s="1937">
        <v>6</v>
      </c>
      <c r="B10" s="1936" t="s">
        <v>3833</v>
      </c>
    </row>
    <row r="11" spans="1:2" x14ac:dyDescent="0.2">
      <c r="A11" s="1937">
        <v>7</v>
      </c>
      <c r="B11" s="1936" t="s">
        <v>3836</v>
      </c>
    </row>
    <row r="12" spans="1:2" x14ac:dyDescent="0.2">
      <c r="A12" s="1937">
        <v>8</v>
      </c>
      <c r="B12" s="1936" t="s">
        <v>3837</v>
      </c>
    </row>
    <row r="13" spans="1:2" x14ac:dyDescent="0.2">
      <c r="A13" s="1937">
        <v>9</v>
      </c>
      <c r="B13" s="1936" t="s">
        <v>3838</v>
      </c>
    </row>
    <row r="14" spans="1:2" x14ac:dyDescent="0.2">
      <c r="A14" s="1938">
        <v>10</v>
      </c>
      <c r="B14" s="1936" t="s">
        <v>3834</v>
      </c>
    </row>
    <row r="15" spans="1:2" x14ac:dyDescent="0.2">
      <c r="A15" s="1938">
        <v>11</v>
      </c>
      <c r="B15" s="1936" t="s">
        <v>3835</v>
      </c>
    </row>
    <row r="16" spans="1:2" x14ac:dyDescent="0.2">
      <c r="A16" s="1938"/>
    </row>
    <row r="17" spans="1:1" x14ac:dyDescent="0.2">
      <c r="A17" s="1938"/>
    </row>
    <row r="18" spans="1:1" x14ac:dyDescent="0.2">
      <c r="A18" s="1938"/>
    </row>
    <row r="19" spans="1:1" x14ac:dyDescent="0.2">
      <c r="A19" s="1039"/>
    </row>
    <row r="20" spans="1:1" x14ac:dyDescent="0.2">
      <c r="A20" s="1039"/>
    </row>
    <row r="21" spans="1:1" x14ac:dyDescent="0.2">
      <c r="A21" s="1039"/>
    </row>
    <row r="22" spans="1:1" x14ac:dyDescent="0.2">
      <c r="A22" s="1039"/>
    </row>
    <row r="23" spans="1:1" x14ac:dyDescent="0.2">
      <c r="A23" s="1039"/>
    </row>
    <row r="24" spans="1:1" x14ac:dyDescent="0.2">
      <c r="A24" s="1039"/>
    </row>
    <row r="25" spans="1:1" x14ac:dyDescent="0.2">
      <c r="A25" s="1039"/>
    </row>
    <row r="26" spans="1:1" x14ac:dyDescent="0.2">
      <c r="A26" s="1039"/>
    </row>
    <row r="27" spans="1:1" x14ac:dyDescent="0.2">
      <c r="A27" s="1039"/>
    </row>
    <row r="28" spans="1:1" x14ac:dyDescent="0.2">
      <c r="A28" s="1039"/>
    </row>
    <row r="29" spans="1:1" x14ac:dyDescent="0.2">
      <c r="A29" s="1039"/>
    </row>
    <row r="30" spans="1:1" x14ac:dyDescent="0.2">
      <c r="A30" s="1039"/>
    </row>
    <row r="31" spans="1:1" x14ac:dyDescent="0.2">
      <c r="A31" s="1039"/>
    </row>
    <row r="32" spans="1:1" x14ac:dyDescent="0.2">
      <c r="A32" s="1039"/>
    </row>
    <row r="33" spans="1:1" x14ac:dyDescent="0.2">
      <c r="A33" s="1039"/>
    </row>
    <row r="34" spans="1:1" x14ac:dyDescent="0.2">
      <c r="A34" s="1039"/>
    </row>
    <row r="35" spans="1:1" x14ac:dyDescent="0.2">
      <c r="A35" s="1039"/>
    </row>
    <row r="36" spans="1:1" x14ac:dyDescent="0.2">
      <c r="A36" s="1039"/>
    </row>
    <row r="37" spans="1:1" x14ac:dyDescent="0.2">
      <c r="A37" s="1039"/>
    </row>
    <row r="38" spans="1:1" x14ac:dyDescent="0.2">
      <c r="A38" s="1039"/>
    </row>
    <row r="39" spans="1:1" x14ac:dyDescent="0.2">
      <c r="A39" s="1039"/>
    </row>
    <row r="40" spans="1:1" x14ac:dyDescent="0.2">
      <c r="A40" s="1039"/>
    </row>
    <row r="41" spans="1:1" x14ac:dyDescent="0.2">
      <c r="A41" s="1039"/>
    </row>
    <row r="42" spans="1:1" x14ac:dyDescent="0.2">
      <c r="A42" s="1039"/>
    </row>
    <row r="43" spans="1:1" x14ac:dyDescent="0.2">
      <c r="A43" s="1039"/>
    </row>
    <row r="44" spans="1:1" x14ac:dyDescent="0.2">
      <c r="A44" s="1039"/>
    </row>
    <row r="45" spans="1:1" x14ac:dyDescent="0.2">
      <c r="A45" s="1039"/>
    </row>
    <row r="46" spans="1:1" x14ac:dyDescent="0.2">
      <c r="A46" s="1039"/>
    </row>
    <row r="47" spans="1:1" x14ac:dyDescent="0.2">
      <c r="A47" s="1039"/>
    </row>
    <row r="48" spans="1:1" x14ac:dyDescent="0.2">
      <c r="A48" s="1039"/>
    </row>
    <row r="49" spans="1:2" x14ac:dyDescent="0.2">
      <c r="A49" s="1039"/>
    </row>
    <row r="50" spans="1:2" x14ac:dyDescent="0.2">
      <c r="A50" s="1039"/>
    </row>
    <row r="51" spans="1:2" x14ac:dyDescent="0.2">
      <c r="A51" s="1039"/>
    </row>
    <row r="52" spans="1:2" x14ac:dyDescent="0.2">
      <c r="A52" s="1039"/>
    </row>
    <row r="53" spans="1:2" x14ac:dyDescent="0.2">
      <c r="A53" s="1039"/>
    </row>
    <row r="54" spans="1:2" x14ac:dyDescent="0.2">
      <c r="A54" s="1039"/>
    </row>
    <row r="55" spans="1:2" x14ac:dyDescent="0.2">
      <c r="A55" s="1039"/>
    </row>
    <row r="56" spans="1:2" x14ac:dyDescent="0.2">
      <c r="A56" s="1039"/>
    </row>
    <row r="57" spans="1:2" x14ac:dyDescent="0.2">
      <c r="A57" s="1039"/>
    </row>
    <row r="58" spans="1:2" x14ac:dyDescent="0.2">
      <c r="A58" s="1039"/>
    </row>
    <row r="59" spans="1:2" x14ac:dyDescent="0.2">
      <c r="A59" s="1039"/>
    </row>
    <row r="60" spans="1:2" x14ac:dyDescent="0.2">
      <c r="A60" s="1039"/>
    </row>
    <row r="61" spans="1:2" x14ac:dyDescent="0.2">
      <c r="A61" s="1039"/>
    </row>
    <row r="62" spans="1:2" x14ac:dyDescent="0.2">
      <c r="A62" s="1039"/>
    </row>
    <row r="63" spans="1:2" x14ac:dyDescent="0.2">
      <c r="A63" s="1039"/>
    </row>
    <row r="64" spans="1:2" x14ac:dyDescent="0.2">
      <c r="A64" s="1039"/>
      <c r="B64" s="258" t="str">
        <f>COVER!A17</f>
        <v>Ottawa ESD 141</v>
      </c>
    </row>
    <row r="65" spans="2:2" x14ac:dyDescent="0.2">
      <c r="B65" s="1040">
        <f>COVER!A13</f>
        <v>35050141002</v>
      </c>
    </row>
  </sheetData>
  <phoneticPr fontId="20"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172" sqref="F17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6" t="s">
        <v>1611</v>
      </c>
    </row>
    <row r="23" spans="1:5" x14ac:dyDescent="0.2">
      <c r="A23" s="168"/>
      <c r="B23" s="162" t="s">
        <v>1854</v>
      </c>
      <c r="D23" s="167" t="s">
        <v>637</v>
      </c>
      <c r="E23" s="180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04" t="s">
        <v>1065</v>
      </c>
      <c r="B35" s="2104"/>
      <c r="C35" s="2104"/>
      <c r="D35" s="2104"/>
      <c r="E35" s="210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1" t="s">
        <v>691</v>
      </c>
      <c r="B40" s="2101"/>
      <c r="C40" s="2101"/>
      <c r="D40" s="2101"/>
      <c r="E40" s="2101"/>
    </row>
    <row r="41" spans="1:5" x14ac:dyDescent="0.2">
      <c r="A41" s="2102" t="s">
        <v>1608</v>
      </c>
      <c r="B41" s="2102"/>
      <c r="C41" s="2102"/>
      <c r="D41" s="2102"/>
      <c r="E41" s="2102"/>
    </row>
    <row r="42" spans="1:5" ht="12.75" customHeight="1" x14ac:dyDescent="0.2">
      <c r="A42" s="2103" t="s">
        <v>1022</v>
      </c>
      <c r="B42" s="2103"/>
      <c r="C42" s="2103"/>
      <c r="D42" s="2103"/>
      <c r="E42" s="2103"/>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5" t="s">
        <v>1773</v>
      </c>
    </row>
    <row r="60" spans="1:3" x14ac:dyDescent="0.2">
      <c r="A60" s="196"/>
      <c r="B60" s="145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5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25" colorId="8" zoomScale="110" zoomScaleNormal="110" workbookViewId="0">
      <selection activeCell="E56" sqref="E5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20"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9" sqref="E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1"/>
      <c r="C11" s="1041"/>
      <c r="D11" s="1041"/>
      <c r="E11" s="1041"/>
      <c r="F11" s="1041"/>
    </row>
    <row r="13" spans="1:6" x14ac:dyDescent="0.2">
      <c r="A13" s="1042" t="s">
        <v>1493</v>
      </c>
    </row>
    <row r="15" spans="1:6" x14ac:dyDescent="0.2">
      <c r="A15" s="389" t="s">
        <v>857</v>
      </c>
    </row>
    <row r="16" spans="1:6" s="1041" customFormat="1" ht="45" customHeight="1" x14ac:dyDescent="0.2">
      <c r="A16" s="1043"/>
      <c r="B16" s="1043" t="s">
        <v>1684</v>
      </c>
    </row>
    <row r="17" spans="1:2" ht="6" customHeight="1" x14ac:dyDescent="0.2"/>
    <row r="18" spans="1:2" ht="24.75" customHeight="1" x14ac:dyDescent="0.2">
      <c r="A18" s="2387" t="s">
        <v>1685</v>
      </c>
      <c r="B18" s="2387"/>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1400175</xdr:colOff>
                <xdr:row>3</xdr:row>
                <xdr:rowOff>47625</xdr:rowOff>
              </from>
              <to>
                <xdr:col>1</xdr:col>
                <xdr:colOff>2314575</xdr:colOff>
                <xdr:row>7</xdr:row>
                <xdr:rowOff>85725</xdr:rowOff>
              </to>
            </anchor>
          </objectPr>
        </oleObject>
      </mc:Choice>
      <mc:Fallback>
        <oleObject progId="Acrobat Document" dvAspect="DVASPECT_ICON" shapeId="2969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0">
    <tabColor indexed="39"/>
  </sheetPr>
  <dimension ref="A1:L82"/>
  <sheetViews>
    <sheetView showGridLines="0" defaultGridColor="0" topLeftCell="A8" colorId="8" zoomScale="110" zoomScaleNormal="110" workbookViewId="0">
      <selection activeCell="D12" sqref="D12"/>
    </sheetView>
  </sheetViews>
  <sheetFormatPr defaultColWidth="9.140625" defaultRowHeight="12" x14ac:dyDescent="0.2"/>
  <cols>
    <col min="1" max="1" width="2.7109375" style="1103" customWidth="1"/>
    <col min="2" max="2" width="3.140625" style="1103" customWidth="1"/>
    <col min="3" max="3" width="96.140625" style="1043" customWidth="1"/>
    <col min="4" max="4" width="42.140625" style="242" customWidth="1"/>
    <col min="5" max="5" width="2.7109375" style="1062" customWidth="1"/>
    <col min="6" max="6" width="1" style="1062" customWidth="1"/>
    <col min="7" max="16384" width="9.140625" style="1062"/>
  </cols>
  <sheetData>
    <row r="1" spans="1:4" ht="4.5" customHeight="1" thickBot="1" x14ac:dyDescent="0.25">
      <c r="A1" s="1058"/>
      <c r="B1" s="1059"/>
      <c r="C1" s="1060"/>
      <c r="D1" s="1061"/>
    </row>
    <row r="2" spans="1:4" ht="7.5" customHeight="1" thickTop="1" x14ac:dyDescent="0.2">
      <c r="A2" s="1863"/>
      <c r="B2" s="1864"/>
      <c r="C2" s="1865"/>
      <c r="D2" s="1866"/>
    </row>
    <row r="3" spans="1:4" ht="36" customHeight="1" x14ac:dyDescent="0.2">
      <c r="A3" s="2388" t="s">
        <v>665</v>
      </c>
      <c r="B3" s="2389"/>
      <c r="C3" s="2389"/>
      <c r="D3" s="2390"/>
    </row>
    <row r="4" spans="1:4" x14ac:dyDescent="0.2">
      <c r="A4" s="1122" t="s">
        <v>1692</v>
      </c>
      <c r="B4" s="1123"/>
      <c r="C4" s="1124"/>
      <c r="D4" s="1125"/>
    </row>
    <row r="5" spans="1:4" ht="21" customHeight="1" x14ac:dyDescent="0.2">
      <c r="A5" s="1118"/>
      <c r="B5" s="1119">
        <v>1</v>
      </c>
      <c r="C5" s="1120" t="s">
        <v>1832</v>
      </c>
      <c r="D5" s="1121"/>
    </row>
    <row r="6" spans="1:4" s="641" customFormat="1" ht="14.25" customHeight="1" x14ac:dyDescent="0.2">
      <c r="A6" s="1108"/>
      <c r="B6" s="1063">
        <f t="shared" ref="B6:B13" si="0">B5+1</f>
        <v>2</v>
      </c>
      <c r="C6" s="1064" t="s">
        <v>864</v>
      </c>
      <c r="D6" s="1065"/>
    </row>
    <row r="7" spans="1:4" s="641" customFormat="1" ht="12.75" x14ac:dyDescent="0.2">
      <c r="A7" s="1108"/>
      <c r="B7" s="1063">
        <f t="shared" si="0"/>
        <v>3</v>
      </c>
      <c r="C7" s="2399" t="s">
        <v>1504</v>
      </c>
      <c r="D7" s="2400"/>
    </row>
    <row r="8" spans="1:4" s="641" customFormat="1" ht="12.75" x14ac:dyDescent="0.2">
      <c r="A8" s="1108"/>
      <c r="B8" s="1063"/>
      <c r="C8" s="1066" t="s">
        <v>1503</v>
      </c>
      <c r="D8" s="1067"/>
    </row>
    <row r="9" spans="1:4" s="641" customFormat="1" ht="14.25" customHeight="1" x14ac:dyDescent="0.2">
      <c r="A9" s="1108"/>
      <c r="B9" s="1063">
        <f>B7+1</f>
        <v>4</v>
      </c>
      <c r="C9" s="1064" t="s">
        <v>1910</v>
      </c>
      <c r="D9" s="1065"/>
    </row>
    <row r="10" spans="1:4" s="641" customFormat="1" ht="14.25" customHeight="1" x14ac:dyDescent="0.2">
      <c r="A10" s="1108"/>
      <c r="B10" s="1063">
        <f t="shared" si="0"/>
        <v>5</v>
      </c>
      <c r="C10" s="1064" t="s">
        <v>639</v>
      </c>
      <c r="D10" s="1065"/>
    </row>
    <row r="11" spans="1:4" s="641" customFormat="1" ht="14.25" customHeight="1" x14ac:dyDescent="0.2">
      <c r="A11" s="1108"/>
      <c r="B11" s="1063">
        <f t="shared" si="0"/>
        <v>6</v>
      </c>
      <c r="C11" s="1064" t="s">
        <v>778</v>
      </c>
      <c r="D11" s="1065"/>
    </row>
    <row r="12" spans="1:4" s="641" customFormat="1" ht="14.25" customHeight="1" x14ac:dyDescent="0.2">
      <c r="A12" s="1108"/>
      <c r="B12" s="1063">
        <f t="shared" si="0"/>
        <v>7</v>
      </c>
      <c r="C12" s="1064" t="s">
        <v>1062</v>
      </c>
      <c r="D12" s="1065"/>
    </row>
    <row r="13" spans="1:4" s="641" customFormat="1" ht="14.25" customHeight="1" x14ac:dyDescent="0.2">
      <c r="A13" s="1108"/>
      <c r="B13" s="1063">
        <f t="shared" si="0"/>
        <v>8</v>
      </c>
      <c r="C13" s="1104" t="s">
        <v>779</v>
      </c>
      <c r="D13" s="1065"/>
    </row>
    <row r="14" spans="1:4" s="641" customFormat="1" ht="14.25" customHeight="1" x14ac:dyDescent="0.2">
      <c r="A14" s="1108"/>
      <c r="B14" s="1105">
        <v>9</v>
      </c>
      <c r="C14" s="1106" t="s">
        <v>1505</v>
      </c>
      <c r="D14" s="1107"/>
    </row>
    <row r="15" spans="1:4" s="641" customFormat="1" ht="21.75" customHeight="1" x14ac:dyDescent="0.2">
      <c r="A15" s="2391" t="s">
        <v>1008</v>
      </c>
      <c r="B15" s="2392"/>
      <c r="C15" s="2392"/>
      <c r="D15" s="2393"/>
    </row>
    <row r="16" spans="1:4" s="641" customFormat="1" ht="24" customHeight="1" x14ac:dyDescent="0.2">
      <c r="A16" s="2394" t="s">
        <v>663</v>
      </c>
      <c r="B16" s="2395"/>
      <c r="C16" s="2395"/>
      <c r="D16" s="2396"/>
    </row>
    <row r="17" spans="1:10" s="641" customFormat="1" ht="12.75" customHeight="1" x14ac:dyDescent="0.2">
      <c r="A17" s="1126" t="s">
        <v>1693</v>
      </c>
      <c r="B17" s="1127"/>
      <c r="C17" s="1128"/>
      <c r="D17" s="1129"/>
    </row>
    <row r="18" spans="1:10" s="641" customFormat="1" ht="12.75" customHeight="1" x14ac:dyDescent="0.2">
      <c r="A18" s="1130" t="s">
        <v>1694</v>
      </c>
      <c r="B18" s="1131"/>
      <c r="C18" s="1132"/>
      <c r="D18" s="1133"/>
    </row>
    <row r="19" spans="1:10" ht="6.75" customHeight="1" thickBot="1" x14ac:dyDescent="0.25">
      <c r="A19" s="1134"/>
      <c r="B19" s="1135"/>
      <c r="C19" s="1136"/>
      <c r="D19" s="1137"/>
    </row>
    <row r="20" spans="1:10" s="1141" customFormat="1" ht="12.75" thickTop="1" x14ac:dyDescent="0.2">
      <c r="A20" s="1138"/>
      <c r="B20" s="1139" t="s">
        <v>1695</v>
      </c>
      <c r="C20" s="1140"/>
      <c r="D20" s="1143" t="s">
        <v>710</v>
      </c>
    </row>
    <row r="21" spans="1:10" x14ac:dyDescent="0.2">
      <c r="A21" s="1068"/>
      <c r="B21" s="1069">
        <v>1</v>
      </c>
      <c r="C21" s="2403" t="s">
        <v>314</v>
      </c>
      <c r="D21" s="2404"/>
    </row>
    <row r="22" spans="1:10" ht="12.75" x14ac:dyDescent="0.2">
      <c r="A22" s="1109"/>
      <c r="B22" s="1110">
        <v>2</v>
      </c>
      <c r="C22" s="2401" t="s">
        <v>1524</v>
      </c>
      <c r="D22" s="2402"/>
    </row>
    <row r="23" spans="1:10" ht="12.2" customHeight="1" x14ac:dyDescent="0.2">
      <c r="A23" s="1109"/>
      <c r="B23" s="1110"/>
      <c r="C23" s="1111" t="s">
        <v>954</v>
      </c>
      <c r="D23" s="1112" t="str">
        <f>IF(COVER!O11="X","CASH",IF(COVER!O12="X","ACCRUAL ","PLEASE CHECK AN ACCOUNTING BASIS."))</f>
        <v>CASH</v>
      </c>
    </row>
    <row r="24" spans="1:10" ht="12.2" customHeight="1" x14ac:dyDescent="0.2">
      <c r="A24" s="1109"/>
      <c r="B24" s="1110"/>
      <c r="C24" s="1111" t="s">
        <v>1332</v>
      </c>
      <c r="D24" s="1112" t="str">
        <f>IF(COVER!O11="X","OK",IF(AND('Aud Quest 2'!J90=0,'Aud Quest 2'!I77&lt;DATE(2017,12,31)),"ENTER ACCOUNTING INFO",IF(AND('Aud Quest 2'!J90&gt;0,'Aud Quest 2'!I77&lt;DATE(2017,12,31)),"OK")))</f>
        <v>OK</v>
      </c>
    </row>
    <row r="25" spans="1:10" x14ac:dyDescent="0.2">
      <c r="A25" s="1070"/>
      <c r="B25" s="1071"/>
      <c r="C25" s="1072" t="s">
        <v>1526</v>
      </c>
      <c r="D25" s="1073" t="str">
        <f>IF(AND(COVER!J29="X",COVER!J30="X",COVER!L30&lt;&gt;"X"),"OK",IF(AND(COVER!J29="X",COVER!J30&lt;&gt;"X",COVER!L30="X"),"OK",IF(AND(COVER!L29="X",COVER!J30&lt;&gt;"X"),"OK","PLEASE CHECK YES or NO.")))</f>
        <v>OK</v>
      </c>
    </row>
    <row r="26" spans="1:10" x14ac:dyDescent="0.2">
      <c r="A26" s="1070"/>
      <c r="B26" s="1113"/>
      <c r="C26" s="1074" t="s">
        <v>1525</v>
      </c>
      <c r="D26" s="1075" t="str">
        <f>IF(AND(COVER!J29="X",COVER!J30="X",COVER!L29&lt;&gt;"X"),"OK",IF(AND(COVER!J29="X",COVER!J30&lt;&gt;"X",COVER!L30="X"),"SENDING AN A-133 SEPERATELY!",IF(AND(COVER!L29="X",COVER!J30&lt;&gt;"X"),"OK","PLEASE CHECK YES or NO.")))</f>
        <v>OK</v>
      </c>
    </row>
    <row r="27" spans="1:10" ht="12" hidden="1" customHeight="1" x14ac:dyDescent="0.2">
      <c r="A27" s="1076"/>
      <c r="B27" s="1113"/>
      <c r="C27" s="1072" t="s">
        <v>975</v>
      </c>
      <c r="D27" s="1075" t="str">
        <f>IF(AND(COVER!J29="X",COVER!J31="X",COVER!L29&lt;&gt;"X"),"OK",IF(AND(COVER!J29="X",COVER!J31&lt;&gt;"X",COVER!L31="X"),"NO FINDINGS WERE ISSUED",IF(AND(COVER!L29="X",COVER!J31&lt;&gt;"X"),"OK","PLEASE CHECK YES or NO.")))</f>
        <v>OK</v>
      </c>
    </row>
    <row r="28" spans="1:10" ht="24" hidden="1" customHeight="1" x14ac:dyDescent="0.2">
      <c r="A28" s="1076"/>
      <c r="B28" s="1113"/>
      <c r="C28" s="1072" t="s">
        <v>842</v>
      </c>
      <c r="D28" s="1077" t="b">
        <f>IF('Aud Quest 2'!B53="X",IF('Aud Quest 2'!F53&gt;"00/00/00 ","Enter Effective Date","ok"))</f>
        <v>0</v>
      </c>
    </row>
    <row r="29" spans="1:10" x14ac:dyDescent="0.2">
      <c r="A29" s="1070"/>
      <c r="B29" s="1113"/>
      <c r="C29" s="1074" t="s">
        <v>1373</v>
      </c>
      <c r="D29" s="1075"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68"/>
      <c r="B30" s="1110">
        <f>B22+1</f>
        <v>3</v>
      </c>
      <c r="C30" s="1078" t="s">
        <v>825</v>
      </c>
      <c r="D30" s="1079"/>
    </row>
    <row r="31" spans="1:10" x14ac:dyDescent="0.2">
      <c r="A31" s="1070"/>
      <c r="B31" s="1080"/>
      <c r="C31" s="1114" t="s">
        <v>253</v>
      </c>
      <c r="D31" s="1081" t="str">
        <f>IF(SUM('FP Info 3'!J10:L10)&lt;=0.0999999,"OK","CORRECT THE TAX RATES BY MOVING THE DECIMAL TWO PLACES TO THE LEFT.")</f>
        <v>OK</v>
      </c>
      <c r="E31" s="359"/>
      <c r="F31" s="359"/>
      <c r="G31" s="359"/>
      <c r="H31" s="359"/>
      <c r="I31" s="359"/>
      <c r="J31" s="359"/>
    </row>
    <row r="32" spans="1:10" x14ac:dyDescent="0.2">
      <c r="A32" s="1070"/>
      <c r="B32" s="1115"/>
      <c r="C32" s="1082" t="s">
        <v>978</v>
      </c>
      <c r="D32" s="1073" t="str">
        <f>IF(OR(COVER!B6="x",'FP Info 3'!B31="X",'FP Info 3'!B32="X"),"OK","ENTRY IS REQUIRED!")</f>
        <v>OK</v>
      </c>
    </row>
    <row r="33" spans="1:12" s="1086" customFormat="1" ht="12.75" customHeight="1" x14ac:dyDescent="0.2">
      <c r="A33" s="1083"/>
      <c r="B33" s="1110">
        <f>B30+1</f>
        <v>4</v>
      </c>
      <c r="C33" s="1084" t="s">
        <v>780</v>
      </c>
      <c r="D33" s="1085"/>
    </row>
    <row r="34" spans="1:12" s="1086" customFormat="1" x14ac:dyDescent="0.2">
      <c r="A34" s="1087"/>
      <c r="B34" s="1110"/>
      <c r="C34" s="1088" t="s">
        <v>826</v>
      </c>
      <c r="D34" s="1073" t="str">
        <f ca="1">IF('Assets-Liab 5-6'!C4&lt;-0.49, "ERROR!","OK")</f>
        <v>OK</v>
      </c>
    </row>
    <row r="35" spans="1:12" x14ac:dyDescent="0.2">
      <c r="A35" s="1087"/>
      <c r="B35" s="1110"/>
      <c r="C35" s="1088" t="s">
        <v>306</v>
      </c>
      <c r="D35" s="1073" t="str">
        <f ca="1">IF('Assets-Liab 5-6'!D4&lt;-0.49, "ERROR!","OK")</f>
        <v>OK</v>
      </c>
      <c r="L35" s="1142"/>
    </row>
    <row r="36" spans="1:12" x14ac:dyDescent="0.2">
      <c r="A36" s="1087"/>
      <c r="B36" s="1110"/>
      <c r="C36" s="1088" t="s">
        <v>781</v>
      </c>
      <c r="D36" s="1073" t="str">
        <f ca="1">IF('Assets-Liab 5-6'!E4&lt;-0.49, "ERROR!","OK")</f>
        <v>OK</v>
      </c>
    </row>
    <row r="37" spans="1:12" x14ac:dyDescent="0.2">
      <c r="A37" s="1087"/>
      <c r="B37" s="1110"/>
      <c r="C37" s="1088" t="s">
        <v>307</v>
      </c>
      <c r="D37" s="1073" t="str">
        <f ca="1">IF('Assets-Liab 5-6'!F4&lt;-0.49, "ERROR!","OK")</f>
        <v>OK</v>
      </c>
    </row>
    <row r="38" spans="1:12" x14ac:dyDescent="0.2">
      <c r="A38" s="1087"/>
      <c r="B38" s="1110"/>
      <c r="C38" s="1088" t="s">
        <v>308</v>
      </c>
      <c r="D38" s="1073" t="str">
        <f ca="1">IF('Assets-Liab 5-6'!G4&lt;-0.49, "ERROR!","OK")</f>
        <v>OK</v>
      </c>
    </row>
    <row r="39" spans="1:12" x14ac:dyDescent="0.2">
      <c r="A39" s="1087"/>
      <c r="B39" s="1110"/>
      <c r="C39" s="1088" t="s">
        <v>782</v>
      </c>
      <c r="D39" s="1073" t="str">
        <f ca="1">IF('Assets-Liab 5-6'!H4&lt;-0.49, "ERROR!","OK")</f>
        <v>OK</v>
      </c>
    </row>
    <row r="40" spans="1:12" x14ac:dyDescent="0.2">
      <c r="A40" s="1087"/>
      <c r="B40" s="1110"/>
      <c r="C40" s="1088" t="s">
        <v>309</v>
      </c>
      <c r="D40" s="1073" t="str">
        <f ca="1">IF('Assets-Liab 5-6'!I4&lt;-0.49, "ERROR!","OK")</f>
        <v>OK</v>
      </c>
    </row>
    <row r="41" spans="1:12" x14ac:dyDescent="0.2">
      <c r="A41" s="1087"/>
      <c r="B41" s="1110"/>
      <c r="C41" s="1088" t="s">
        <v>783</v>
      </c>
      <c r="D41" s="1073" t="str">
        <f ca="1">IF('Assets-Liab 5-6'!J4&lt;-0.49, "ERROR!","OK")</f>
        <v>OK</v>
      </c>
    </row>
    <row r="42" spans="1:12" x14ac:dyDescent="0.2">
      <c r="A42" s="1087"/>
      <c r="B42" s="1110"/>
      <c r="C42" s="1088" t="s">
        <v>310</v>
      </c>
      <c r="D42" s="1073" t="str">
        <f ca="1">IF('Assets-Liab 5-6'!K4&lt;-0.49, "ERROR!","OK")</f>
        <v>OK</v>
      </c>
    </row>
    <row r="43" spans="1:12" x14ac:dyDescent="0.2">
      <c r="A43" s="1089"/>
      <c r="B43" s="1090">
        <f>B33+1</f>
        <v>5</v>
      </c>
      <c r="C43" s="2405" t="s">
        <v>536</v>
      </c>
      <c r="D43" s="2406"/>
    </row>
    <row r="44" spans="1:12" x14ac:dyDescent="0.2">
      <c r="A44" s="1089"/>
      <c r="B44" s="1091"/>
      <c r="C44" s="1092" t="s">
        <v>1335</v>
      </c>
      <c r="D44" s="1093" t="str">
        <f ca="1">IF(SUM('Assets-Liab 5-6'!C13)&lt;&gt;SUM('Assets-Liab 5-6'!C41),"ERROR!","OK")</f>
        <v>OK</v>
      </c>
    </row>
    <row r="45" spans="1:12" x14ac:dyDescent="0.2">
      <c r="A45" s="1089"/>
      <c r="B45" s="1091"/>
      <c r="C45" s="1092" t="s">
        <v>1336</v>
      </c>
      <c r="D45" s="1093" t="str">
        <f ca="1">IF(SUM('Assets-Liab 5-6'!D13)&lt;&gt;SUM('Assets-Liab 5-6'!D41),"ERROR!","OK")</f>
        <v>OK</v>
      </c>
    </row>
    <row r="46" spans="1:12" x14ac:dyDescent="0.2">
      <c r="A46" s="1089"/>
      <c r="B46" s="1091"/>
      <c r="C46" s="1092" t="s">
        <v>1337</v>
      </c>
      <c r="D46" s="1093" t="str">
        <f ca="1">IF(SUM('Assets-Liab 5-6'!E13)&lt;&gt;SUM('Assets-Liab 5-6'!E41),"ERROR!","OK")</f>
        <v>OK</v>
      </c>
    </row>
    <row r="47" spans="1:12" x14ac:dyDescent="0.2">
      <c r="A47" s="1089"/>
      <c r="B47" s="1091"/>
      <c r="C47" s="1092" t="s">
        <v>1338</v>
      </c>
      <c r="D47" s="1093" t="str">
        <f ca="1">IF(SUM('Assets-Liab 5-6'!F13)&lt;&gt;SUM('Assets-Liab 5-6'!F41),"ERROR!","OK")</f>
        <v>OK</v>
      </c>
    </row>
    <row r="48" spans="1:12" x14ac:dyDescent="0.2">
      <c r="A48" s="1089"/>
      <c r="B48" s="1091"/>
      <c r="C48" s="1092" t="s">
        <v>1339</v>
      </c>
      <c r="D48" s="1093" t="str">
        <f ca="1">IF(SUM('Assets-Liab 5-6'!G13)&lt;&gt;SUM('Assets-Liab 5-6'!G41),"ERROR!","OK")</f>
        <v>OK</v>
      </c>
    </row>
    <row r="49" spans="1:4" x14ac:dyDescent="0.2">
      <c r="A49" s="1089"/>
      <c r="B49" s="1091"/>
      <c r="C49" s="1092" t="s">
        <v>1340</v>
      </c>
      <c r="D49" s="1093" t="str">
        <f ca="1">IF(SUM('Assets-Liab 5-6'!H13)&lt;&gt;SUM('Assets-Liab 5-6'!H41),"ERROR!","OK")</f>
        <v>OK</v>
      </c>
    </row>
    <row r="50" spans="1:4" x14ac:dyDescent="0.2">
      <c r="A50" s="1089"/>
      <c r="B50" s="1091"/>
      <c r="C50" s="1092" t="s">
        <v>1341</v>
      </c>
      <c r="D50" s="1093" t="str">
        <f ca="1">IF(SUM('Assets-Liab 5-6'!I13)&lt;&gt;SUM('Assets-Liab 5-6'!I41),"ERROR!","OK")</f>
        <v>OK</v>
      </c>
    </row>
    <row r="51" spans="1:4" x14ac:dyDescent="0.2">
      <c r="A51" s="1089"/>
      <c r="B51" s="1091"/>
      <c r="C51" s="1092" t="s">
        <v>1342</v>
      </c>
      <c r="D51" s="1093" t="str">
        <f ca="1">IF(SUM('Assets-Liab 5-6'!J13)&lt;&gt;SUM('Assets-Liab 5-6'!J41),"ERROR!","OK")</f>
        <v>OK</v>
      </c>
    </row>
    <row r="52" spans="1:4" x14ac:dyDescent="0.2">
      <c r="A52" s="1089"/>
      <c r="B52" s="1091"/>
      <c r="C52" s="1092" t="s">
        <v>1343</v>
      </c>
      <c r="D52" s="1093" t="str">
        <f ca="1">IF(SUM('Assets-Liab 5-6'!K13)&lt;&gt;SUM('Assets-Liab 5-6'!K41),"ERROR!","OK")</f>
        <v>OK</v>
      </c>
    </row>
    <row r="53" spans="1:4" x14ac:dyDescent="0.2">
      <c r="A53" s="1089"/>
      <c r="B53" s="1091"/>
      <c r="C53" s="1092" t="s">
        <v>1344</v>
      </c>
      <c r="D53" s="1093" t="str">
        <f>IF(SUM('Assets-Liab 5-6'!L13)&lt;&gt;('Assets-Liab 5-6'!L41),"ERROR!","OK")</f>
        <v>OK</v>
      </c>
    </row>
    <row r="54" spans="1:4" x14ac:dyDescent="0.2">
      <c r="A54" s="1089"/>
      <c r="B54" s="1091"/>
      <c r="C54" s="1092" t="s">
        <v>1345</v>
      </c>
      <c r="D54" s="1093" t="str">
        <f>IF(SUM('Assets-Liab 5-6'!M23)&lt;&gt;('Assets-Liab 5-6'!M41),"ERROR!","OK")</f>
        <v>OK</v>
      </c>
    </row>
    <row r="55" spans="1:4" x14ac:dyDescent="0.2">
      <c r="A55" s="1089"/>
      <c r="B55" s="1091"/>
      <c r="C55" s="1092" t="s">
        <v>1346</v>
      </c>
      <c r="D55" s="1093" t="str">
        <f ca="1">IF(SUM('Assets-Liab 5-6'!N23)&lt;&gt;('Assets-Liab 5-6'!N41),"ERROR!","OK")</f>
        <v>OK</v>
      </c>
    </row>
    <row r="56" spans="1:4" x14ac:dyDescent="0.2">
      <c r="A56" s="1070"/>
      <c r="B56" s="1090">
        <f>B43+1</f>
        <v>6</v>
      </c>
      <c r="C56" s="2397" t="s">
        <v>784</v>
      </c>
      <c r="D56" s="2398"/>
    </row>
    <row r="57" spans="1:4" s="1086" customFormat="1" x14ac:dyDescent="0.2">
      <c r="A57" s="1070"/>
      <c r="B57" s="1080"/>
      <c r="C57" s="1088" t="s">
        <v>1347</v>
      </c>
      <c r="D57" s="1094" t="str">
        <f ca="1">IF('Assets-Liab 5-6'!C38+'Assets-Liab 5-6'!C39='Acct Summary 7-8'!C81,"OK","ERROR!")</f>
        <v>OK</v>
      </c>
    </row>
    <row r="58" spans="1:4" x14ac:dyDescent="0.2">
      <c r="A58" s="1070"/>
      <c r="B58" s="1080"/>
      <c r="C58" s="1088" t="s">
        <v>1348</v>
      </c>
      <c r="D58" s="1094" t="str">
        <f ca="1">IF((('Assets-Liab 5-6'!D38+'Assets-Liab 5-6'!D39) ='Acct Summary 7-8'!D81), "OK", "ERROR!" )</f>
        <v>OK</v>
      </c>
    </row>
    <row r="59" spans="1:4" s="1086" customFormat="1" x14ac:dyDescent="0.2">
      <c r="A59" s="1070"/>
      <c r="B59" s="1080"/>
      <c r="C59" s="1088" t="s">
        <v>1349</v>
      </c>
      <c r="D59" s="1094" t="str">
        <f ca="1">IF((('Assets-Liab 5-6'!E38 + 'Assets-Liab 5-6'!E39) ='Acct Summary 7-8'!E81), "OK", "ERROR!" )</f>
        <v>OK</v>
      </c>
    </row>
    <row r="60" spans="1:4" x14ac:dyDescent="0.2">
      <c r="A60" s="1070"/>
      <c r="B60" s="1080"/>
      <c r="C60" s="1088" t="s">
        <v>1350</v>
      </c>
      <c r="D60" s="1094" t="str">
        <f ca="1">IF((('Assets-Liab 5-6'!F38 + 'Assets-Liab 5-6'!F39) ='Acct Summary 7-8'!F81), "OK", "ERROR!" )</f>
        <v>OK</v>
      </c>
    </row>
    <row r="61" spans="1:4" ht="12.75" customHeight="1" x14ac:dyDescent="0.2">
      <c r="A61" s="1070"/>
      <c r="B61" s="1080"/>
      <c r="C61" s="1088" t="s">
        <v>1363</v>
      </c>
      <c r="D61" s="1094" t="str">
        <f ca="1">IF((('Assets-Liab 5-6'!G38 + 'Assets-Liab 5-6'!G39) ='Acct Summary 7-8'!G81), "OK", "ERROR!" )</f>
        <v>OK</v>
      </c>
    </row>
    <row r="62" spans="1:4" x14ac:dyDescent="0.2">
      <c r="A62" s="1070"/>
      <c r="B62" s="1080"/>
      <c r="C62" s="1088" t="s">
        <v>1351</v>
      </c>
      <c r="D62" s="1094" t="str">
        <f ca="1">IF((('Assets-Liab 5-6'!H38 + 'Assets-Liab 5-6'!H39) ='Acct Summary 7-8'!H81), "OK", "ERROR!" )</f>
        <v>OK</v>
      </c>
    </row>
    <row r="63" spans="1:4" ht="12.75" customHeight="1" x14ac:dyDescent="0.2">
      <c r="A63" s="1070"/>
      <c r="B63" s="1080"/>
      <c r="C63" s="1088" t="s">
        <v>1352</v>
      </c>
      <c r="D63" s="1094" t="str">
        <f ca="1">IF((('Assets-Liab 5-6'!I38 + 'Assets-Liab 5-6'!I39) ='Acct Summary 7-8'!I81), "OK", "ERROR!" )</f>
        <v>OK</v>
      </c>
    </row>
    <row r="64" spans="1:4" x14ac:dyDescent="0.2">
      <c r="A64" s="1070"/>
      <c r="B64" s="1080"/>
      <c r="C64" s="1088" t="s">
        <v>1353</v>
      </c>
      <c r="D64" s="1094" t="str">
        <f ca="1">IF((('Assets-Liab 5-6'!J38 + 'Assets-Liab 5-6'!J39) ='Acct Summary 7-8'!J81), "OK", "ERROR!" )</f>
        <v>OK</v>
      </c>
    </row>
    <row r="65" spans="1:4" x14ac:dyDescent="0.2">
      <c r="A65" s="1087"/>
      <c r="B65" s="1080"/>
      <c r="C65" s="1088" t="s">
        <v>1364</v>
      </c>
      <c r="D65" s="1094" t="str">
        <f ca="1">IF((('Assets-Liab 5-6'!K38 + 'Assets-Liab 5-6'!K39) ='Acct Summary 7-8'!K81), "OK", "ERROR!" )</f>
        <v>OK</v>
      </c>
    </row>
    <row r="66" spans="1:4" x14ac:dyDescent="0.2">
      <c r="A66" s="1068"/>
      <c r="B66" s="1110">
        <f>B56+1+1</f>
        <v>8</v>
      </c>
      <c r="C66" s="1116" t="s">
        <v>1911</v>
      </c>
      <c r="D66" s="1095"/>
    </row>
    <row r="67" spans="1:4" x14ac:dyDescent="0.2">
      <c r="A67" s="1089"/>
      <c r="B67" s="1110"/>
      <c r="C67" s="1117" t="s">
        <v>1021</v>
      </c>
      <c r="D67" s="1095"/>
    </row>
    <row r="68" spans="1:4" x14ac:dyDescent="0.2">
      <c r="A68" s="1070"/>
      <c r="B68" s="1080"/>
      <c r="C68" s="1072" t="s">
        <v>1912</v>
      </c>
      <c r="D68" s="1094" t="str">
        <f ca="1">IF('Short-Term Long-Term Debt 24'!F49=SUM(,'Acct Summary 7-8'!C33:K33),"OK","ERROR!")</f>
        <v>OK</v>
      </c>
    </row>
    <row r="69" spans="1:4" x14ac:dyDescent="0.2">
      <c r="A69" s="1070"/>
      <c r="B69" s="1080"/>
      <c r="C69" s="1072" t="s">
        <v>1913</v>
      </c>
      <c r="D69" s="1094" t="str">
        <f ca="1">IF('Expenditures 15-22'!H170&lt;&gt;'Short-Term Long-Term Debt 24'!H49,"ERROR!","OK")</f>
        <v>OK</v>
      </c>
    </row>
    <row r="70" spans="1:4" x14ac:dyDescent="0.2">
      <c r="A70" s="1068"/>
      <c r="B70" s="1090">
        <f>B66+1</f>
        <v>9</v>
      </c>
      <c r="C70" s="2397" t="s">
        <v>1696</v>
      </c>
      <c r="D70" s="2398"/>
    </row>
    <row r="71" spans="1:4" x14ac:dyDescent="0.2">
      <c r="A71" s="1068"/>
      <c r="B71" s="1090"/>
      <c r="C71" s="1072" t="s">
        <v>1354</v>
      </c>
      <c r="D71" s="1096" t="str">
        <f ca="1">IF(SUM('Acct Summary 7-8'!C27:K27) =SUM( 'Acct Summary 7-8'!C49:K49),"OK", "ERROR")</f>
        <v>OK</v>
      </c>
    </row>
    <row r="72" spans="1:4" x14ac:dyDescent="0.2">
      <c r="A72" s="1070"/>
      <c r="B72" s="1080"/>
      <c r="C72" s="1088" t="s">
        <v>1355</v>
      </c>
      <c r="D72" s="1094" t="str">
        <f ca="1">IF(SUM('Acct Summary 7-8'!C28:K28)=SUM('Acct Summary 7-8'!C50:K50),"OK","ERROR!")</f>
        <v>OK</v>
      </c>
    </row>
    <row r="73" spans="1:4" ht="24" x14ac:dyDescent="0.2">
      <c r="A73" s="1097"/>
      <c r="B73" s="1080"/>
      <c r="C73" s="1088" t="s">
        <v>1697</v>
      </c>
      <c r="D73" s="1096" t="str">
        <f ca="1">IF(SUM('Acct Summary 7-8'!C42:K42)&gt;=SUM( 'Acct Summary 7-8'!C74:K74),"OK", "ERROR")</f>
        <v>OK</v>
      </c>
    </row>
    <row r="74" spans="1:4" x14ac:dyDescent="0.2">
      <c r="A74" s="1068"/>
      <c r="B74" s="1090">
        <f>B70+1</f>
        <v>10</v>
      </c>
      <c r="C74" s="1084" t="s">
        <v>1914</v>
      </c>
      <c r="D74" s="1098"/>
    </row>
    <row r="75" spans="1:4" x14ac:dyDescent="0.2">
      <c r="A75" s="1070"/>
      <c r="B75" s="1080"/>
      <c r="C75" s="1088" t="s">
        <v>1377</v>
      </c>
      <c r="D75" s="1094" t="str">
        <f>IF(SUM('Assets-Liab 5-6'!C38:H38)&gt;=SUM('Rest Tax Levies-Tort Im 25'!G25:K25),"OK","ERROR")</f>
        <v>OK</v>
      </c>
    </row>
    <row r="76" spans="1:4" x14ac:dyDescent="0.2">
      <c r="A76" s="1070"/>
      <c r="B76" s="1080"/>
      <c r="C76" s="1088" t="s">
        <v>1418</v>
      </c>
      <c r="D76" s="1094" t="str">
        <f>IF(SUM('Assets-Liab 5-6'!C39:K39)&gt;0,"OK","ENTRY IS REQUIRED!")</f>
        <v>OK</v>
      </c>
    </row>
    <row r="77" spans="1:4" x14ac:dyDescent="0.2">
      <c r="A77" s="1070"/>
      <c r="B77" s="1099">
        <f>B74+1</f>
        <v>11</v>
      </c>
      <c r="C77" s="1144" t="s">
        <v>1378</v>
      </c>
      <c r="D77" s="1094"/>
    </row>
    <row r="78" spans="1:4" x14ac:dyDescent="0.2">
      <c r="A78" s="1070"/>
      <c r="B78" s="1080"/>
      <c r="C78" s="1088" t="s">
        <v>1915</v>
      </c>
      <c r="D78" s="1094" t="str">
        <f>IF(ISNUMBER('Acct Summary 7-8'!C9),"OK","ENTRY IS REQUIRED!")</f>
        <v>OK</v>
      </c>
    </row>
    <row r="79" spans="1:4" x14ac:dyDescent="0.2">
      <c r="A79" s="1089"/>
      <c r="B79" s="1090">
        <f>B74+1+1</f>
        <v>12</v>
      </c>
      <c r="C79" s="1100" t="s">
        <v>1900</v>
      </c>
      <c r="D79" s="1101" t="str">
        <f>IF(OR(COVER!$B$6="X",'PCTC-OEPP 27-28'!F78&gt;0),"OK","PLEASE ENTER 9 MO ADA.")</f>
        <v>OK</v>
      </c>
    </row>
    <row r="80" spans="1:4" x14ac:dyDescent="0.2">
      <c r="A80" s="1068"/>
      <c r="B80" s="1090">
        <v>13</v>
      </c>
      <c r="C80" s="1100" t="s">
        <v>1916</v>
      </c>
      <c r="D80" s="1101" t="str">
        <f>IF('Contracts Paid in CY 29'!D141&gt;0,"OK","PLEASE ENTER CONTRACTS PAID IN CURRENT YEAR.")</f>
        <v>OK</v>
      </c>
    </row>
    <row r="81" spans="1:4" x14ac:dyDescent="0.2">
      <c r="A81" s="1068"/>
      <c r="B81" s="1090">
        <v>14</v>
      </c>
      <c r="C81" s="1100" t="s">
        <v>1424</v>
      </c>
      <c r="D81" s="1093" t="str">
        <f>IF('Shared Outsourced Services 31'!B8="X","OK",IF('Shared Outsourced Services 31'!K34&gt;0,"OK","ENTRY REQUIRED!"))</f>
        <v>OK</v>
      </c>
    </row>
    <row r="82" spans="1:4" x14ac:dyDescent="0.2">
      <c r="A82" s="1089"/>
      <c r="B82" s="1090">
        <v>15</v>
      </c>
      <c r="C82" s="1100" t="s">
        <v>1423</v>
      </c>
      <c r="D82" s="110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F172" sqref="F17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7" t="s">
        <v>1690</v>
      </c>
      <c r="B1" s="2408"/>
      <c r="C1" s="2408"/>
      <c r="D1" s="2408"/>
      <c r="E1" s="2408"/>
      <c r="F1" s="2409"/>
    </row>
    <row r="2" spans="1:8" ht="45" customHeight="1" x14ac:dyDescent="0.2">
      <c r="A2" s="2417" t="s">
        <v>1984</v>
      </c>
      <c r="B2" s="2418"/>
      <c r="C2" s="2418"/>
      <c r="D2" s="2418"/>
      <c r="E2" s="2418"/>
      <c r="F2" s="2419"/>
      <c r="G2" s="1044"/>
      <c r="H2" s="1044"/>
    </row>
    <row r="3" spans="1:8" ht="57" customHeight="1" x14ac:dyDescent="0.2">
      <c r="A3" s="2420" t="s">
        <v>1686</v>
      </c>
      <c r="B3" s="2421"/>
      <c r="C3" s="2421"/>
      <c r="D3" s="2421"/>
      <c r="E3" s="2421"/>
      <c r="F3" s="2422"/>
      <c r="G3" s="1044"/>
      <c r="H3" s="1044"/>
    </row>
    <row r="4" spans="1:8" ht="14.25" customHeight="1" x14ac:dyDescent="0.2">
      <c r="A4" s="2426" t="s">
        <v>1985</v>
      </c>
      <c r="B4" s="2427"/>
      <c r="C4" s="2427"/>
      <c r="D4" s="2427"/>
      <c r="E4" s="2427"/>
      <c r="F4" s="2428"/>
      <c r="G4" s="1044"/>
      <c r="H4" s="1044"/>
    </row>
    <row r="5" spans="1:8" ht="14.25" customHeight="1" x14ac:dyDescent="0.2">
      <c r="A5" s="2429" t="s">
        <v>1981</v>
      </c>
      <c r="B5" s="2430"/>
      <c r="C5" s="2430"/>
      <c r="D5" s="2430"/>
      <c r="E5" s="2430"/>
      <c r="F5" s="2431"/>
      <c r="G5" s="1044"/>
      <c r="H5" s="1044"/>
    </row>
    <row r="6" spans="1:8" s="1045" customFormat="1" ht="41.25" customHeight="1" x14ac:dyDescent="0.2">
      <c r="A6" s="2423" t="s">
        <v>1691</v>
      </c>
      <c r="B6" s="2424"/>
      <c r="C6" s="2424"/>
      <c r="D6" s="2424"/>
      <c r="E6" s="2424"/>
      <c r="F6" s="2425"/>
    </row>
    <row r="7" spans="1:8" ht="42" customHeight="1" x14ac:dyDescent="0.2">
      <c r="A7" s="1046" t="s">
        <v>481</v>
      </c>
      <c r="B7" s="1047" t="s">
        <v>1496</v>
      </c>
      <c r="C7" s="1047" t="s">
        <v>1497</v>
      </c>
      <c r="D7" s="1047" t="s">
        <v>1495</v>
      </c>
      <c r="E7" s="1047" t="s">
        <v>1498</v>
      </c>
      <c r="F7" s="1047" t="s">
        <v>1367</v>
      </c>
    </row>
    <row r="8" spans="1:8" s="1049" customFormat="1" ht="14.25" customHeight="1" x14ac:dyDescent="0.2">
      <c r="A8" s="1048" t="s">
        <v>1368</v>
      </c>
      <c r="B8" s="1785">
        <f ca="1">'Acct Summary 7-8'!C8</f>
        <v>17475045</v>
      </c>
      <c r="C8" s="1785">
        <f ca="1">'Acct Summary 7-8'!D8</f>
        <v>1010637</v>
      </c>
      <c r="D8" s="1785">
        <f ca="1">'Acct Summary 7-8'!F8</f>
        <v>1529878</v>
      </c>
      <c r="E8" s="1785">
        <f ca="1">'Acct Summary 7-8'!I8</f>
        <v>267385</v>
      </c>
      <c r="F8" s="1785">
        <f ca="1">SUM(B8:E8)</f>
        <v>20282945</v>
      </c>
    </row>
    <row r="9" spans="1:8" s="1049" customFormat="1" ht="14.25" customHeight="1" thickBot="1" x14ac:dyDescent="0.25">
      <c r="A9" s="1048" t="s">
        <v>1369</v>
      </c>
      <c r="B9" s="1786">
        <f ca="1">'Acct Summary 7-8'!C17</f>
        <v>17175703</v>
      </c>
      <c r="C9" s="1786">
        <f ca="1">'Acct Summary 7-8'!D17</f>
        <v>2084602</v>
      </c>
      <c r="D9" s="1786">
        <f ca="1">'Acct Summary 7-8'!F17</f>
        <v>1441768</v>
      </c>
      <c r="E9" s="1785"/>
      <c r="F9" s="1785">
        <f ca="1">SUM(B9:E9)</f>
        <v>20702073</v>
      </c>
    </row>
    <row r="10" spans="1:8" s="1049" customFormat="1" ht="14.25" thickTop="1" thickBot="1" x14ac:dyDescent="0.25">
      <c r="A10" s="1050" t="s">
        <v>1370</v>
      </c>
      <c r="B10" s="1787">
        <f ca="1">(B8-B9)</f>
        <v>299342</v>
      </c>
      <c r="C10" s="1787">
        <f ca="1">(C8-C9)</f>
        <v>-1073965</v>
      </c>
      <c r="D10" s="1787">
        <f ca="1">(D8-D9)</f>
        <v>88110</v>
      </c>
      <c r="E10" s="1786">
        <f ca="1">(E8-E9)</f>
        <v>267385</v>
      </c>
      <c r="F10" s="1788">
        <f ca="1">SUM(F8-F9)</f>
        <v>-419128</v>
      </c>
    </row>
    <row r="11" spans="1:8" s="1049" customFormat="1" ht="14.25" thickTop="1" thickBot="1" x14ac:dyDescent="0.25">
      <c r="A11" s="1051" t="s">
        <v>1982</v>
      </c>
      <c r="B11" s="1789">
        <f ca="1">'Acct Summary 7-8'!C81</f>
        <v>2628380</v>
      </c>
      <c r="C11" s="1789">
        <f ca="1">'Acct Summary 7-8'!D81</f>
        <v>193570</v>
      </c>
      <c r="D11" s="1789">
        <f ca="1">'Acct Summary 7-8'!F81</f>
        <v>650738</v>
      </c>
      <c r="E11" s="1789">
        <f ca="1">'Acct Summary 7-8'!I81</f>
        <v>5830127</v>
      </c>
      <c r="F11" s="1790">
        <f ca="1">SUM(B11:E11)</f>
        <v>9302815</v>
      </c>
    </row>
    <row r="12" spans="1:8" ht="16.5" customHeight="1" thickTop="1" x14ac:dyDescent="0.2">
      <c r="A12" s="1052"/>
      <c r="B12" s="1053"/>
      <c r="C12" s="2411" t="str">
        <f ca="1">IF(AND(F10&lt;0,F11&gt;=0,ABS(F10*3)&gt;ABS(F11)),A16,IF(AND(F10&lt;0,F11&gt;0,ABS(F10*3)&lt;=ABS(F11)),A17,IF(AND(F10&lt;0,F11&lt;0),A16,IF(F11=0,A19,A18))))</f>
        <v>Unbalanced -  however, a deficit reduction plan is not required at this time.</v>
      </c>
      <c r="D12" s="2412"/>
      <c r="E12" s="2412"/>
      <c r="F12" s="2413"/>
    </row>
    <row r="13" spans="1:8" ht="19.5" customHeight="1" x14ac:dyDescent="0.2">
      <c r="A13" s="1054"/>
      <c r="B13" s="1055"/>
      <c r="C13" s="2411"/>
      <c r="D13" s="2412"/>
      <c r="E13" s="2412"/>
      <c r="F13" s="2413"/>
      <c r="H13" s="1044"/>
    </row>
    <row r="14" spans="1:8" ht="19.5" customHeight="1" x14ac:dyDescent="0.2">
      <c r="A14" s="1054"/>
      <c r="B14" s="1055"/>
      <c r="C14" s="2411"/>
      <c r="D14" s="2412"/>
      <c r="E14" s="2412"/>
      <c r="F14" s="2413"/>
      <c r="H14" s="1044"/>
    </row>
    <row r="15" spans="1:8" ht="17.25" customHeight="1" x14ac:dyDescent="0.2">
      <c r="A15" s="1054"/>
      <c r="B15" s="1055"/>
      <c r="C15" s="2414"/>
      <c r="D15" s="2415"/>
      <c r="E15" s="2415"/>
      <c r="F15" s="2416"/>
      <c r="H15" s="1044"/>
    </row>
    <row r="16" spans="1:8" s="310" customFormat="1" ht="51.75" hidden="1" customHeight="1" x14ac:dyDescent="0.2">
      <c r="A16" s="2410" t="s">
        <v>1687</v>
      </c>
      <c r="B16" s="2410"/>
      <c r="C16" s="2410"/>
      <c r="D16" s="2410"/>
      <c r="E16" s="2410"/>
      <c r="F16" s="310" t="s">
        <v>1371</v>
      </c>
    </row>
    <row r="17" spans="1:6" hidden="1" x14ac:dyDescent="0.2">
      <c r="A17" s="316" t="s">
        <v>1688</v>
      </c>
      <c r="F17" s="105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57"/>
    </row>
    <row r="48" spans="3:3" x14ac:dyDescent="0.2">
      <c r="C48" s="105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35050141002</v>
      </c>
    </row>
    <row r="3" spans="1:2" x14ac:dyDescent="0.2">
      <c r="A3" t="s">
        <v>956</v>
      </c>
      <c r="B3" s="138" t="str">
        <f>COVER!A15</f>
        <v>LaSalle</v>
      </c>
    </row>
    <row r="4" spans="1:2" x14ac:dyDescent="0.2">
      <c r="A4" t="s">
        <v>1007</v>
      </c>
      <c r="B4" s="138" t="str">
        <f>COVER!A17</f>
        <v>Ottawa ESD 141</v>
      </c>
    </row>
    <row r="5" spans="1:2" x14ac:dyDescent="0.2">
      <c r="A5" t="s">
        <v>704</v>
      </c>
      <c r="B5" s="138" t="str">
        <f>COVER!A38</f>
        <v>Cleve Threadgill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060-003995</v>
      </c>
    </row>
    <row r="16" spans="1:2" x14ac:dyDescent="0.2">
      <c r="A16" t="s">
        <v>422</v>
      </c>
      <c r="B16" s="138" t="str">
        <f>COVER!T13</f>
        <v>Roenfeldt &amp; Lockas, P.C.</v>
      </c>
    </row>
    <row r="17" spans="1:2" x14ac:dyDescent="0.2">
      <c r="A17" t="s">
        <v>884</v>
      </c>
      <c r="B17" s="138" t="str">
        <f>COVER!T15</f>
        <v>Duane K. Lockas, C.P.A.</v>
      </c>
    </row>
    <row r="18" spans="1:2" x14ac:dyDescent="0.2">
      <c r="A18" t="s">
        <v>1150</v>
      </c>
      <c r="B18" s="138" t="str">
        <f>COVER!T17</f>
        <v>1100 Columbus Street</v>
      </c>
    </row>
    <row r="19" spans="1:2" x14ac:dyDescent="0.2">
      <c r="A19" t="s">
        <v>886</v>
      </c>
      <c r="B19" s="138" t="str">
        <f>COVER!T25</f>
        <v>admin@roenfeldtlockas.com</v>
      </c>
    </row>
    <row r="20" spans="1:2" x14ac:dyDescent="0.2">
      <c r="A20" t="s">
        <v>887</v>
      </c>
      <c r="B20" s="138" t="str">
        <f>COVER!T19</f>
        <v>Ottawa</v>
      </c>
    </row>
    <row r="21" spans="1:2" x14ac:dyDescent="0.2">
      <c r="A21" t="s">
        <v>479</v>
      </c>
      <c r="B21" s="138" t="str">
        <f>COVER!X19</f>
        <v>Illinois</v>
      </c>
    </row>
    <row r="22" spans="1:2" x14ac:dyDescent="0.2">
      <c r="A22" t="s">
        <v>888</v>
      </c>
      <c r="B22" s="138">
        <f>COVER!Z19</f>
        <v>61350</v>
      </c>
    </row>
    <row r="23" spans="1:2" x14ac:dyDescent="0.2">
      <c r="A23" t="s">
        <v>1152</v>
      </c>
      <c r="B23" s="138" t="str">
        <f>COVER!T21</f>
        <v>815-433-0464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 ca="1">'Assets-Liab 5-6'!C6</f>
        <v>0</v>
      </c>
      <c r="D65" s="2" t="str">
        <f t="shared" ca="1"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 ca="1">'Assets-Liab 5-6'!C10</f>
        <v>0</v>
      </c>
      <c r="D72" s="2" t="str">
        <f t="shared" ca="1" si="0"/>
        <v>Error?</v>
      </c>
    </row>
    <row r="73" spans="1:4" x14ac:dyDescent="0.2">
      <c r="A73" s="5">
        <v>12</v>
      </c>
      <c r="B73" s="138">
        <f ca="1">'Assets-Liab 5-6'!C5</f>
        <v>0</v>
      </c>
      <c r="D73" s="2" t="str">
        <f t="shared" ca="1" si="0"/>
        <v>Error?</v>
      </c>
    </row>
    <row r="74" spans="1:4" x14ac:dyDescent="0.2">
      <c r="A74" s="10">
        <v>13</v>
      </c>
      <c r="D74" s="2" t="str">
        <f t="shared" si="0"/>
        <v>OK</v>
      </c>
    </row>
    <row r="75" spans="1:4" x14ac:dyDescent="0.2">
      <c r="A75" s="10">
        <v>14</v>
      </c>
      <c r="D75" s="2" t="str">
        <f t="shared" si="0"/>
        <v>OK</v>
      </c>
    </row>
    <row r="76" spans="1:4" x14ac:dyDescent="0.2">
      <c r="A76" s="5">
        <v>15</v>
      </c>
      <c r="B76" s="138">
        <f ca="1">'Assets-Liab 5-6'!C12</f>
        <v>0</v>
      </c>
      <c r="D76" s="2" t="str">
        <f t="shared" ca="1" si="0"/>
        <v>Error?</v>
      </c>
    </row>
    <row r="77" spans="1:4" x14ac:dyDescent="0.2">
      <c r="A77" s="5">
        <v>16</v>
      </c>
      <c r="B77" s="138">
        <f ca="1">'Assets-Liab 5-6'!C13</f>
        <v>2640707</v>
      </c>
      <c r="C77" s="2" t="s">
        <v>573</v>
      </c>
      <c r="D77" s="2" t="str">
        <f t="shared" ca="1"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 ca="1">'Assets-Liab 5-6'!C31</f>
        <v>0</v>
      </c>
      <c r="D86" s="2" t="str">
        <f t="shared" ca="1" si="0"/>
        <v>Error?</v>
      </c>
    </row>
    <row r="87" spans="1:4" x14ac:dyDescent="0.2">
      <c r="A87" s="10">
        <v>26</v>
      </c>
      <c r="D87" s="2" t="str">
        <f t="shared" si="0"/>
        <v>OK</v>
      </c>
    </row>
    <row r="88" spans="1:4" x14ac:dyDescent="0.2">
      <c r="A88" s="5">
        <v>27</v>
      </c>
      <c r="B88" s="138">
        <f ca="1">'Assets-Liab 5-6'!C32</f>
        <v>1245</v>
      </c>
      <c r="D88" s="2" t="str">
        <f t="shared" ca="1" si="0"/>
        <v>Error?</v>
      </c>
    </row>
    <row r="89" spans="1:4" x14ac:dyDescent="0.2">
      <c r="A89" s="10">
        <v>28</v>
      </c>
      <c r="D89" s="2" t="str">
        <f t="shared" si="0"/>
        <v>OK</v>
      </c>
    </row>
    <row r="90" spans="1:4" x14ac:dyDescent="0.2">
      <c r="A90" s="10">
        <v>29</v>
      </c>
      <c r="D90" s="2" t="str">
        <f t="shared" si="0"/>
        <v>OK</v>
      </c>
    </row>
    <row r="91" spans="1:4" x14ac:dyDescent="0.2">
      <c r="A91" s="5">
        <v>30</v>
      </c>
      <c r="B91" s="138">
        <f ca="1">'Assets-Liab 5-6'!C34</f>
        <v>12327</v>
      </c>
      <c r="C91" s="2" t="s">
        <v>573</v>
      </c>
      <c r="D91" s="2" t="str">
        <f t="shared" ca="1" si="0"/>
        <v>Error?</v>
      </c>
    </row>
    <row r="92" spans="1:4" x14ac:dyDescent="0.2">
      <c r="A92" s="5">
        <v>31</v>
      </c>
      <c r="B92" s="138">
        <f>'Assets-Liab 5-6'!C39</f>
        <v>2628380</v>
      </c>
      <c r="D92" s="2" t="str">
        <f t="shared" si="0"/>
        <v>Error?</v>
      </c>
    </row>
    <row r="93" spans="1:4" x14ac:dyDescent="0.2">
      <c r="A93" s="5">
        <v>32</v>
      </c>
      <c r="B93" s="138">
        <f ca="1">'Assets-Liab 5-6'!C41</f>
        <v>2640707</v>
      </c>
      <c r="C93" s="2" t="s">
        <v>573</v>
      </c>
      <c r="D93" s="2" t="str">
        <f t="shared" ca="1"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 ca="1">'Assets-Liab 5-6'!D6</f>
        <v>0</v>
      </c>
      <c r="D97" s="2" t="str">
        <f t="shared" ca="1"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 ca="1">'Assets-Liab 5-6'!D10</f>
        <v>0</v>
      </c>
      <c r="D104" s="2" t="str">
        <f t="shared" ca="1" si="0"/>
        <v>Error?</v>
      </c>
    </row>
    <row r="105" spans="1:4" x14ac:dyDescent="0.2">
      <c r="A105" s="5">
        <v>44</v>
      </c>
      <c r="B105" s="138">
        <f ca="1">'Assets-Liab 5-6'!D5</f>
        <v>24777</v>
      </c>
      <c r="D105" s="2" t="str">
        <f t="shared" ca="1" si="0"/>
        <v>Error?</v>
      </c>
    </row>
    <row r="106" spans="1:4" x14ac:dyDescent="0.2">
      <c r="A106" s="10">
        <v>45</v>
      </c>
      <c r="D106" s="2" t="str">
        <f t="shared" si="0"/>
        <v>OK</v>
      </c>
    </row>
    <row r="107" spans="1:4" x14ac:dyDescent="0.2">
      <c r="A107" s="10">
        <v>46</v>
      </c>
      <c r="D107" s="2" t="str">
        <f t="shared" si="0"/>
        <v>OK</v>
      </c>
    </row>
    <row r="108" spans="1:4" x14ac:dyDescent="0.2">
      <c r="A108" s="5">
        <v>47</v>
      </c>
      <c r="B108" s="138">
        <f ca="1">'Assets-Liab 5-6'!D12</f>
        <v>0</v>
      </c>
      <c r="D108" s="2" t="str">
        <f t="shared" ca="1" si="0"/>
        <v>Error?</v>
      </c>
    </row>
    <row r="109" spans="1:4" x14ac:dyDescent="0.2">
      <c r="A109" s="5">
        <v>48</v>
      </c>
      <c r="B109" s="138">
        <f ca="1">'Assets-Liab 5-6'!D13</f>
        <v>193570</v>
      </c>
      <c r="C109" s="2" t="s">
        <v>573</v>
      </c>
      <c r="D109" s="2" t="str">
        <f t="shared" ca="1"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 ca="1">'Assets-Liab 5-6'!D31</f>
        <v>0</v>
      </c>
      <c r="D117" s="2" t="str">
        <f t="shared" ca="1" si="0"/>
        <v>Error?</v>
      </c>
    </row>
    <row r="118" spans="1:4" x14ac:dyDescent="0.2">
      <c r="A118" s="10">
        <v>57</v>
      </c>
      <c r="D118" s="2" t="str">
        <f t="shared" si="0"/>
        <v>OK</v>
      </c>
    </row>
    <row r="119" spans="1:4" x14ac:dyDescent="0.2">
      <c r="A119" s="5">
        <v>58</v>
      </c>
      <c r="B119" s="138">
        <f ca="1">'Assets-Liab 5-6'!D32</f>
        <v>0</v>
      </c>
      <c r="D119" s="2" t="str">
        <f t="shared" ca="1" si="0"/>
        <v>Error?</v>
      </c>
    </row>
    <row r="120" spans="1:4" x14ac:dyDescent="0.2">
      <c r="A120" s="10">
        <v>59</v>
      </c>
      <c r="D120" s="2" t="str">
        <f t="shared" si="0"/>
        <v>OK</v>
      </c>
    </row>
    <row r="121" spans="1:4" x14ac:dyDescent="0.2">
      <c r="A121" s="10">
        <v>60</v>
      </c>
      <c r="D121" s="2" t="str">
        <f t="shared" si="0"/>
        <v>OK</v>
      </c>
    </row>
    <row r="122" spans="1:4" x14ac:dyDescent="0.2">
      <c r="A122" s="5">
        <v>61</v>
      </c>
      <c r="B122" s="138">
        <f ca="1">'Assets-Liab 5-6'!D34</f>
        <v>0</v>
      </c>
      <c r="C122" s="2" t="s">
        <v>573</v>
      </c>
      <c r="D122" s="2" t="str">
        <f t="shared" ca="1" si="0"/>
        <v>Error?</v>
      </c>
    </row>
    <row r="123" spans="1:4" x14ac:dyDescent="0.2">
      <c r="A123" s="5">
        <v>62</v>
      </c>
      <c r="B123" s="138">
        <f>'Assets-Liab 5-6'!D39</f>
        <v>193570</v>
      </c>
      <c r="D123" s="2" t="str">
        <f t="shared" si="0"/>
        <v>Error?</v>
      </c>
    </row>
    <row r="124" spans="1:4" x14ac:dyDescent="0.2">
      <c r="A124" s="5">
        <v>63</v>
      </c>
      <c r="B124" s="138">
        <f ca="1">'Assets-Liab 5-6'!D41</f>
        <v>193570</v>
      </c>
      <c r="C124" s="2" t="s">
        <v>573</v>
      </c>
      <c r="D124" s="2" t="str">
        <f t="shared" ca="1" si="0"/>
        <v>Error?</v>
      </c>
    </row>
    <row r="125" spans="1:4" x14ac:dyDescent="0.2">
      <c r="A125" s="10">
        <v>64</v>
      </c>
      <c r="D125" s="2" t="str">
        <f t="shared" si="0"/>
        <v>OK</v>
      </c>
    </row>
    <row r="126" spans="1:4" x14ac:dyDescent="0.2">
      <c r="A126" s="5">
        <v>65</v>
      </c>
      <c r="B126" s="138">
        <f ca="1">'Assets-Liab 5-6'!E6</f>
        <v>0</v>
      </c>
      <c r="D126" s="2" t="str">
        <f t="shared" ca="1"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 ca="1">'Assets-Liab 5-6'!E5</f>
        <v>0</v>
      </c>
      <c r="D129" s="2" t="str">
        <f t="shared" ca="1" si="1"/>
        <v>Error?</v>
      </c>
    </row>
    <row r="130" spans="1:4" x14ac:dyDescent="0.2">
      <c r="A130" s="5">
        <v>69</v>
      </c>
      <c r="B130" s="138">
        <f ca="1">'Assets-Liab 5-6'!E12</f>
        <v>0</v>
      </c>
      <c r="D130" s="2" t="str">
        <f t="shared" ca="1" si="1"/>
        <v>Error?</v>
      </c>
    </row>
    <row r="131" spans="1:4" x14ac:dyDescent="0.2">
      <c r="A131" s="5">
        <v>70</v>
      </c>
      <c r="B131" s="138">
        <f ca="1">'Assets-Liab 5-6'!E13</f>
        <v>0</v>
      </c>
      <c r="C131" s="2" t="s">
        <v>573</v>
      </c>
      <c r="D131" s="2" t="str">
        <f t="shared" ca="1" si="1"/>
        <v>Error?</v>
      </c>
    </row>
    <row r="132" spans="1:4" x14ac:dyDescent="0.2">
      <c r="A132" s="10">
        <v>71</v>
      </c>
      <c r="D132" s="2" t="str">
        <f t="shared" si="1"/>
        <v>OK</v>
      </c>
    </row>
    <row r="133" spans="1:4" x14ac:dyDescent="0.2">
      <c r="A133" s="10">
        <v>72</v>
      </c>
      <c r="D133" s="2" t="str">
        <f t="shared" si="1"/>
        <v>OK</v>
      </c>
    </row>
    <row r="134" spans="1:4" x14ac:dyDescent="0.2">
      <c r="A134" s="5">
        <v>73</v>
      </c>
      <c r="B134" s="138">
        <f ca="1">'Assets-Liab 5-6'!E32</f>
        <v>0</v>
      </c>
      <c r="D134" s="2" t="str">
        <f t="shared" ca="1"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 ca="1">'Assets-Liab 5-6'!E34</f>
        <v>44746</v>
      </c>
      <c r="C139" s="2" t="s">
        <v>573</v>
      </c>
      <c r="D139" s="2" t="str">
        <f t="shared" ca="1" si="1"/>
        <v>Error?</v>
      </c>
    </row>
    <row r="140" spans="1:4" x14ac:dyDescent="0.2">
      <c r="A140" s="5">
        <v>79</v>
      </c>
      <c r="B140" s="138">
        <f>'Assets-Liab 5-6'!E39</f>
        <v>-44746</v>
      </c>
      <c r="D140" s="2" t="str">
        <f t="shared" si="1"/>
        <v>Error?</v>
      </c>
    </row>
    <row r="141" spans="1:4" x14ac:dyDescent="0.2">
      <c r="A141" s="5">
        <v>80</v>
      </c>
      <c r="B141" s="138">
        <f ca="1">'Assets-Liab 5-6'!E41</f>
        <v>0</v>
      </c>
      <c r="C141" s="2" t="s">
        <v>573</v>
      </c>
      <c r="D141" s="2" t="str">
        <f t="shared" ca="1"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 ca="1">'Assets-Liab 5-6'!F6</f>
        <v>0</v>
      </c>
      <c r="D145" s="2" t="str">
        <f t="shared" ca="1"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 ca="1">'Assets-Liab 5-6'!F10</f>
        <v>0</v>
      </c>
      <c r="D152" s="2" t="str">
        <f t="shared" ca="1" si="1"/>
        <v>Error?</v>
      </c>
    </row>
    <row r="153" spans="1:4" x14ac:dyDescent="0.2">
      <c r="A153" s="5">
        <v>92</v>
      </c>
      <c r="B153" s="138">
        <f ca="1">'Assets-Liab 5-6'!F5</f>
        <v>0</v>
      </c>
      <c r="D153" s="2" t="str">
        <f t="shared" ca="1" si="1"/>
        <v>Error?</v>
      </c>
    </row>
    <row r="154" spans="1:4" x14ac:dyDescent="0.2">
      <c r="A154" s="10">
        <v>93</v>
      </c>
      <c r="D154" s="2" t="str">
        <f t="shared" si="1"/>
        <v>OK</v>
      </c>
    </row>
    <row r="155" spans="1:4" x14ac:dyDescent="0.2">
      <c r="A155" s="10">
        <v>94</v>
      </c>
      <c r="D155" s="2" t="str">
        <f t="shared" si="1"/>
        <v>OK</v>
      </c>
    </row>
    <row r="156" spans="1:4" x14ac:dyDescent="0.2">
      <c r="A156" s="5">
        <v>95</v>
      </c>
      <c r="B156" s="138">
        <f ca="1">'Assets-Liab 5-6'!F12</f>
        <v>0</v>
      </c>
      <c r="D156" s="2" t="str">
        <f t="shared" ca="1" si="1"/>
        <v>Error?</v>
      </c>
    </row>
    <row r="157" spans="1:4" x14ac:dyDescent="0.2">
      <c r="A157" s="5">
        <v>96</v>
      </c>
      <c r="B157" s="138">
        <f ca="1">'Assets-Liab 5-6'!F13</f>
        <v>650738</v>
      </c>
      <c r="C157" s="2" t="s">
        <v>573</v>
      </c>
      <c r="D157" s="2" t="str">
        <f t="shared" ca="1"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 ca="1">'Assets-Liab 5-6'!F31</f>
        <v>0</v>
      </c>
      <c r="D164" s="2" t="str">
        <f t="shared" ca="1" si="1"/>
        <v>Error?</v>
      </c>
    </row>
    <row r="165" spans="1:4" x14ac:dyDescent="0.2">
      <c r="A165" s="10">
        <v>104</v>
      </c>
      <c r="D165" s="2" t="str">
        <f t="shared" si="1"/>
        <v>OK</v>
      </c>
    </row>
    <row r="166" spans="1:4" x14ac:dyDescent="0.2">
      <c r="A166" s="5">
        <v>105</v>
      </c>
      <c r="B166" s="138">
        <f ca="1">'Assets-Liab 5-6'!F32</f>
        <v>0</v>
      </c>
      <c r="D166" s="2" t="str">
        <f t="shared" ca="1" si="1"/>
        <v>Error?</v>
      </c>
    </row>
    <row r="167" spans="1:4" x14ac:dyDescent="0.2">
      <c r="A167" s="10">
        <v>106</v>
      </c>
      <c r="D167" s="2" t="str">
        <f t="shared" si="1"/>
        <v>OK</v>
      </c>
    </row>
    <row r="168" spans="1:4" x14ac:dyDescent="0.2">
      <c r="A168" s="10">
        <v>107</v>
      </c>
      <c r="D168" s="2" t="str">
        <f t="shared" si="1"/>
        <v>OK</v>
      </c>
    </row>
    <row r="169" spans="1:4" x14ac:dyDescent="0.2">
      <c r="A169" s="5">
        <v>108</v>
      </c>
      <c r="B169" s="138">
        <f ca="1">'Assets-Liab 5-6'!F34</f>
        <v>0</v>
      </c>
      <c r="C169" s="2" t="s">
        <v>573</v>
      </c>
      <c r="D169" s="2" t="str">
        <f t="shared" ca="1" si="1"/>
        <v>Error?</v>
      </c>
    </row>
    <row r="170" spans="1:4" x14ac:dyDescent="0.2">
      <c r="A170" s="5">
        <v>109</v>
      </c>
      <c r="B170" s="138">
        <f>'Assets-Liab 5-6'!F39</f>
        <v>650738</v>
      </c>
      <c r="D170" s="2" t="str">
        <f t="shared" si="1"/>
        <v>Error?</v>
      </c>
    </row>
    <row r="171" spans="1:4" x14ac:dyDescent="0.2">
      <c r="A171" s="5">
        <v>110</v>
      </c>
      <c r="B171" s="138">
        <f ca="1">'Assets-Liab 5-6'!F41</f>
        <v>650738</v>
      </c>
      <c r="C171" s="2" t="s">
        <v>573</v>
      </c>
      <c r="D171" s="2" t="str">
        <f t="shared" ca="1" si="1"/>
        <v>Error?</v>
      </c>
    </row>
    <row r="172" spans="1:4" x14ac:dyDescent="0.2">
      <c r="A172" s="10">
        <v>111</v>
      </c>
      <c r="D172" s="2" t="str">
        <f t="shared" si="1"/>
        <v>OK</v>
      </c>
    </row>
    <row r="173" spans="1:4" x14ac:dyDescent="0.2">
      <c r="A173" s="5">
        <v>112</v>
      </c>
      <c r="B173" s="138">
        <f ca="1">'Assets-Liab 5-6'!G6</f>
        <v>0</v>
      </c>
      <c r="D173" s="2" t="str">
        <f t="shared" ca="1"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 ca="1">'Assets-Liab 5-6'!G5</f>
        <v>0</v>
      </c>
      <c r="D177" s="2" t="str">
        <f t="shared" ca="1" si="1"/>
        <v>Error?</v>
      </c>
    </row>
    <row r="178" spans="1:4" x14ac:dyDescent="0.2">
      <c r="A178" s="10">
        <v>117</v>
      </c>
      <c r="D178" s="2" t="str">
        <f t="shared" si="1"/>
        <v>OK</v>
      </c>
    </row>
    <row r="179" spans="1:4" x14ac:dyDescent="0.2">
      <c r="A179" s="5">
        <v>118</v>
      </c>
      <c r="B179" s="138">
        <f ca="1">'Assets-Liab 5-6'!G12</f>
        <v>0</v>
      </c>
      <c r="D179" s="2" t="str">
        <f t="shared" ca="1" si="1"/>
        <v>Error?</v>
      </c>
    </row>
    <row r="180" spans="1:4" x14ac:dyDescent="0.2">
      <c r="A180" s="5">
        <v>119</v>
      </c>
      <c r="B180" s="138">
        <f ca="1">'Assets-Liab 5-6'!G13</f>
        <v>159098</v>
      </c>
      <c r="C180" s="2" t="s">
        <v>573</v>
      </c>
      <c r="D180" s="2" t="str">
        <f t="shared" ca="1"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 ca="1">'Assets-Liab 5-6'!G31</f>
        <v>0</v>
      </c>
      <c r="D184" s="2" t="str">
        <f t="shared" ca="1" si="1"/>
        <v>Error?</v>
      </c>
    </row>
    <row r="185" spans="1:4" x14ac:dyDescent="0.2">
      <c r="A185" s="5">
        <v>124</v>
      </c>
      <c r="B185" s="138">
        <f ca="1">'Assets-Liab 5-6'!G32</f>
        <v>0</v>
      </c>
      <c r="D185" s="2" t="str">
        <f t="shared" ca="1" si="1"/>
        <v>Error?</v>
      </c>
    </row>
    <row r="186" spans="1:4" x14ac:dyDescent="0.2">
      <c r="A186" s="10">
        <v>125</v>
      </c>
      <c r="D186" s="2" t="str">
        <f t="shared" si="1"/>
        <v>OK</v>
      </c>
    </row>
    <row r="187" spans="1:4" x14ac:dyDescent="0.2">
      <c r="A187" s="10">
        <v>126</v>
      </c>
      <c r="D187" s="2" t="str">
        <f t="shared" si="1"/>
        <v>OK</v>
      </c>
    </row>
    <row r="188" spans="1:4" x14ac:dyDescent="0.2">
      <c r="A188" s="5">
        <v>127</v>
      </c>
      <c r="B188" s="138">
        <f ca="1">'Assets-Liab 5-6'!G34</f>
        <v>216</v>
      </c>
      <c r="C188" s="2" t="s">
        <v>573</v>
      </c>
      <c r="D188" s="2" t="str">
        <f t="shared" ca="1" si="1"/>
        <v>Error?</v>
      </c>
    </row>
    <row r="189" spans="1:4" x14ac:dyDescent="0.2">
      <c r="A189" s="5">
        <v>128</v>
      </c>
      <c r="B189" s="138">
        <f>'Assets-Liab 5-6'!G39</f>
        <v>148729</v>
      </c>
      <c r="D189" s="2" t="str">
        <f t="shared" si="1"/>
        <v>Error?</v>
      </c>
    </row>
    <row r="190" spans="1:4" x14ac:dyDescent="0.2">
      <c r="A190" s="5">
        <v>129</v>
      </c>
      <c r="B190" s="138">
        <f ca="1">'Assets-Liab 5-6'!G41</f>
        <v>159098</v>
      </c>
      <c r="C190" s="2" t="s">
        <v>573</v>
      </c>
      <c r="D190" s="2" t="str">
        <f t="shared" ca="1"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 ca="1">'Assets-Liab 5-6'!H10</f>
        <v>0</v>
      </c>
      <c r="D198" s="2" t="str">
        <f t="shared" ca="1" si="2"/>
        <v>Error?</v>
      </c>
    </row>
    <row r="199" spans="1:4" x14ac:dyDescent="0.2">
      <c r="A199" s="5">
        <v>138</v>
      </c>
      <c r="B199" s="138">
        <f ca="1">'Assets-Liab 5-6'!H5</f>
        <v>0</v>
      </c>
      <c r="D199" s="2" t="str">
        <f t="shared" ca="1" si="2"/>
        <v>Error?</v>
      </c>
    </row>
    <row r="200" spans="1:4" x14ac:dyDescent="0.2">
      <c r="A200" s="10">
        <v>139</v>
      </c>
      <c r="D200" s="2" t="str">
        <f t="shared" si="2"/>
        <v>OK</v>
      </c>
    </row>
    <row r="201" spans="1:4" x14ac:dyDescent="0.2">
      <c r="A201" s="10">
        <v>140</v>
      </c>
      <c r="D201" s="2" t="str">
        <f t="shared" si="2"/>
        <v>OK</v>
      </c>
    </row>
    <row r="202" spans="1:4" x14ac:dyDescent="0.2">
      <c r="A202" s="5">
        <v>141</v>
      </c>
      <c r="B202" s="138">
        <f ca="1">'Assets-Liab 5-6'!H12</f>
        <v>0</v>
      </c>
      <c r="D202" s="2" t="str">
        <f t="shared" ca="1" si="2"/>
        <v>Error?</v>
      </c>
    </row>
    <row r="203" spans="1:4" x14ac:dyDescent="0.2">
      <c r="A203" s="5">
        <v>142</v>
      </c>
      <c r="B203" s="138">
        <f ca="1">'Assets-Liab 5-6'!H13</f>
        <v>0</v>
      </c>
      <c r="C203" s="2" t="s">
        <v>573</v>
      </c>
      <c r="D203" s="2" t="str">
        <f t="shared" ca="1" si="2"/>
        <v>Error?</v>
      </c>
    </row>
    <row r="204" spans="1:4" x14ac:dyDescent="0.2">
      <c r="A204" s="10">
        <v>143</v>
      </c>
      <c r="D204" s="2" t="str">
        <f t="shared" si="2"/>
        <v>OK</v>
      </c>
    </row>
    <row r="205" spans="1:4" x14ac:dyDescent="0.2">
      <c r="A205" s="10">
        <v>144</v>
      </c>
      <c r="D205" s="2" t="str">
        <f t="shared" si="2"/>
        <v>OK</v>
      </c>
    </row>
    <row r="206" spans="1:4" x14ac:dyDescent="0.2">
      <c r="A206" s="5">
        <v>145</v>
      </c>
      <c r="B206" s="138">
        <f ca="1">'Assets-Liab 5-6'!H31</f>
        <v>0</v>
      </c>
      <c r="D206" s="2" t="str">
        <f t="shared" ca="1" si="2"/>
        <v>Error?</v>
      </c>
    </row>
    <row r="207" spans="1:4" x14ac:dyDescent="0.2">
      <c r="A207" s="10">
        <v>146</v>
      </c>
      <c r="D207" s="2" t="str">
        <f t="shared" si="2"/>
        <v>OK</v>
      </c>
    </row>
    <row r="208" spans="1:4" x14ac:dyDescent="0.2">
      <c r="A208" s="5">
        <v>147</v>
      </c>
      <c r="B208" s="138">
        <f ca="1">'Assets-Liab 5-6'!H32</f>
        <v>0</v>
      </c>
      <c r="D208" s="2" t="str">
        <f t="shared" ca="1" si="2"/>
        <v>Error?</v>
      </c>
    </row>
    <row r="209" spans="1:4" x14ac:dyDescent="0.2">
      <c r="A209" s="10">
        <v>148</v>
      </c>
      <c r="D209" s="2" t="str">
        <f t="shared" si="2"/>
        <v>OK</v>
      </c>
    </row>
    <row r="210" spans="1:4" x14ac:dyDescent="0.2">
      <c r="A210" s="10">
        <v>149</v>
      </c>
      <c r="D210" s="2" t="str">
        <f t="shared" si="2"/>
        <v>OK</v>
      </c>
    </row>
    <row r="211" spans="1:4" x14ac:dyDescent="0.2">
      <c r="A211" s="5">
        <v>150</v>
      </c>
      <c r="B211" s="138">
        <f ca="1">'Assets-Liab 5-6'!H34</f>
        <v>0</v>
      </c>
      <c r="C211" s="2" t="s">
        <v>573</v>
      </c>
      <c r="D211" s="2" t="str">
        <f t="shared" ca="1" si="2"/>
        <v>Error?</v>
      </c>
    </row>
    <row r="212" spans="1:4" x14ac:dyDescent="0.2">
      <c r="A212" s="5">
        <v>151</v>
      </c>
      <c r="B212" s="138">
        <f>'Assets-Liab 5-6'!H39</f>
        <v>0</v>
      </c>
      <c r="D212" s="2" t="str">
        <f t="shared" si="2"/>
        <v>Error?</v>
      </c>
    </row>
    <row r="213" spans="1:4" x14ac:dyDescent="0.2">
      <c r="A213" s="12">
        <v>152</v>
      </c>
      <c r="B213" s="138">
        <f ca="1">'Assets-Liab 5-6'!H41</f>
        <v>0</v>
      </c>
      <c r="C213" s="2" t="s">
        <v>573</v>
      </c>
      <c r="D213" s="2" t="str">
        <f t="shared" ca="1"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1150441</v>
      </c>
      <c r="D273" s="2" t="str">
        <f t="shared" si="3"/>
        <v>Error?</v>
      </c>
    </row>
    <row r="274" spans="1:4" x14ac:dyDescent="0.2">
      <c r="A274" s="5">
        <v>213</v>
      </c>
      <c r="B274" s="138">
        <f>'Assets-Liab 5-6'!M17</f>
        <v>30541694</v>
      </c>
      <c r="D274" s="2" t="str">
        <f t="shared" si="3"/>
        <v>Error?</v>
      </c>
    </row>
    <row r="275" spans="1:4" x14ac:dyDescent="0.2">
      <c r="A275" s="5">
        <v>214</v>
      </c>
      <c r="B275" s="138">
        <f>'Assets-Liab 5-6'!M18</f>
        <v>247931</v>
      </c>
      <c r="D275" s="2" t="str">
        <f t="shared" si="3"/>
        <v>Error?</v>
      </c>
    </row>
    <row r="276" spans="1:4" x14ac:dyDescent="0.2">
      <c r="A276" s="5">
        <v>215</v>
      </c>
      <c r="B276" s="138">
        <f>'Assets-Liab 5-6'!M19</f>
        <v>2415566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34355632</v>
      </c>
      <c r="C279" s="2" t="s">
        <v>573</v>
      </c>
      <c r="D279" s="2" t="str">
        <f t="shared" si="3"/>
        <v>Error?</v>
      </c>
    </row>
    <row r="280" spans="1:4" x14ac:dyDescent="0.2">
      <c r="A280" s="5">
        <v>219</v>
      </c>
      <c r="B280" s="138">
        <f>'Assets-Liab 5-6'!M40</f>
        <v>34355632</v>
      </c>
      <c r="D280" s="2" t="str">
        <f t="shared" si="3"/>
        <v>Error?</v>
      </c>
    </row>
    <row r="281" spans="1:4" x14ac:dyDescent="0.2">
      <c r="A281" s="5">
        <v>220</v>
      </c>
      <c r="B281" s="138">
        <f>'Assets-Liab 5-6'!M41</f>
        <v>34355632</v>
      </c>
      <c r="C281" s="2" t="s">
        <v>573</v>
      </c>
      <c r="D281" s="2" t="str">
        <f t="shared" si="3"/>
        <v>Error?</v>
      </c>
    </row>
    <row r="282" spans="1:4" x14ac:dyDescent="0.2">
      <c r="A282" s="5">
        <v>221</v>
      </c>
      <c r="B282" s="138">
        <f ca="1">'Assets-Liab 5-6'!N21</f>
        <v>-44746</v>
      </c>
      <c r="D282" s="2" t="str">
        <f t="shared" ca="1" si="3"/>
        <v>Error?</v>
      </c>
    </row>
    <row r="283" spans="1:4" x14ac:dyDescent="0.2">
      <c r="A283" s="5">
        <v>222</v>
      </c>
      <c r="B283" s="138">
        <f>'Assets-Liab 5-6'!N22</f>
        <v>9981271</v>
      </c>
      <c r="D283" s="2" t="str">
        <f t="shared" si="3"/>
        <v>Error?</v>
      </c>
    </row>
    <row r="284" spans="1:4" x14ac:dyDescent="0.2">
      <c r="A284" s="5">
        <v>223</v>
      </c>
      <c r="B284" s="138">
        <f ca="1">'Assets-Liab 5-6'!N23</f>
        <v>9936525</v>
      </c>
      <c r="C284" s="2" t="s">
        <v>573</v>
      </c>
      <c r="D284" s="2" t="str">
        <f t="shared" ca="1" si="3"/>
        <v>Error?</v>
      </c>
    </row>
    <row r="285" spans="1:4" x14ac:dyDescent="0.2">
      <c r="A285" s="5">
        <v>224</v>
      </c>
      <c r="B285" s="138">
        <f>'Assets-Liab 5-6'!N36</f>
        <v>9936525</v>
      </c>
      <c r="D285" s="2" t="str">
        <f t="shared" si="3"/>
        <v>Error?</v>
      </c>
    </row>
    <row r="286" spans="1:4" x14ac:dyDescent="0.2">
      <c r="A286" s="10">
        <v>225</v>
      </c>
      <c r="D286" s="2" t="str">
        <f t="shared" si="3"/>
        <v>OK</v>
      </c>
    </row>
    <row r="287" spans="1:4" x14ac:dyDescent="0.2">
      <c r="A287" s="5">
        <v>226</v>
      </c>
      <c r="B287" s="138">
        <f>'Assets-Liab 5-6'!N37</f>
        <v>9936525</v>
      </c>
      <c r="C287" s="2" t="s">
        <v>573</v>
      </c>
      <c r="D287" s="2" t="str">
        <f t="shared" si="3"/>
        <v>Error?</v>
      </c>
    </row>
    <row r="288" spans="1:4" x14ac:dyDescent="0.2">
      <c r="A288" s="5">
        <v>227</v>
      </c>
      <c r="B288" s="138">
        <f>'Assets-Liab 5-6'!N41</f>
        <v>9936525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 ca="1">'Acct Summary 7-8'!C26</f>
        <v>0</v>
      </c>
      <c r="D321" s="2" t="str">
        <f t="shared" ca="1" si="4"/>
        <v>Error?</v>
      </c>
    </row>
    <row r="322" spans="1:4" x14ac:dyDescent="0.2">
      <c r="A322" s="10">
        <v>261</v>
      </c>
      <c r="D322" s="2" t="str">
        <f t="shared" si="4"/>
        <v>OK</v>
      </c>
    </row>
    <row r="323" spans="1:4" x14ac:dyDescent="0.2">
      <c r="A323" s="5">
        <v>262</v>
      </c>
      <c r="B323" s="138">
        <f ca="1">'Acct Summary 7-8'!C33</f>
        <v>0</v>
      </c>
      <c r="D323" s="2" t="str">
        <f t="shared" ca="1" si="4"/>
        <v>Error?</v>
      </c>
    </row>
    <row r="324" spans="1:4" x14ac:dyDescent="0.2">
      <c r="A324" s="5">
        <v>263</v>
      </c>
      <c r="B324" s="138">
        <f ca="1">'Acct Summary 7-8'!C34</f>
        <v>0</v>
      </c>
      <c r="D324" s="2" t="str">
        <f t="shared" ca="1" si="4"/>
        <v>Error?</v>
      </c>
    </row>
    <row r="325" spans="1:4" x14ac:dyDescent="0.2">
      <c r="A325" s="5">
        <v>264</v>
      </c>
      <c r="B325" s="138">
        <f ca="1">'Acct Summary 7-8'!C35</f>
        <v>0</v>
      </c>
      <c r="D325" s="2" t="str">
        <f t="shared" ca="1"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 ca="1">'Acct Summary 7-8'!D26</f>
        <v>0</v>
      </c>
      <c r="D432" s="2" t="str">
        <f t="shared" ca="1"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 ca="1">'Acct Summary 7-8'!E34</f>
        <v>79732</v>
      </c>
      <c r="D500" s="2" t="str">
        <f t="shared" ca="1" si="6"/>
        <v>Error?</v>
      </c>
    </row>
    <row r="501" spans="1:4" x14ac:dyDescent="0.2">
      <c r="A501" s="5">
        <v>440</v>
      </c>
      <c r="B501" s="138">
        <f ca="1">'Acct Summary 7-8'!E35</f>
        <v>0</v>
      </c>
      <c r="D501" s="2" t="str">
        <f t="shared" ca="1"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 ca="1">'Acct Summary 7-8'!H33</f>
        <v>0</v>
      </c>
      <c r="D618" s="2" t="str">
        <f t="shared" ca="1" si="8"/>
        <v>Error?</v>
      </c>
    </row>
    <row r="619" spans="1:4" x14ac:dyDescent="0.2">
      <c r="A619" s="5">
        <v>558</v>
      </c>
      <c r="B619" s="138">
        <f ca="1">'Acct Summary 7-8'!H34</f>
        <v>0</v>
      </c>
      <c r="D619" s="2" t="str">
        <f t="shared" ca="1" si="8"/>
        <v>Error?</v>
      </c>
    </row>
    <row r="620" spans="1:4" x14ac:dyDescent="0.2">
      <c r="A620" s="5">
        <v>559</v>
      </c>
      <c r="B620" s="138">
        <f ca="1">'Acct Summary 7-8'!H35</f>
        <v>0</v>
      </c>
      <c r="D620" s="2" t="str">
        <f t="shared" ca="1"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 ca="1">'Acct Summary 7-8'!I33</f>
        <v>0</v>
      </c>
      <c r="D651" s="2" t="str">
        <f t="shared" ca="1" si="9"/>
        <v>Error?</v>
      </c>
    </row>
    <row r="652" spans="1:4" x14ac:dyDescent="0.2">
      <c r="A652" s="5">
        <v>591</v>
      </c>
      <c r="B652" s="138">
        <f ca="1">'Acct Summary 7-8'!I34</f>
        <v>0</v>
      </c>
      <c r="D652" s="2" t="str">
        <f t="shared" ca="1" si="9"/>
        <v>Error?</v>
      </c>
    </row>
    <row r="653" spans="1:4" x14ac:dyDescent="0.2">
      <c r="A653" s="5">
        <v>592</v>
      </c>
      <c r="B653" s="138">
        <f ca="1">'Acct Summary 7-8'!I35</f>
        <v>0</v>
      </c>
      <c r="D653" s="2" t="str">
        <f t="shared" ca="1"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 ca="1">'Expenditures 15-22'!C5</f>
        <v>5466263</v>
      </c>
      <c r="D705" s="2" t="str">
        <f t="shared" ca="1" si="10"/>
        <v>Error?</v>
      </c>
    </row>
    <row r="706" spans="1:4" x14ac:dyDescent="0.2">
      <c r="A706" s="5">
        <v>645</v>
      </c>
      <c r="B706" s="138">
        <f ca="1">'Expenditures 15-22'!C16</f>
        <v>0</v>
      </c>
      <c r="D706" s="2" t="str">
        <f t="shared" ca="1"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 ca="1">'Expenditures 15-22'!C18</f>
        <v>0</v>
      </c>
      <c r="D712" s="2" t="str">
        <f t="shared" ca="1"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 ca="1">'Expenditures 15-22'!C12</f>
        <v>0</v>
      </c>
      <c r="D716" s="2" t="str">
        <f t="shared" ca="1" si="10"/>
        <v>Error?</v>
      </c>
    </row>
    <row r="717" spans="1:4" x14ac:dyDescent="0.2">
      <c r="A717" s="5">
        <v>656</v>
      </c>
      <c r="B717" s="138">
        <f ca="1">'Expenditures 15-22'!C13</f>
        <v>0</v>
      </c>
      <c r="D717" s="2" t="str">
        <f t="shared" ca="1" si="10"/>
        <v>Error?</v>
      </c>
    </row>
    <row r="718" spans="1:4" x14ac:dyDescent="0.2">
      <c r="A718" s="5">
        <v>657</v>
      </c>
      <c r="B718" s="138">
        <f ca="1">'Expenditures 15-22'!C14</f>
        <v>122702</v>
      </c>
      <c r="D718" s="2" t="str">
        <f t="shared" ca="1" si="10"/>
        <v>Error?</v>
      </c>
    </row>
    <row r="719" spans="1:4" x14ac:dyDescent="0.2">
      <c r="A719" s="5">
        <v>658</v>
      </c>
      <c r="B719" s="138">
        <f ca="1">'Expenditures 15-22'!C15</f>
        <v>0</v>
      </c>
      <c r="D719" s="2" t="str">
        <f t="shared" ca="1" si="10"/>
        <v>Error?</v>
      </c>
    </row>
    <row r="720" spans="1:4" x14ac:dyDescent="0.2">
      <c r="A720" s="5">
        <v>659</v>
      </c>
      <c r="B720" s="138">
        <f ca="1">'Expenditures 15-22'!C33</f>
        <v>8583347</v>
      </c>
      <c r="C720" s="2" t="s">
        <v>573</v>
      </c>
      <c r="D720" s="2" t="str">
        <f t="shared" ca="1" si="10"/>
        <v>Error?</v>
      </c>
    </row>
    <row r="721" spans="1:4" x14ac:dyDescent="0.2">
      <c r="A721" s="5">
        <v>660</v>
      </c>
      <c r="B721" s="138">
        <f ca="1">'Expenditures 15-22'!C36</f>
        <v>281917</v>
      </c>
      <c r="D721" s="2" t="str">
        <f t="shared" ca="1" si="10"/>
        <v>Error?</v>
      </c>
    </row>
    <row r="722" spans="1:4" x14ac:dyDescent="0.2">
      <c r="A722" s="5">
        <v>661</v>
      </c>
      <c r="B722" s="138">
        <f ca="1">'Expenditures 15-22'!C37</f>
        <v>145919</v>
      </c>
      <c r="D722" s="2" t="str">
        <f t="shared" ca="1" si="10"/>
        <v>Error?</v>
      </c>
    </row>
    <row r="723" spans="1:4" x14ac:dyDescent="0.2">
      <c r="A723" s="5">
        <v>662</v>
      </c>
      <c r="B723" s="138">
        <f ca="1">'Expenditures 15-22'!C38</f>
        <v>118756</v>
      </c>
      <c r="D723" s="2" t="str">
        <f t="shared" ca="1" si="10"/>
        <v>Error?</v>
      </c>
    </row>
    <row r="724" spans="1:4" x14ac:dyDescent="0.2">
      <c r="A724" s="5">
        <v>663</v>
      </c>
      <c r="B724" s="138">
        <f ca="1">'Expenditures 15-22'!C39</f>
        <v>249766</v>
      </c>
      <c r="D724" s="2" t="str">
        <f t="shared" ca="1" si="10"/>
        <v>Error?</v>
      </c>
    </row>
    <row r="725" spans="1:4" x14ac:dyDescent="0.2">
      <c r="A725" s="5">
        <v>664</v>
      </c>
      <c r="B725" s="138">
        <f ca="1">'Expenditures 15-22'!C40</f>
        <v>346751</v>
      </c>
      <c r="D725" s="2" t="str">
        <f t="shared" ca="1" si="10"/>
        <v>Error?</v>
      </c>
    </row>
    <row r="726" spans="1:4" x14ac:dyDescent="0.2">
      <c r="A726" s="5">
        <v>665</v>
      </c>
      <c r="B726" s="138">
        <f ca="1">'Expenditures 15-22'!C41</f>
        <v>0</v>
      </c>
      <c r="D726" s="2" t="str">
        <f t="shared" ca="1" si="10"/>
        <v>Error?</v>
      </c>
    </row>
    <row r="727" spans="1:4" x14ac:dyDescent="0.2">
      <c r="A727" s="5">
        <v>666</v>
      </c>
      <c r="B727" s="138">
        <f ca="1">'Expenditures 15-22'!C42</f>
        <v>1143109</v>
      </c>
      <c r="C727" s="2" t="s">
        <v>573</v>
      </c>
      <c r="D727" s="2" t="str">
        <f t="shared" ca="1" si="10"/>
        <v>Error?</v>
      </c>
    </row>
    <row r="728" spans="1:4" x14ac:dyDescent="0.2">
      <c r="A728" s="5">
        <v>667</v>
      </c>
      <c r="B728" s="138">
        <f ca="1">'Expenditures 15-22'!C44</f>
        <v>24244</v>
      </c>
      <c r="D728" s="2" t="str">
        <f t="shared" ca="1" si="10"/>
        <v>Error?</v>
      </c>
    </row>
    <row r="729" spans="1:4" x14ac:dyDescent="0.2">
      <c r="A729" s="5">
        <v>668</v>
      </c>
      <c r="B729" s="138">
        <f ca="1">'Expenditures 15-22'!C45</f>
        <v>323578</v>
      </c>
      <c r="D729" s="2" t="str">
        <f t="shared" ca="1" si="10"/>
        <v>Error?</v>
      </c>
    </row>
    <row r="730" spans="1:4" x14ac:dyDescent="0.2">
      <c r="A730" s="5">
        <v>669</v>
      </c>
      <c r="B730" s="138">
        <f ca="1">'Expenditures 15-22'!C46</f>
        <v>0</v>
      </c>
      <c r="D730" s="2" t="str">
        <f t="shared" ca="1" si="10"/>
        <v>Error?</v>
      </c>
    </row>
    <row r="731" spans="1:4" x14ac:dyDescent="0.2">
      <c r="A731" s="5">
        <v>670</v>
      </c>
      <c r="B731" s="138">
        <f ca="1">'Expenditures 15-22'!C47</f>
        <v>347822</v>
      </c>
      <c r="C731" s="2" t="s">
        <v>573</v>
      </c>
      <c r="D731" s="2" t="str">
        <f t="shared" ca="1" si="10"/>
        <v>Error?</v>
      </c>
    </row>
    <row r="732" spans="1:4" x14ac:dyDescent="0.2">
      <c r="A732" s="5">
        <v>671</v>
      </c>
      <c r="B732" s="138">
        <f ca="1">'Expenditures 15-22'!C49</f>
        <v>1620</v>
      </c>
      <c r="D732" s="2" t="str">
        <f t="shared" ca="1" si="10"/>
        <v>Error?</v>
      </c>
    </row>
    <row r="733" spans="1:4" x14ac:dyDescent="0.2">
      <c r="A733" s="5">
        <v>672</v>
      </c>
      <c r="B733" s="138">
        <f ca="1">'Expenditures 15-22'!C50</f>
        <v>220275</v>
      </c>
      <c r="D733" s="2" t="str">
        <f t="shared" ca="1" si="10"/>
        <v>Error?</v>
      </c>
    </row>
    <row r="734" spans="1:4" x14ac:dyDescent="0.2">
      <c r="A734" s="5">
        <v>673</v>
      </c>
      <c r="B734" s="138">
        <f ca="1">'Expenditures 15-22'!C53</f>
        <v>221895</v>
      </c>
      <c r="C734" s="2" t="s">
        <v>573</v>
      </c>
      <c r="D734" s="2" t="str">
        <f t="shared" ca="1" si="10"/>
        <v>Error?</v>
      </c>
    </row>
    <row r="735" spans="1:4" x14ac:dyDescent="0.2">
      <c r="A735" s="5">
        <v>674</v>
      </c>
      <c r="B735" s="138">
        <f ca="1">'Expenditures 15-22'!C55</f>
        <v>677830</v>
      </c>
      <c r="D735" s="2" t="str">
        <f t="shared" ca="1" si="10"/>
        <v>Error?</v>
      </c>
    </row>
    <row r="736" spans="1:4" x14ac:dyDescent="0.2">
      <c r="A736" s="5">
        <v>675</v>
      </c>
      <c r="B736" s="138">
        <f ca="1">'Expenditures 15-22'!C56</f>
        <v>0</v>
      </c>
      <c r="D736" s="2" t="str">
        <f t="shared" ca="1" si="10"/>
        <v>Error?</v>
      </c>
    </row>
    <row r="737" spans="1:4" x14ac:dyDescent="0.2">
      <c r="A737" s="5">
        <v>676</v>
      </c>
      <c r="B737" s="138">
        <f ca="1">'Expenditures 15-22'!C57</f>
        <v>677830</v>
      </c>
      <c r="C737" s="2" t="s">
        <v>573</v>
      </c>
      <c r="D737" s="2" t="str">
        <f t="shared" ca="1" si="10"/>
        <v>Error?</v>
      </c>
    </row>
    <row r="738" spans="1:4" x14ac:dyDescent="0.2">
      <c r="A738" s="5">
        <v>677</v>
      </c>
      <c r="B738" s="138">
        <f ca="1">'Expenditures 15-22'!C59</f>
        <v>0</v>
      </c>
      <c r="D738" s="2" t="str">
        <f t="shared" ca="1" si="10"/>
        <v>Error?</v>
      </c>
    </row>
    <row r="739" spans="1:4" x14ac:dyDescent="0.2">
      <c r="A739" s="5">
        <v>678</v>
      </c>
      <c r="B739" s="138">
        <f ca="1">'Expenditures 15-22'!C60</f>
        <v>98789</v>
      </c>
      <c r="D739" s="2" t="str">
        <f t="shared" ca="1" si="10"/>
        <v>Error?</v>
      </c>
    </row>
    <row r="740" spans="1:4" x14ac:dyDescent="0.2">
      <c r="A740" s="5">
        <v>679</v>
      </c>
      <c r="B740" s="138">
        <f ca="1">'Expenditures 15-22'!C61</f>
        <v>0</v>
      </c>
      <c r="D740" s="2" t="str">
        <f t="shared" ca="1" si="10"/>
        <v>Error?</v>
      </c>
    </row>
    <row r="741" spans="1:4" x14ac:dyDescent="0.2">
      <c r="A741" s="5">
        <v>680</v>
      </c>
      <c r="B741" s="138">
        <f ca="1">'Expenditures 15-22'!C62</f>
        <v>0</v>
      </c>
      <c r="D741" s="2" t="str">
        <f t="shared" ca="1" si="10"/>
        <v>Error?</v>
      </c>
    </row>
    <row r="742" spans="1:4" x14ac:dyDescent="0.2">
      <c r="A742" s="5">
        <v>681</v>
      </c>
      <c r="B742" s="138">
        <f ca="1">'Expenditures 15-22'!C63</f>
        <v>182516</v>
      </c>
      <c r="D742" s="2" t="str">
        <f t="shared" ca="1" si="10"/>
        <v>Error?</v>
      </c>
    </row>
    <row r="743" spans="1:4" x14ac:dyDescent="0.2">
      <c r="A743" s="5">
        <v>682</v>
      </c>
      <c r="B743" s="138">
        <f ca="1">'Expenditures 15-22'!C64</f>
        <v>0</v>
      </c>
      <c r="D743" s="2" t="str">
        <f t="shared" ca="1" si="10"/>
        <v>Error?</v>
      </c>
    </row>
    <row r="744" spans="1:4" x14ac:dyDescent="0.2">
      <c r="A744" s="10">
        <v>683</v>
      </c>
      <c r="D744" s="2" t="str">
        <f t="shared" si="10"/>
        <v>OK</v>
      </c>
    </row>
    <row r="745" spans="1:4" x14ac:dyDescent="0.2">
      <c r="A745" s="5">
        <v>684</v>
      </c>
      <c r="B745" s="138">
        <f ca="1">'Expenditures 15-22'!C65</f>
        <v>281305</v>
      </c>
      <c r="C745" s="2" t="s">
        <v>573</v>
      </c>
      <c r="D745" s="2" t="str">
        <f t="shared" ca="1" si="10"/>
        <v>Error?</v>
      </c>
    </row>
    <row r="746" spans="1:4" x14ac:dyDescent="0.2">
      <c r="A746" s="5">
        <v>685</v>
      </c>
      <c r="B746" s="138">
        <f ca="1">'Expenditures 15-22'!C67</f>
        <v>0</v>
      </c>
      <c r="D746" s="2" t="str">
        <f t="shared" ca="1" si="10"/>
        <v>Error?</v>
      </c>
    </row>
    <row r="747" spans="1:4" x14ac:dyDescent="0.2">
      <c r="A747" s="5">
        <v>686</v>
      </c>
      <c r="B747" s="138">
        <f ca="1">'Expenditures 15-22'!C68</f>
        <v>0</v>
      </c>
      <c r="D747" s="2" t="str">
        <f t="shared" ca="1" si="10"/>
        <v>Error?</v>
      </c>
    </row>
    <row r="748" spans="1:4" x14ac:dyDescent="0.2">
      <c r="A748" s="5">
        <v>687</v>
      </c>
      <c r="B748" s="138">
        <f ca="1">'Expenditures 15-22'!C69</f>
        <v>0</v>
      </c>
      <c r="D748" s="2" t="str">
        <f t="shared" ca="1" si="10"/>
        <v>Error?</v>
      </c>
    </row>
    <row r="749" spans="1:4" x14ac:dyDescent="0.2">
      <c r="A749" s="5">
        <v>688</v>
      </c>
      <c r="B749" s="138">
        <f ca="1">'Expenditures 15-22'!C70</f>
        <v>3275</v>
      </c>
      <c r="D749" s="2" t="str">
        <f t="shared" ca="1" si="10"/>
        <v>Error?</v>
      </c>
    </row>
    <row r="750" spans="1:4" x14ac:dyDescent="0.2">
      <c r="A750" s="10">
        <v>689</v>
      </c>
      <c r="D750" s="2" t="str">
        <f t="shared" si="10"/>
        <v>OK</v>
      </c>
    </row>
    <row r="751" spans="1:4" x14ac:dyDescent="0.2">
      <c r="A751" s="5">
        <v>690</v>
      </c>
      <c r="B751" s="138">
        <f ca="1">'Expenditures 15-22'!C71</f>
        <v>0</v>
      </c>
      <c r="D751" s="2" t="str">
        <f t="shared" ca="1" si="10"/>
        <v>Error?</v>
      </c>
    </row>
    <row r="752" spans="1:4" x14ac:dyDescent="0.2">
      <c r="A752" s="10">
        <v>691</v>
      </c>
      <c r="D752" s="2" t="str">
        <f t="shared" si="10"/>
        <v>OK</v>
      </c>
    </row>
    <row r="753" spans="1:4" x14ac:dyDescent="0.2">
      <c r="A753" s="5">
        <v>692</v>
      </c>
      <c r="B753" s="138">
        <f ca="1">'Expenditures 15-22'!C72</f>
        <v>3275</v>
      </c>
      <c r="C753" s="2" t="s">
        <v>573</v>
      </c>
      <c r="D753" s="2" t="str">
        <f t="shared" ca="1" si="10"/>
        <v>Error?</v>
      </c>
    </row>
    <row r="754" spans="1:4" x14ac:dyDescent="0.2">
      <c r="A754" s="5">
        <v>693</v>
      </c>
      <c r="B754" s="138">
        <f ca="1">'Expenditures 15-22'!C73</f>
        <v>0</v>
      </c>
      <c r="D754" s="2" t="str">
        <f t="shared" ca="1" si="10"/>
        <v>Error?</v>
      </c>
    </row>
    <row r="755" spans="1:4" x14ac:dyDescent="0.2">
      <c r="A755" s="5">
        <v>694</v>
      </c>
      <c r="B755" s="138">
        <f ca="1">'Expenditures 15-22'!C74</f>
        <v>2675236</v>
      </c>
      <c r="C755" s="2" t="s">
        <v>573</v>
      </c>
      <c r="D755" s="2" t="str">
        <f t="shared" ca="1" si="10"/>
        <v>Error?</v>
      </c>
    </row>
    <row r="756" spans="1:4" x14ac:dyDescent="0.2">
      <c r="A756" s="5">
        <v>695</v>
      </c>
      <c r="B756" s="138">
        <f ca="1">'Expenditures 15-22'!C75</f>
        <v>0</v>
      </c>
      <c r="D756" s="2" t="str">
        <f t="shared" ca="1" si="10"/>
        <v>Error?</v>
      </c>
    </row>
    <row r="757" spans="1:4" x14ac:dyDescent="0.2">
      <c r="A757" s="5">
        <v>696</v>
      </c>
      <c r="B757" s="138">
        <f ca="1">'Expenditures 15-22'!C114</f>
        <v>11258583</v>
      </c>
      <c r="C757" s="2" t="s">
        <v>573</v>
      </c>
      <c r="D757" s="2" t="str">
        <f t="shared" ca="1"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 ca="1">'Expenditures 15-22'!D5</f>
        <v>1516960</v>
      </c>
      <c r="D763" s="2" t="str">
        <f t="shared" ca="1" si="10"/>
        <v>Error?</v>
      </c>
    </row>
    <row r="764" spans="1:4" x14ac:dyDescent="0.2">
      <c r="A764" s="5">
        <v>703</v>
      </c>
      <c r="B764" s="138">
        <f ca="1">'Expenditures 15-22'!D16</f>
        <v>0</v>
      </c>
      <c r="D764" s="2" t="str">
        <f t="shared" ca="1"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 ca="1">'Expenditures 15-22'!D18</f>
        <v>0</v>
      </c>
      <c r="D770" s="2" t="str">
        <f t="shared" ca="1"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 ca="1">'Expenditures 15-22'!D12</f>
        <v>0</v>
      </c>
      <c r="D774" s="2" t="str">
        <f t="shared" ca="1" si="11"/>
        <v>Error?</v>
      </c>
    </row>
    <row r="775" spans="1:4" x14ac:dyDescent="0.2">
      <c r="A775" s="5">
        <v>714</v>
      </c>
      <c r="B775" s="138">
        <f ca="1">'Expenditures 15-22'!D13</f>
        <v>0</v>
      </c>
      <c r="D775" s="2" t="str">
        <f t="shared" ca="1" si="11"/>
        <v>Error?</v>
      </c>
    </row>
    <row r="776" spans="1:4" x14ac:dyDescent="0.2">
      <c r="A776" s="5">
        <v>715</v>
      </c>
      <c r="B776" s="138">
        <f ca="1">'Expenditures 15-22'!D14</f>
        <v>25182</v>
      </c>
      <c r="D776" s="2" t="str">
        <f t="shared" ca="1" si="11"/>
        <v>Error?</v>
      </c>
    </row>
    <row r="777" spans="1:4" x14ac:dyDescent="0.2">
      <c r="A777" s="5">
        <v>716</v>
      </c>
      <c r="B777" s="138">
        <f ca="1">'Expenditures 15-22'!D15</f>
        <v>0</v>
      </c>
      <c r="D777" s="2" t="str">
        <f t="shared" ca="1" si="11"/>
        <v>Error?</v>
      </c>
    </row>
    <row r="778" spans="1:4" x14ac:dyDescent="0.2">
      <c r="A778" s="5">
        <v>717</v>
      </c>
      <c r="B778" s="138">
        <f ca="1">'Expenditures 15-22'!D33</f>
        <v>2453703</v>
      </c>
      <c r="C778" s="2" t="s">
        <v>573</v>
      </c>
      <c r="D778" s="2" t="str">
        <f t="shared" ca="1" si="11"/>
        <v>Error?</v>
      </c>
    </row>
    <row r="779" spans="1:4" x14ac:dyDescent="0.2">
      <c r="A779" s="5">
        <v>718</v>
      </c>
      <c r="B779" s="138">
        <f ca="1">'Expenditures 15-22'!D36</f>
        <v>103676</v>
      </c>
      <c r="D779" s="2" t="str">
        <f t="shared" ca="1" si="11"/>
        <v>Error?</v>
      </c>
    </row>
    <row r="780" spans="1:4" x14ac:dyDescent="0.2">
      <c r="A780" s="5">
        <v>719</v>
      </c>
      <c r="B780" s="138">
        <f ca="1">'Expenditures 15-22'!D37</f>
        <v>33419</v>
      </c>
      <c r="D780" s="2" t="str">
        <f t="shared" ca="1" si="11"/>
        <v>Error?</v>
      </c>
    </row>
    <row r="781" spans="1:4" x14ac:dyDescent="0.2">
      <c r="A781" s="5">
        <v>720</v>
      </c>
      <c r="B781" s="138">
        <f ca="1">'Expenditures 15-22'!D38</f>
        <v>23386</v>
      </c>
      <c r="D781" s="2" t="str">
        <f t="shared" ca="1" si="11"/>
        <v>Error?</v>
      </c>
    </row>
    <row r="782" spans="1:4" x14ac:dyDescent="0.2">
      <c r="A782" s="5">
        <v>721</v>
      </c>
      <c r="B782" s="138">
        <f ca="1">'Expenditures 15-22'!D39</f>
        <v>89569</v>
      </c>
      <c r="D782" s="2" t="str">
        <f t="shared" ca="1" si="11"/>
        <v>Error?</v>
      </c>
    </row>
    <row r="783" spans="1:4" x14ac:dyDescent="0.2">
      <c r="A783" s="5">
        <v>722</v>
      </c>
      <c r="B783" s="138">
        <f ca="1">'Expenditures 15-22'!D40</f>
        <v>85991</v>
      </c>
      <c r="D783" s="2" t="str">
        <f t="shared" ca="1" si="11"/>
        <v>Error?</v>
      </c>
    </row>
    <row r="784" spans="1:4" x14ac:dyDescent="0.2">
      <c r="A784" s="5">
        <v>723</v>
      </c>
      <c r="B784" s="138">
        <f ca="1">'Expenditures 15-22'!D41</f>
        <v>0</v>
      </c>
      <c r="D784" s="2" t="str">
        <f t="shared" ca="1" si="11"/>
        <v>Error?</v>
      </c>
    </row>
    <row r="785" spans="1:4" x14ac:dyDescent="0.2">
      <c r="A785" s="5">
        <v>724</v>
      </c>
      <c r="B785" s="138">
        <f ca="1">'Expenditures 15-22'!D42</f>
        <v>336041</v>
      </c>
      <c r="C785" s="2" t="s">
        <v>573</v>
      </c>
      <c r="D785" s="2" t="str">
        <f t="shared" ca="1" si="11"/>
        <v>Error?</v>
      </c>
    </row>
    <row r="786" spans="1:4" x14ac:dyDescent="0.2">
      <c r="A786" s="5">
        <v>725</v>
      </c>
      <c r="B786" s="138">
        <f ca="1">'Expenditures 15-22'!D44</f>
        <v>1806</v>
      </c>
      <c r="D786" s="2" t="str">
        <f t="shared" ca="1" si="11"/>
        <v>Error?</v>
      </c>
    </row>
    <row r="787" spans="1:4" x14ac:dyDescent="0.2">
      <c r="A787" s="5">
        <v>726</v>
      </c>
      <c r="B787" s="138">
        <f ca="1">'Expenditures 15-22'!D45</f>
        <v>96875</v>
      </c>
      <c r="D787" s="2" t="str">
        <f t="shared" ca="1" si="11"/>
        <v>Error?</v>
      </c>
    </row>
    <row r="788" spans="1:4" x14ac:dyDescent="0.2">
      <c r="A788" s="5">
        <v>727</v>
      </c>
      <c r="B788" s="138">
        <f ca="1">'Expenditures 15-22'!D46</f>
        <v>0</v>
      </c>
      <c r="D788" s="2" t="str">
        <f t="shared" ca="1" si="11"/>
        <v>Error?</v>
      </c>
    </row>
    <row r="789" spans="1:4" x14ac:dyDescent="0.2">
      <c r="A789" s="5">
        <v>728</v>
      </c>
      <c r="B789" s="138">
        <f ca="1">'Expenditures 15-22'!D47</f>
        <v>98681</v>
      </c>
      <c r="C789" s="2" t="s">
        <v>573</v>
      </c>
      <c r="D789" s="2" t="str">
        <f t="shared" ca="1" si="11"/>
        <v>Error?</v>
      </c>
    </row>
    <row r="790" spans="1:4" x14ac:dyDescent="0.2">
      <c r="A790" s="5">
        <v>729</v>
      </c>
      <c r="B790" s="138">
        <f ca="1">'Expenditures 15-22'!D49</f>
        <v>0</v>
      </c>
      <c r="D790" s="2" t="str">
        <f t="shared" ca="1" si="11"/>
        <v>Error?</v>
      </c>
    </row>
    <row r="791" spans="1:4" x14ac:dyDescent="0.2">
      <c r="A791" s="5">
        <v>730</v>
      </c>
      <c r="B791" s="138">
        <f ca="1">'Expenditures 15-22'!D50</f>
        <v>58483</v>
      </c>
      <c r="D791" s="2" t="str">
        <f t="shared" ca="1" si="11"/>
        <v>Error?</v>
      </c>
    </row>
    <row r="792" spans="1:4" x14ac:dyDescent="0.2">
      <c r="A792" s="5">
        <v>731</v>
      </c>
      <c r="B792" s="138">
        <f ca="1">'Expenditures 15-22'!D53</f>
        <v>58483</v>
      </c>
      <c r="C792" s="2" t="s">
        <v>573</v>
      </c>
      <c r="D792" s="2" t="str">
        <f t="shared" ca="1" si="11"/>
        <v>Error?</v>
      </c>
    </row>
    <row r="793" spans="1:4" x14ac:dyDescent="0.2">
      <c r="A793" s="5">
        <v>732</v>
      </c>
      <c r="B793" s="138">
        <f ca="1">'Expenditures 15-22'!D55</f>
        <v>259383</v>
      </c>
      <c r="D793" s="2" t="str">
        <f t="shared" ca="1" si="11"/>
        <v>Error?</v>
      </c>
    </row>
    <row r="794" spans="1:4" x14ac:dyDescent="0.2">
      <c r="A794" s="5">
        <v>733</v>
      </c>
      <c r="B794" s="138">
        <f ca="1">'Expenditures 15-22'!D56</f>
        <v>0</v>
      </c>
      <c r="D794" s="2" t="str">
        <f t="shared" ca="1" si="11"/>
        <v>Error?</v>
      </c>
    </row>
    <row r="795" spans="1:4" x14ac:dyDescent="0.2">
      <c r="A795" s="5">
        <v>734</v>
      </c>
      <c r="B795" s="138">
        <f ca="1">'Expenditures 15-22'!D57</f>
        <v>259383</v>
      </c>
      <c r="C795" s="2" t="s">
        <v>573</v>
      </c>
      <c r="D795" s="2" t="str">
        <f t="shared" ca="1" si="11"/>
        <v>Error?</v>
      </c>
    </row>
    <row r="796" spans="1:4" x14ac:dyDescent="0.2">
      <c r="A796" s="5">
        <v>735</v>
      </c>
      <c r="B796" s="138">
        <f ca="1">'Expenditures 15-22'!D59</f>
        <v>0</v>
      </c>
      <c r="D796" s="2" t="str">
        <f t="shared" ca="1" si="11"/>
        <v>Error?</v>
      </c>
    </row>
    <row r="797" spans="1:4" x14ac:dyDescent="0.2">
      <c r="A797" s="5">
        <v>736</v>
      </c>
      <c r="B797" s="138">
        <f ca="1">'Expenditures 15-22'!D60</f>
        <v>26731</v>
      </c>
      <c r="D797" s="2" t="str">
        <f t="shared" ca="1" si="11"/>
        <v>Error?</v>
      </c>
    </row>
    <row r="798" spans="1:4" x14ac:dyDescent="0.2">
      <c r="A798" s="5">
        <v>737</v>
      </c>
      <c r="B798" s="138">
        <f ca="1">'Expenditures 15-22'!D61</f>
        <v>0</v>
      </c>
      <c r="D798" s="2" t="str">
        <f t="shared" ca="1" si="11"/>
        <v>Error?</v>
      </c>
    </row>
    <row r="799" spans="1:4" x14ac:dyDescent="0.2">
      <c r="A799" s="5">
        <v>738</v>
      </c>
      <c r="B799" s="138">
        <f ca="1">'Expenditures 15-22'!D62</f>
        <v>0</v>
      </c>
      <c r="D799" s="2" t="str">
        <f t="shared" ca="1" si="11"/>
        <v>Error?</v>
      </c>
    </row>
    <row r="800" spans="1:4" x14ac:dyDescent="0.2">
      <c r="A800" s="5">
        <v>739</v>
      </c>
      <c r="B800" s="138">
        <f ca="1">'Expenditures 15-22'!D63</f>
        <v>53436</v>
      </c>
      <c r="D800" s="2" t="str">
        <f t="shared" ca="1" si="11"/>
        <v>Error?</v>
      </c>
    </row>
    <row r="801" spans="1:4" x14ac:dyDescent="0.2">
      <c r="A801" s="5">
        <v>740</v>
      </c>
      <c r="B801" s="138">
        <f ca="1">'Expenditures 15-22'!D64</f>
        <v>0</v>
      </c>
      <c r="D801" s="2" t="str">
        <f t="shared" ca="1" si="11"/>
        <v>Error?</v>
      </c>
    </row>
    <row r="802" spans="1:4" x14ac:dyDescent="0.2">
      <c r="A802" s="10">
        <v>741</v>
      </c>
      <c r="D802" s="2" t="str">
        <f t="shared" si="11"/>
        <v>OK</v>
      </c>
    </row>
    <row r="803" spans="1:4" x14ac:dyDescent="0.2">
      <c r="A803" s="5">
        <v>742</v>
      </c>
      <c r="B803" s="138">
        <f ca="1">'Expenditures 15-22'!D65</f>
        <v>80167</v>
      </c>
      <c r="C803" s="2" t="s">
        <v>573</v>
      </c>
      <c r="D803" s="2" t="str">
        <f t="shared" ca="1" si="11"/>
        <v>Error?</v>
      </c>
    </row>
    <row r="804" spans="1:4" x14ac:dyDescent="0.2">
      <c r="A804" s="5">
        <v>743</v>
      </c>
      <c r="B804" s="138">
        <f ca="1">'Expenditures 15-22'!D67</f>
        <v>0</v>
      </c>
      <c r="D804" s="2" t="str">
        <f t="shared" ca="1" si="11"/>
        <v>Error?</v>
      </c>
    </row>
    <row r="805" spans="1:4" x14ac:dyDescent="0.2">
      <c r="A805" s="5">
        <v>744</v>
      </c>
      <c r="B805" s="138">
        <f ca="1">'Expenditures 15-22'!D68</f>
        <v>0</v>
      </c>
      <c r="D805" s="2" t="str">
        <f t="shared" ca="1" si="11"/>
        <v>Error?</v>
      </c>
    </row>
    <row r="806" spans="1:4" x14ac:dyDescent="0.2">
      <c r="A806" s="5">
        <v>745</v>
      </c>
      <c r="B806" s="138">
        <f ca="1">'Expenditures 15-22'!D69</f>
        <v>0</v>
      </c>
      <c r="D806" s="2" t="str">
        <f t="shared" ca="1" si="11"/>
        <v>Error?</v>
      </c>
    </row>
    <row r="807" spans="1:4" x14ac:dyDescent="0.2">
      <c r="A807" s="5">
        <v>746</v>
      </c>
      <c r="B807" s="138">
        <f ca="1">'Expenditures 15-22'!D70</f>
        <v>219</v>
      </c>
      <c r="D807" s="2" t="str">
        <f t="shared" ca="1" si="11"/>
        <v>Error?</v>
      </c>
    </row>
    <row r="808" spans="1:4" x14ac:dyDescent="0.2">
      <c r="A808" s="10">
        <v>747</v>
      </c>
      <c r="D808" s="2" t="str">
        <f t="shared" si="11"/>
        <v>OK</v>
      </c>
    </row>
    <row r="809" spans="1:4" x14ac:dyDescent="0.2">
      <c r="A809" s="5">
        <v>748</v>
      </c>
      <c r="B809" s="138">
        <f ca="1">'Expenditures 15-22'!D71</f>
        <v>0</v>
      </c>
      <c r="D809" s="2" t="str">
        <f t="shared" ca="1" si="11"/>
        <v>Error?</v>
      </c>
    </row>
    <row r="810" spans="1:4" x14ac:dyDescent="0.2">
      <c r="A810" s="10">
        <v>749</v>
      </c>
      <c r="D810" s="2" t="str">
        <f t="shared" si="11"/>
        <v>OK</v>
      </c>
    </row>
    <row r="811" spans="1:4" x14ac:dyDescent="0.2">
      <c r="A811" s="5">
        <v>750</v>
      </c>
      <c r="B811" s="138">
        <f ca="1">'Expenditures 15-22'!D72</f>
        <v>219</v>
      </c>
      <c r="C811" s="2" t="s">
        <v>573</v>
      </c>
      <c r="D811" s="2" t="str">
        <f t="shared" ca="1" si="11"/>
        <v>Error?</v>
      </c>
    </row>
    <row r="812" spans="1:4" x14ac:dyDescent="0.2">
      <c r="A812" s="5">
        <v>751</v>
      </c>
      <c r="B812" s="138">
        <f ca="1">'Expenditures 15-22'!D73</f>
        <v>0</v>
      </c>
      <c r="D812" s="2" t="str">
        <f t="shared" ca="1" si="11"/>
        <v>Error?</v>
      </c>
    </row>
    <row r="813" spans="1:4" x14ac:dyDescent="0.2">
      <c r="A813" s="5">
        <v>752</v>
      </c>
      <c r="B813" s="138">
        <f ca="1">'Expenditures 15-22'!D74</f>
        <v>832974</v>
      </c>
      <c r="C813" s="2" t="s">
        <v>573</v>
      </c>
      <c r="D813" s="2" t="str">
        <f t="shared" ca="1" si="11"/>
        <v>Error?</v>
      </c>
    </row>
    <row r="814" spans="1:4" x14ac:dyDescent="0.2">
      <c r="A814" s="5">
        <v>753</v>
      </c>
      <c r="B814" s="138">
        <f ca="1">'Expenditures 15-22'!D75</f>
        <v>1562</v>
      </c>
      <c r="D814" s="2" t="str">
        <f t="shared" ca="1" si="11"/>
        <v>Error?</v>
      </c>
    </row>
    <row r="815" spans="1:4" x14ac:dyDescent="0.2">
      <c r="A815" s="5">
        <v>754</v>
      </c>
      <c r="B815" s="138">
        <f ca="1">'Expenditures 15-22'!D114</f>
        <v>3288239</v>
      </c>
      <c r="C815" s="2" t="s">
        <v>573</v>
      </c>
      <c r="D815" s="2" t="str">
        <f t="shared" ca="1"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 ca="1">'Expenditures 15-22'!E5</f>
        <v>0</v>
      </c>
      <c r="D821" s="2" t="str">
        <f t="shared" ca="1" si="11"/>
        <v>Error?</v>
      </c>
    </row>
    <row r="822" spans="1:4" x14ac:dyDescent="0.2">
      <c r="A822" s="5">
        <v>761</v>
      </c>
      <c r="B822" s="138">
        <f ca="1">'Expenditures 15-22'!E16</f>
        <v>0</v>
      </c>
      <c r="D822" s="2" t="str">
        <f t="shared" ca="1"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 ca="1">'Expenditures 15-22'!E18</f>
        <v>0</v>
      </c>
      <c r="D828" s="2" t="str">
        <f t="shared" ca="1"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 ca="1">'Expenditures 15-22'!E12</f>
        <v>0</v>
      </c>
      <c r="D832" s="2" t="str">
        <f t="shared" ca="1" si="12"/>
        <v>Error?</v>
      </c>
    </row>
    <row r="833" spans="1:4" x14ac:dyDescent="0.2">
      <c r="A833" s="5">
        <v>772</v>
      </c>
      <c r="B833" s="138">
        <f ca="1">'Expenditures 15-22'!E13</f>
        <v>0</v>
      </c>
      <c r="D833" s="2" t="str">
        <f t="shared" ca="1" si="12"/>
        <v>Error?</v>
      </c>
    </row>
    <row r="834" spans="1:4" x14ac:dyDescent="0.2">
      <c r="A834" s="5">
        <v>773</v>
      </c>
      <c r="B834" s="138">
        <f ca="1">'Expenditures 15-22'!E14</f>
        <v>10754</v>
      </c>
      <c r="D834" s="2" t="str">
        <f t="shared" ca="1" si="12"/>
        <v>Error?</v>
      </c>
    </row>
    <row r="835" spans="1:4" x14ac:dyDescent="0.2">
      <c r="A835" s="5">
        <v>774</v>
      </c>
      <c r="B835" s="138">
        <f ca="1">'Expenditures 15-22'!E15</f>
        <v>0</v>
      </c>
      <c r="D835" s="2" t="str">
        <f t="shared" ca="1" si="12"/>
        <v>Error?</v>
      </c>
    </row>
    <row r="836" spans="1:4" x14ac:dyDescent="0.2">
      <c r="A836" s="5">
        <v>775</v>
      </c>
      <c r="B836" s="138">
        <f ca="1">'Expenditures 15-22'!E33</f>
        <v>66841</v>
      </c>
      <c r="C836" s="2" t="s">
        <v>573</v>
      </c>
      <c r="D836" s="2" t="str">
        <f t="shared" ca="1" si="12"/>
        <v>Error?</v>
      </c>
    </row>
    <row r="837" spans="1:4" x14ac:dyDescent="0.2">
      <c r="A837" s="5">
        <v>776</v>
      </c>
      <c r="B837" s="138">
        <f ca="1">'Expenditures 15-22'!E36</f>
        <v>87562</v>
      </c>
      <c r="D837" s="2" t="str">
        <f t="shared" ca="1" si="12"/>
        <v>Error?</v>
      </c>
    </row>
    <row r="838" spans="1:4" x14ac:dyDescent="0.2">
      <c r="A838" s="5">
        <v>777</v>
      </c>
      <c r="B838" s="138">
        <f ca="1">'Expenditures 15-22'!E37</f>
        <v>0</v>
      </c>
      <c r="D838" s="2" t="str">
        <f t="shared" ca="1" si="12"/>
        <v>Error?</v>
      </c>
    </row>
    <row r="839" spans="1:4" x14ac:dyDescent="0.2">
      <c r="A839" s="5">
        <v>778</v>
      </c>
      <c r="B839" s="138">
        <f ca="1">'Expenditures 15-22'!E38</f>
        <v>0</v>
      </c>
      <c r="D839" s="2" t="str">
        <f t="shared" ca="1" si="12"/>
        <v>Error?</v>
      </c>
    </row>
    <row r="840" spans="1:4" x14ac:dyDescent="0.2">
      <c r="A840" s="5">
        <v>779</v>
      </c>
      <c r="B840" s="138">
        <f ca="1">'Expenditures 15-22'!E39</f>
        <v>5507</v>
      </c>
      <c r="D840" s="2" t="str">
        <f t="shared" ca="1" si="12"/>
        <v>Error?</v>
      </c>
    </row>
    <row r="841" spans="1:4" x14ac:dyDescent="0.2">
      <c r="A841" s="5">
        <v>780</v>
      </c>
      <c r="B841" s="138">
        <f ca="1">'Expenditures 15-22'!E40</f>
        <v>0</v>
      </c>
      <c r="D841" s="2" t="str">
        <f t="shared" ca="1" si="12"/>
        <v>Error?</v>
      </c>
    </row>
    <row r="842" spans="1:4" x14ac:dyDescent="0.2">
      <c r="A842" s="5">
        <v>781</v>
      </c>
      <c r="B842" s="138">
        <f ca="1">'Expenditures 15-22'!E41</f>
        <v>0</v>
      </c>
      <c r="D842" s="2" t="str">
        <f t="shared" ca="1" si="12"/>
        <v>Error?</v>
      </c>
    </row>
    <row r="843" spans="1:4" x14ac:dyDescent="0.2">
      <c r="A843" s="5">
        <v>782</v>
      </c>
      <c r="B843" s="138">
        <f ca="1">'Expenditures 15-22'!E42</f>
        <v>93069</v>
      </c>
      <c r="C843" s="2" t="s">
        <v>573</v>
      </c>
      <c r="D843" s="2" t="str">
        <f t="shared" ca="1" si="12"/>
        <v>Error?</v>
      </c>
    </row>
    <row r="844" spans="1:4" x14ac:dyDescent="0.2">
      <c r="A844" s="5">
        <v>783</v>
      </c>
      <c r="B844" s="138">
        <f ca="1">'Expenditures 15-22'!E44</f>
        <v>66933</v>
      </c>
      <c r="D844" s="2" t="str">
        <f t="shared" ca="1" si="12"/>
        <v>Error?</v>
      </c>
    </row>
    <row r="845" spans="1:4" x14ac:dyDescent="0.2">
      <c r="A845" s="5">
        <v>784</v>
      </c>
      <c r="B845" s="138">
        <f ca="1">'Expenditures 15-22'!E45</f>
        <v>254179</v>
      </c>
      <c r="D845" s="2" t="str">
        <f t="shared" ca="1" si="12"/>
        <v>Error?</v>
      </c>
    </row>
    <row r="846" spans="1:4" x14ac:dyDescent="0.2">
      <c r="A846" s="5">
        <v>785</v>
      </c>
      <c r="B846" s="138">
        <f ca="1">'Expenditures 15-22'!E46</f>
        <v>0</v>
      </c>
      <c r="D846" s="2" t="str">
        <f t="shared" ca="1" si="12"/>
        <v>Error?</v>
      </c>
    </row>
    <row r="847" spans="1:4" x14ac:dyDescent="0.2">
      <c r="A847" s="5">
        <v>786</v>
      </c>
      <c r="B847" s="138">
        <f ca="1">'Expenditures 15-22'!E47</f>
        <v>321112</v>
      </c>
      <c r="C847" s="2" t="s">
        <v>573</v>
      </c>
      <c r="D847" s="2" t="str">
        <f t="shared" ca="1" si="12"/>
        <v>Error?</v>
      </c>
    </row>
    <row r="848" spans="1:4" x14ac:dyDescent="0.2">
      <c r="A848" s="5">
        <v>787</v>
      </c>
      <c r="B848" s="138">
        <f ca="1">'Expenditures 15-22'!E49</f>
        <v>156296</v>
      </c>
      <c r="D848" s="2" t="str">
        <f t="shared" ca="1" si="12"/>
        <v>Error?</v>
      </c>
    </row>
    <row r="849" spans="1:4" x14ac:dyDescent="0.2">
      <c r="A849" s="5">
        <v>788</v>
      </c>
      <c r="B849" s="138">
        <f ca="1">'Expenditures 15-22'!E50</f>
        <v>11302</v>
      </c>
      <c r="D849" s="2" t="str">
        <f t="shared" ca="1" si="12"/>
        <v>Error?</v>
      </c>
    </row>
    <row r="850" spans="1:4" x14ac:dyDescent="0.2">
      <c r="A850" s="5">
        <v>789</v>
      </c>
      <c r="B850" s="138">
        <f ca="1">'Expenditures 15-22'!E53</f>
        <v>167598</v>
      </c>
      <c r="C850" s="2" t="s">
        <v>573</v>
      </c>
      <c r="D850" s="2" t="str">
        <f t="shared" ca="1" si="12"/>
        <v>Error?</v>
      </c>
    </row>
    <row r="851" spans="1:4" x14ac:dyDescent="0.2">
      <c r="A851" s="5">
        <v>790</v>
      </c>
      <c r="B851" s="138">
        <f ca="1">'Expenditures 15-22'!E55</f>
        <v>12849</v>
      </c>
      <c r="D851" s="2" t="str">
        <f t="shared" ca="1" si="12"/>
        <v>Error?</v>
      </c>
    </row>
    <row r="852" spans="1:4" x14ac:dyDescent="0.2">
      <c r="A852" s="5">
        <v>791</v>
      </c>
      <c r="B852" s="138">
        <f ca="1">'Expenditures 15-22'!E56</f>
        <v>0</v>
      </c>
      <c r="D852" s="2" t="str">
        <f t="shared" ca="1" si="12"/>
        <v>Error?</v>
      </c>
    </row>
    <row r="853" spans="1:4" x14ac:dyDescent="0.2">
      <c r="A853" s="5">
        <v>792</v>
      </c>
      <c r="B853" s="138">
        <f ca="1">'Expenditures 15-22'!E57</f>
        <v>12849</v>
      </c>
      <c r="C853" s="2" t="s">
        <v>573</v>
      </c>
      <c r="D853" s="2" t="str">
        <f t="shared" ca="1" si="12"/>
        <v>Error?</v>
      </c>
    </row>
    <row r="854" spans="1:4" x14ac:dyDescent="0.2">
      <c r="A854" s="5">
        <v>793</v>
      </c>
      <c r="B854" s="138">
        <f ca="1">'Expenditures 15-22'!E59</f>
        <v>0</v>
      </c>
      <c r="D854" s="2" t="str">
        <f t="shared" ca="1" si="12"/>
        <v>Error?</v>
      </c>
    </row>
    <row r="855" spans="1:4" x14ac:dyDescent="0.2">
      <c r="A855" s="5">
        <v>794</v>
      </c>
      <c r="B855" s="138">
        <f ca="1">'Expenditures 15-22'!E60</f>
        <v>13313</v>
      </c>
      <c r="D855" s="2" t="str">
        <f t="shared" ca="1" si="12"/>
        <v>Error?</v>
      </c>
    </row>
    <row r="856" spans="1:4" x14ac:dyDescent="0.2">
      <c r="A856" s="5">
        <v>795</v>
      </c>
      <c r="B856" s="138">
        <f ca="1">'Expenditures 15-22'!E61</f>
        <v>65868</v>
      </c>
      <c r="D856" s="2" t="str">
        <f t="shared" ca="1" si="12"/>
        <v>Error?</v>
      </c>
    </row>
    <row r="857" spans="1:4" x14ac:dyDescent="0.2">
      <c r="A857" s="5">
        <v>796</v>
      </c>
      <c r="B857" s="138">
        <f ca="1">'Expenditures 15-22'!E62</f>
        <v>0</v>
      </c>
      <c r="D857" s="2" t="str">
        <f t="shared" ca="1" si="12"/>
        <v>Error?</v>
      </c>
    </row>
    <row r="858" spans="1:4" x14ac:dyDescent="0.2">
      <c r="A858" s="5">
        <v>797</v>
      </c>
      <c r="B858" s="138">
        <f ca="1">'Expenditures 15-22'!E63</f>
        <v>6793</v>
      </c>
      <c r="D858" s="2" t="str">
        <f t="shared" ca="1" si="12"/>
        <v>Error?</v>
      </c>
    </row>
    <row r="859" spans="1:4" x14ac:dyDescent="0.2">
      <c r="A859" s="5">
        <v>798</v>
      </c>
      <c r="B859" s="138">
        <f ca="1">'Expenditures 15-22'!E64</f>
        <v>366</v>
      </c>
      <c r="D859" s="2" t="str">
        <f t="shared" ca="1" si="12"/>
        <v>Error?</v>
      </c>
    </row>
    <row r="860" spans="1:4" x14ac:dyDescent="0.2">
      <c r="A860" s="10">
        <v>799</v>
      </c>
      <c r="D860" s="2" t="str">
        <f t="shared" si="12"/>
        <v>OK</v>
      </c>
    </row>
    <row r="861" spans="1:4" x14ac:dyDescent="0.2">
      <c r="A861" s="5">
        <v>800</v>
      </c>
      <c r="B861" s="138">
        <f ca="1">'Expenditures 15-22'!E65</f>
        <v>86340</v>
      </c>
      <c r="C861" s="2" t="s">
        <v>573</v>
      </c>
      <c r="D861" s="2" t="str">
        <f t="shared" ca="1" si="12"/>
        <v>Error?</v>
      </c>
    </row>
    <row r="862" spans="1:4" x14ac:dyDescent="0.2">
      <c r="A862" s="5">
        <v>801</v>
      </c>
      <c r="B862" s="138">
        <f ca="1">'Expenditures 15-22'!E67</f>
        <v>0</v>
      </c>
      <c r="D862" s="2" t="str">
        <f t="shared" ca="1" si="12"/>
        <v>Error?</v>
      </c>
    </row>
    <row r="863" spans="1:4" x14ac:dyDescent="0.2">
      <c r="A863" s="5">
        <v>802</v>
      </c>
      <c r="B863" s="138">
        <f ca="1">'Expenditures 15-22'!E68</f>
        <v>0</v>
      </c>
      <c r="D863" s="2" t="str">
        <f t="shared" ca="1" si="12"/>
        <v>Error?</v>
      </c>
    </row>
    <row r="864" spans="1:4" x14ac:dyDescent="0.2">
      <c r="A864" s="5">
        <v>803</v>
      </c>
      <c r="B864" s="138">
        <f ca="1">'Expenditures 15-22'!E69</f>
        <v>7152</v>
      </c>
      <c r="D864" s="2" t="str">
        <f t="shared" ca="1" si="12"/>
        <v>Error?</v>
      </c>
    </row>
    <row r="865" spans="1:4" x14ac:dyDescent="0.2">
      <c r="A865" s="5">
        <v>804</v>
      </c>
      <c r="B865" s="138">
        <f ca="1">'Expenditures 15-22'!E70</f>
        <v>2870</v>
      </c>
      <c r="D865" s="2" t="str">
        <f t="shared" ca="1" si="12"/>
        <v>Error?</v>
      </c>
    </row>
    <row r="866" spans="1:4" x14ac:dyDescent="0.2">
      <c r="A866" s="10">
        <v>805</v>
      </c>
      <c r="D866" s="2" t="str">
        <f t="shared" si="12"/>
        <v>OK</v>
      </c>
    </row>
    <row r="867" spans="1:4" x14ac:dyDescent="0.2">
      <c r="A867" s="5">
        <v>806</v>
      </c>
      <c r="B867" s="138">
        <f ca="1">'Expenditures 15-22'!E71</f>
        <v>0</v>
      </c>
      <c r="D867" s="2" t="str">
        <f t="shared" ca="1" si="12"/>
        <v>Error?</v>
      </c>
    </row>
    <row r="868" spans="1:4" x14ac:dyDescent="0.2">
      <c r="A868" s="10">
        <v>807</v>
      </c>
      <c r="D868" s="2" t="str">
        <f t="shared" si="12"/>
        <v>OK</v>
      </c>
    </row>
    <row r="869" spans="1:4" x14ac:dyDescent="0.2">
      <c r="A869" s="5">
        <v>808</v>
      </c>
      <c r="B869" s="138">
        <f ca="1">'Expenditures 15-22'!E72</f>
        <v>10022</v>
      </c>
      <c r="C869" s="2" t="s">
        <v>573</v>
      </c>
      <c r="D869" s="2" t="str">
        <f t="shared" ca="1" si="12"/>
        <v>Error?</v>
      </c>
    </row>
    <row r="870" spans="1:4" x14ac:dyDescent="0.2">
      <c r="A870" s="5">
        <v>809</v>
      </c>
      <c r="B870" s="138">
        <f ca="1">'Expenditures 15-22'!E73</f>
        <v>0</v>
      </c>
      <c r="D870" s="2" t="str">
        <f t="shared" ca="1" si="12"/>
        <v>Error?</v>
      </c>
    </row>
    <row r="871" spans="1:4" x14ac:dyDescent="0.2">
      <c r="A871" s="5">
        <v>810</v>
      </c>
      <c r="B871" s="138">
        <f ca="1">'Expenditures 15-22'!E74</f>
        <v>690990</v>
      </c>
      <c r="C871" s="2" t="s">
        <v>573</v>
      </c>
      <c r="D871" s="2" t="str">
        <f t="shared" ca="1" si="12"/>
        <v>Error?</v>
      </c>
    </row>
    <row r="872" spans="1:4" x14ac:dyDescent="0.2">
      <c r="A872" s="5">
        <v>811</v>
      </c>
      <c r="B872" s="138">
        <f ca="1">'Expenditures 15-22'!E75</f>
        <v>0</v>
      </c>
      <c r="D872" s="2" t="str">
        <f t="shared" ca="1" si="12"/>
        <v>Error?</v>
      </c>
    </row>
    <row r="873" spans="1:4" x14ac:dyDescent="0.2">
      <c r="A873" s="5">
        <v>812</v>
      </c>
      <c r="B873" s="138">
        <f ca="1">'Expenditures 15-22'!E114</f>
        <v>769331</v>
      </c>
      <c r="C873" s="2" t="s">
        <v>573</v>
      </c>
      <c r="D873" s="2" t="str">
        <f t="shared" ca="1"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 ca="1">'Expenditures 15-22'!F5</f>
        <v>80258</v>
      </c>
      <c r="D879" s="2" t="str">
        <f t="shared" ca="1" si="12"/>
        <v>Error?</v>
      </c>
    </row>
    <row r="880" spans="1:4" x14ac:dyDescent="0.2">
      <c r="A880" s="5">
        <v>819</v>
      </c>
      <c r="B880" s="138">
        <f ca="1">'Expenditures 15-22'!F16</f>
        <v>0</v>
      </c>
      <c r="D880" s="2" t="str">
        <f t="shared" ca="1"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 ca="1">'Expenditures 15-22'!F18</f>
        <v>0</v>
      </c>
      <c r="D886" s="2" t="str">
        <f t="shared" ca="1"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 ca="1">'Expenditures 15-22'!F12</f>
        <v>0</v>
      </c>
      <c r="D890" s="2" t="str">
        <f t="shared" ca="1" si="12"/>
        <v>Error?</v>
      </c>
    </row>
    <row r="891" spans="1:4" x14ac:dyDescent="0.2">
      <c r="A891" s="5">
        <v>830</v>
      </c>
      <c r="B891" s="138">
        <f ca="1">'Expenditures 15-22'!F13</f>
        <v>0</v>
      </c>
      <c r="D891" s="2" t="str">
        <f t="shared" ca="1" si="12"/>
        <v>Error?</v>
      </c>
    </row>
    <row r="892" spans="1:4" x14ac:dyDescent="0.2">
      <c r="A892" s="5">
        <v>831</v>
      </c>
      <c r="B892" s="138">
        <f ca="1">'Expenditures 15-22'!F14</f>
        <v>19565</v>
      </c>
      <c r="D892" s="2" t="str">
        <f t="shared" ca="1" si="12"/>
        <v>Error?</v>
      </c>
    </row>
    <row r="893" spans="1:4" x14ac:dyDescent="0.2">
      <c r="A893" s="5">
        <v>832</v>
      </c>
      <c r="B893" s="138">
        <f ca="1">'Expenditures 15-22'!F15</f>
        <v>0</v>
      </c>
      <c r="D893" s="2" t="str">
        <f t="shared" ca="1" si="12"/>
        <v>Error?</v>
      </c>
    </row>
    <row r="894" spans="1:4" x14ac:dyDescent="0.2">
      <c r="A894" s="5">
        <v>833</v>
      </c>
      <c r="B894" s="138">
        <f ca="1">'Expenditures 15-22'!F33</f>
        <v>239901</v>
      </c>
      <c r="C894" s="2" t="s">
        <v>573</v>
      </c>
      <c r="D894" s="2" t="str">
        <f t="shared" ca="1" si="12"/>
        <v>Error?</v>
      </c>
    </row>
    <row r="895" spans="1:4" x14ac:dyDescent="0.2">
      <c r="A895" s="5">
        <v>834</v>
      </c>
      <c r="B895" s="138">
        <f ca="1">'Expenditures 15-22'!F36</f>
        <v>4448</v>
      </c>
      <c r="D895" s="2" t="str">
        <f t="shared" ref="D895:D958" ca="1" si="13">IF(ISBLANK(B895),"OK",IF(A895-B895=0,"OK","Error?"))</f>
        <v>Error?</v>
      </c>
    </row>
    <row r="896" spans="1:4" x14ac:dyDescent="0.2">
      <c r="A896" s="5">
        <v>835</v>
      </c>
      <c r="B896" s="138">
        <f ca="1">'Expenditures 15-22'!F37</f>
        <v>0</v>
      </c>
      <c r="D896" s="2" t="str">
        <f t="shared" ca="1" si="13"/>
        <v>Error?</v>
      </c>
    </row>
    <row r="897" spans="1:4" x14ac:dyDescent="0.2">
      <c r="A897" s="5">
        <v>836</v>
      </c>
      <c r="B897" s="138">
        <f ca="1">'Expenditures 15-22'!F38</f>
        <v>3076</v>
      </c>
      <c r="D897" s="2" t="str">
        <f t="shared" ca="1" si="13"/>
        <v>Error?</v>
      </c>
    </row>
    <row r="898" spans="1:4" x14ac:dyDescent="0.2">
      <c r="A898" s="5">
        <v>837</v>
      </c>
      <c r="B898" s="138">
        <f ca="1">'Expenditures 15-22'!F39</f>
        <v>7607</v>
      </c>
      <c r="D898" s="2" t="str">
        <f t="shared" ca="1" si="13"/>
        <v>Error?</v>
      </c>
    </row>
    <row r="899" spans="1:4" x14ac:dyDescent="0.2">
      <c r="A899" s="5">
        <v>838</v>
      </c>
      <c r="B899" s="138">
        <f ca="1">'Expenditures 15-22'!F40</f>
        <v>0</v>
      </c>
      <c r="D899" s="2" t="str">
        <f t="shared" ca="1" si="13"/>
        <v>Error?</v>
      </c>
    </row>
    <row r="900" spans="1:4" x14ac:dyDescent="0.2">
      <c r="A900" s="5">
        <v>839</v>
      </c>
      <c r="B900" s="138">
        <f ca="1">'Expenditures 15-22'!F41</f>
        <v>0</v>
      </c>
      <c r="D900" s="2" t="str">
        <f t="shared" ca="1" si="13"/>
        <v>Error?</v>
      </c>
    </row>
    <row r="901" spans="1:4" x14ac:dyDescent="0.2">
      <c r="A901" s="5">
        <v>840</v>
      </c>
      <c r="B901" s="138">
        <f ca="1">'Expenditures 15-22'!F42</f>
        <v>15131</v>
      </c>
      <c r="C901" s="2" t="s">
        <v>573</v>
      </c>
      <c r="D901" s="2" t="str">
        <f t="shared" ca="1" si="13"/>
        <v>Error?</v>
      </c>
    </row>
    <row r="902" spans="1:4" x14ac:dyDescent="0.2">
      <c r="A902" s="5">
        <v>841</v>
      </c>
      <c r="B902" s="138">
        <f ca="1">'Expenditures 15-22'!F44</f>
        <v>402</v>
      </c>
      <c r="D902" s="2" t="str">
        <f t="shared" ca="1" si="13"/>
        <v>Error?</v>
      </c>
    </row>
    <row r="903" spans="1:4" x14ac:dyDescent="0.2">
      <c r="A903" s="5">
        <v>842</v>
      </c>
      <c r="B903" s="138">
        <f ca="1">'Expenditures 15-22'!F45</f>
        <v>38423</v>
      </c>
      <c r="D903" s="2" t="str">
        <f t="shared" ca="1" si="13"/>
        <v>Error?</v>
      </c>
    </row>
    <row r="904" spans="1:4" x14ac:dyDescent="0.2">
      <c r="A904" s="5">
        <v>843</v>
      </c>
      <c r="B904" s="138">
        <f ca="1">'Expenditures 15-22'!F46</f>
        <v>0</v>
      </c>
      <c r="D904" s="2" t="str">
        <f t="shared" ca="1" si="13"/>
        <v>Error?</v>
      </c>
    </row>
    <row r="905" spans="1:4" x14ac:dyDescent="0.2">
      <c r="A905" s="5">
        <v>844</v>
      </c>
      <c r="B905" s="138">
        <f ca="1">'Expenditures 15-22'!F47</f>
        <v>38825</v>
      </c>
      <c r="C905" s="2" t="s">
        <v>573</v>
      </c>
      <c r="D905" s="2" t="str">
        <f t="shared" ca="1" si="13"/>
        <v>Error?</v>
      </c>
    </row>
    <row r="906" spans="1:4" x14ac:dyDescent="0.2">
      <c r="A906" s="5">
        <v>845</v>
      </c>
      <c r="B906" s="138">
        <f ca="1">'Expenditures 15-22'!F49</f>
        <v>550</v>
      </c>
      <c r="D906" s="2" t="str">
        <f t="shared" ca="1" si="13"/>
        <v>Error?</v>
      </c>
    </row>
    <row r="907" spans="1:4" x14ac:dyDescent="0.2">
      <c r="A907" s="5">
        <v>846</v>
      </c>
      <c r="B907" s="138">
        <f ca="1">'Expenditures 15-22'!F50</f>
        <v>2302</v>
      </c>
      <c r="D907" s="2" t="str">
        <f t="shared" ca="1" si="13"/>
        <v>Error?</v>
      </c>
    </row>
    <row r="908" spans="1:4" x14ac:dyDescent="0.2">
      <c r="A908" s="5">
        <v>847</v>
      </c>
      <c r="B908" s="138">
        <f ca="1">'Expenditures 15-22'!F53</f>
        <v>2852</v>
      </c>
      <c r="C908" s="2" t="s">
        <v>573</v>
      </c>
      <c r="D908" s="2" t="str">
        <f t="shared" ca="1" si="13"/>
        <v>Error?</v>
      </c>
    </row>
    <row r="909" spans="1:4" x14ac:dyDescent="0.2">
      <c r="A909" s="5">
        <v>848</v>
      </c>
      <c r="B909" s="138">
        <f ca="1">'Expenditures 15-22'!F55</f>
        <v>2637</v>
      </c>
      <c r="D909" s="2" t="str">
        <f t="shared" ca="1" si="13"/>
        <v>Error?</v>
      </c>
    </row>
    <row r="910" spans="1:4" x14ac:dyDescent="0.2">
      <c r="A910" s="5">
        <v>849</v>
      </c>
      <c r="B910" s="138">
        <f ca="1">'Expenditures 15-22'!F56</f>
        <v>0</v>
      </c>
      <c r="D910" s="2" t="str">
        <f t="shared" ca="1" si="13"/>
        <v>Error?</v>
      </c>
    </row>
    <row r="911" spans="1:4" x14ac:dyDescent="0.2">
      <c r="A911" s="5">
        <v>850</v>
      </c>
      <c r="B911" s="138">
        <f ca="1">'Expenditures 15-22'!F57</f>
        <v>2637</v>
      </c>
      <c r="C911" s="2" t="s">
        <v>573</v>
      </c>
      <c r="D911" s="2" t="str">
        <f t="shared" ca="1" si="13"/>
        <v>Error?</v>
      </c>
    </row>
    <row r="912" spans="1:4" x14ac:dyDescent="0.2">
      <c r="A912" s="5">
        <v>851</v>
      </c>
      <c r="B912" s="138">
        <f ca="1">'Expenditures 15-22'!F59</f>
        <v>0</v>
      </c>
      <c r="D912" s="2" t="str">
        <f t="shared" ca="1" si="13"/>
        <v>Error?</v>
      </c>
    </row>
    <row r="913" spans="1:4" x14ac:dyDescent="0.2">
      <c r="A913" s="5">
        <v>852</v>
      </c>
      <c r="B913" s="138">
        <f ca="1">'Expenditures 15-22'!F60</f>
        <v>810</v>
      </c>
      <c r="D913" s="2" t="str">
        <f t="shared" ca="1" si="13"/>
        <v>Error?</v>
      </c>
    </row>
    <row r="914" spans="1:4" x14ac:dyDescent="0.2">
      <c r="A914" s="5">
        <v>853</v>
      </c>
      <c r="B914" s="138">
        <f ca="1">'Expenditures 15-22'!F61</f>
        <v>227026</v>
      </c>
      <c r="D914" s="2" t="str">
        <f t="shared" ca="1" si="13"/>
        <v>Error?</v>
      </c>
    </row>
    <row r="915" spans="1:4" x14ac:dyDescent="0.2">
      <c r="A915" s="5">
        <v>854</v>
      </c>
      <c r="B915" s="138">
        <f ca="1">'Expenditures 15-22'!F62</f>
        <v>0</v>
      </c>
      <c r="D915" s="2" t="str">
        <f t="shared" ca="1" si="13"/>
        <v>Error?</v>
      </c>
    </row>
    <row r="916" spans="1:4" x14ac:dyDescent="0.2">
      <c r="A916" s="5">
        <v>855</v>
      </c>
      <c r="B916" s="138">
        <f ca="1">'Expenditures 15-22'!F63</f>
        <v>313748</v>
      </c>
      <c r="D916" s="2" t="str">
        <f t="shared" ca="1" si="13"/>
        <v>Error?</v>
      </c>
    </row>
    <row r="917" spans="1:4" x14ac:dyDescent="0.2">
      <c r="A917" s="5">
        <v>856</v>
      </c>
      <c r="B917" s="138">
        <f ca="1">'Expenditures 15-22'!F64</f>
        <v>26221</v>
      </c>
      <c r="D917" s="2" t="str">
        <f t="shared" ca="1" si="13"/>
        <v>Error?</v>
      </c>
    </row>
    <row r="918" spans="1:4" x14ac:dyDescent="0.2">
      <c r="A918" s="10">
        <v>857</v>
      </c>
      <c r="D918" s="2" t="str">
        <f t="shared" si="13"/>
        <v>OK</v>
      </c>
    </row>
    <row r="919" spans="1:4" x14ac:dyDescent="0.2">
      <c r="A919" s="5">
        <v>858</v>
      </c>
      <c r="B919" s="138">
        <f ca="1">'Expenditures 15-22'!F65</f>
        <v>567805</v>
      </c>
      <c r="C919" s="2" t="s">
        <v>573</v>
      </c>
      <c r="D919" s="2" t="str">
        <f t="shared" ca="1" si="13"/>
        <v>Error?</v>
      </c>
    </row>
    <row r="920" spans="1:4" x14ac:dyDescent="0.2">
      <c r="A920" s="5">
        <v>859</v>
      </c>
      <c r="B920" s="138">
        <f ca="1">'Expenditures 15-22'!F67</f>
        <v>0</v>
      </c>
      <c r="D920" s="2" t="str">
        <f t="shared" ca="1" si="13"/>
        <v>Error?</v>
      </c>
    </row>
    <row r="921" spans="1:4" x14ac:dyDescent="0.2">
      <c r="A921" s="5">
        <v>860</v>
      </c>
      <c r="B921" s="138">
        <f ca="1">'Expenditures 15-22'!F68</f>
        <v>23500</v>
      </c>
      <c r="D921" s="2" t="str">
        <f t="shared" ca="1" si="13"/>
        <v>Error?</v>
      </c>
    </row>
    <row r="922" spans="1:4" x14ac:dyDescent="0.2">
      <c r="A922" s="5">
        <v>861</v>
      </c>
      <c r="B922" s="138">
        <f ca="1">'Expenditures 15-22'!F69</f>
        <v>0</v>
      </c>
      <c r="D922" s="2" t="str">
        <f t="shared" ca="1" si="13"/>
        <v>Error?</v>
      </c>
    </row>
    <row r="923" spans="1:4" x14ac:dyDescent="0.2">
      <c r="A923" s="5">
        <v>862</v>
      </c>
      <c r="B923" s="138">
        <f ca="1">'Expenditures 15-22'!F70</f>
        <v>0</v>
      </c>
      <c r="D923" s="2" t="str">
        <f t="shared" ca="1" si="13"/>
        <v>Error?</v>
      </c>
    </row>
    <row r="924" spans="1:4" x14ac:dyDescent="0.2">
      <c r="A924" s="10">
        <v>863</v>
      </c>
      <c r="D924" s="2" t="str">
        <f t="shared" si="13"/>
        <v>OK</v>
      </c>
    </row>
    <row r="925" spans="1:4" x14ac:dyDescent="0.2">
      <c r="A925" s="5">
        <v>864</v>
      </c>
      <c r="B925" s="138">
        <f ca="1">'Expenditures 15-22'!F71</f>
        <v>0</v>
      </c>
      <c r="D925" s="2" t="str">
        <f t="shared" ca="1" si="13"/>
        <v>Error?</v>
      </c>
    </row>
    <row r="926" spans="1:4" x14ac:dyDescent="0.2">
      <c r="A926" s="10">
        <v>865</v>
      </c>
      <c r="D926" s="2" t="str">
        <f t="shared" si="13"/>
        <v>OK</v>
      </c>
    </row>
    <row r="927" spans="1:4" x14ac:dyDescent="0.2">
      <c r="A927" s="5">
        <v>866</v>
      </c>
      <c r="B927" s="138">
        <f ca="1">'Expenditures 15-22'!F72</f>
        <v>23500</v>
      </c>
      <c r="C927" s="2" t="s">
        <v>573</v>
      </c>
      <c r="D927" s="2" t="str">
        <f t="shared" ca="1" si="13"/>
        <v>Error?</v>
      </c>
    </row>
    <row r="928" spans="1:4" x14ac:dyDescent="0.2">
      <c r="A928" s="5">
        <v>867</v>
      </c>
      <c r="B928" s="138">
        <f ca="1">'Expenditures 15-22'!F73</f>
        <v>0</v>
      </c>
      <c r="D928" s="2" t="str">
        <f t="shared" ca="1" si="13"/>
        <v>Error?</v>
      </c>
    </row>
    <row r="929" spans="1:4" x14ac:dyDescent="0.2">
      <c r="A929" s="5">
        <v>868</v>
      </c>
      <c r="B929" s="138">
        <f ca="1">'Expenditures 15-22'!F74</f>
        <v>650750</v>
      </c>
      <c r="C929" s="2" t="s">
        <v>573</v>
      </c>
      <c r="D929" s="2" t="str">
        <f t="shared" ca="1" si="13"/>
        <v>Error?</v>
      </c>
    </row>
    <row r="930" spans="1:4" x14ac:dyDescent="0.2">
      <c r="A930" s="5">
        <v>869</v>
      </c>
      <c r="B930" s="138">
        <f ca="1">'Expenditures 15-22'!F75</f>
        <v>1709</v>
      </c>
      <c r="D930" s="2" t="str">
        <f t="shared" ca="1" si="13"/>
        <v>Error?</v>
      </c>
    </row>
    <row r="931" spans="1:4" x14ac:dyDescent="0.2">
      <c r="A931" s="5">
        <v>870</v>
      </c>
      <c r="B931" s="138">
        <f ca="1">'Expenditures 15-22'!F114</f>
        <v>892360</v>
      </c>
      <c r="C931" s="2" t="s">
        <v>573</v>
      </c>
      <c r="D931" s="2" t="str">
        <f t="shared" ca="1"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 ca="1">'Expenditures 15-22'!G5</f>
        <v>10790</v>
      </c>
      <c r="D937" s="2" t="str">
        <f t="shared" ca="1" si="13"/>
        <v>Error?</v>
      </c>
    </row>
    <row r="938" spans="1:4" x14ac:dyDescent="0.2">
      <c r="A938" s="5">
        <v>877</v>
      </c>
      <c r="B938" s="138">
        <f ca="1">'Expenditures 15-22'!G16</f>
        <v>0</v>
      </c>
      <c r="D938" s="2" t="str">
        <f t="shared" ca="1"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 ca="1">'Expenditures 15-22'!G18</f>
        <v>0</v>
      </c>
      <c r="D944" s="2" t="str">
        <f t="shared" ca="1"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 ca="1">'Expenditures 15-22'!G12</f>
        <v>0</v>
      </c>
      <c r="D948" s="2" t="str">
        <f t="shared" ca="1" si="13"/>
        <v>Error?</v>
      </c>
    </row>
    <row r="949" spans="1:4" x14ac:dyDescent="0.2">
      <c r="A949" s="5">
        <v>888</v>
      </c>
      <c r="B949" s="138">
        <f ca="1">'Expenditures 15-22'!G13</f>
        <v>0</v>
      </c>
      <c r="D949" s="2" t="str">
        <f t="shared" ca="1" si="13"/>
        <v>Error?</v>
      </c>
    </row>
    <row r="950" spans="1:4" x14ac:dyDescent="0.2">
      <c r="A950" s="5">
        <v>889</v>
      </c>
      <c r="B950" s="138">
        <f ca="1">'Expenditures 15-22'!G14</f>
        <v>2600</v>
      </c>
      <c r="D950" s="2" t="str">
        <f t="shared" ca="1" si="13"/>
        <v>Error?</v>
      </c>
    </row>
    <row r="951" spans="1:4" x14ac:dyDescent="0.2">
      <c r="A951" s="5">
        <v>890</v>
      </c>
      <c r="B951" s="138">
        <f ca="1">'Expenditures 15-22'!G15</f>
        <v>0</v>
      </c>
      <c r="D951" s="2" t="str">
        <f t="shared" ca="1" si="13"/>
        <v>Error?</v>
      </c>
    </row>
    <row r="952" spans="1:4" x14ac:dyDescent="0.2">
      <c r="A952" s="5">
        <v>891</v>
      </c>
      <c r="B952" s="138">
        <f ca="1">'Expenditures 15-22'!G33</f>
        <v>22963</v>
      </c>
      <c r="C952" s="2" t="s">
        <v>573</v>
      </c>
      <c r="D952" s="2" t="str">
        <f t="shared" ca="1" si="13"/>
        <v>Error?</v>
      </c>
    </row>
    <row r="953" spans="1:4" x14ac:dyDescent="0.2">
      <c r="A953" s="5">
        <v>892</v>
      </c>
      <c r="B953" s="138">
        <f ca="1">'Expenditures 15-22'!G36</f>
        <v>0</v>
      </c>
      <c r="D953" s="2" t="str">
        <f t="shared" ca="1" si="13"/>
        <v>Error?</v>
      </c>
    </row>
    <row r="954" spans="1:4" x14ac:dyDescent="0.2">
      <c r="A954" s="5">
        <v>893</v>
      </c>
      <c r="B954" s="138">
        <f ca="1">'Expenditures 15-22'!G37</f>
        <v>0</v>
      </c>
      <c r="D954" s="2" t="str">
        <f t="shared" ca="1" si="13"/>
        <v>Error?</v>
      </c>
    </row>
    <row r="955" spans="1:4" x14ac:dyDescent="0.2">
      <c r="A955" s="5">
        <v>894</v>
      </c>
      <c r="B955" s="138">
        <f ca="1">'Expenditures 15-22'!G38</f>
        <v>0</v>
      </c>
      <c r="D955" s="2" t="str">
        <f t="shared" ca="1" si="13"/>
        <v>Error?</v>
      </c>
    </row>
    <row r="956" spans="1:4" x14ac:dyDescent="0.2">
      <c r="A956" s="5">
        <v>895</v>
      </c>
      <c r="B956" s="138">
        <f ca="1">'Expenditures 15-22'!G39</f>
        <v>0</v>
      </c>
      <c r="D956" s="2" t="str">
        <f t="shared" ca="1" si="13"/>
        <v>Error?</v>
      </c>
    </row>
    <row r="957" spans="1:4" x14ac:dyDescent="0.2">
      <c r="A957" s="5">
        <v>896</v>
      </c>
      <c r="B957" s="138">
        <f ca="1">'Expenditures 15-22'!G40</f>
        <v>0</v>
      </c>
      <c r="D957" s="2" t="str">
        <f t="shared" ca="1" si="13"/>
        <v>Error?</v>
      </c>
    </row>
    <row r="958" spans="1:4" x14ac:dyDescent="0.2">
      <c r="A958" s="5">
        <v>897</v>
      </c>
      <c r="B958" s="138">
        <f ca="1">'Expenditures 15-22'!G41</f>
        <v>0</v>
      </c>
      <c r="D958" s="2" t="str">
        <f t="shared" ca="1" si="13"/>
        <v>Error?</v>
      </c>
    </row>
    <row r="959" spans="1:4" x14ac:dyDescent="0.2">
      <c r="A959" s="5">
        <v>898</v>
      </c>
      <c r="B959" s="138">
        <f ca="1">'Expenditures 15-22'!G42</f>
        <v>0</v>
      </c>
      <c r="C959" s="2" t="s">
        <v>573</v>
      </c>
      <c r="D959" s="2" t="str">
        <f t="shared" ref="D959:D1022" ca="1" si="14">IF(ISBLANK(B959),"OK",IF(A959-B959=0,"OK","Error?"))</f>
        <v>Error?</v>
      </c>
    </row>
    <row r="960" spans="1:4" x14ac:dyDescent="0.2">
      <c r="A960" s="5">
        <v>899</v>
      </c>
      <c r="B960" s="138">
        <f ca="1">'Expenditures 15-22'!G44</f>
        <v>0</v>
      </c>
      <c r="D960" s="2" t="str">
        <f t="shared" ca="1" si="14"/>
        <v>Error?</v>
      </c>
    </row>
    <row r="961" spans="1:4" x14ac:dyDescent="0.2">
      <c r="A961" s="5">
        <v>900</v>
      </c>
      <c r="B961" s="138">
        <f ca="1">'Expenditures 15-22'!G45</f>
        <v>131535</v>
      </c>
      <c r="D961" s="2" t="str">
        <f t="shared" ca="1" si="14"/>
        <v>Error?</v>
      </c>
    </row>
    <row r="962" spans="1:4" x14ac:dyDescent="0.2">
      <c r="A962" s="5">
        <v>901</v>
      </c>
      <c r="B962" s="138">
        <f ca="1">'Expenditures 15-22'!G46</f>
        <v>0</v>
      </c>
      <c r="D962" s="2" t="str">
        <f t="shared" ca="1" si="14"/>
        <v>Error?</v>
      </c>
    </row>
    <row r="963" spans="1:4" x14ac:dyDescent="0.2">
      <c r="A963" s="5">
        <v>902</v>
      </c>
      <c r="B963" s="138">
        <f ca="1">'Expenditures 15-22'!G47</f>
        <v>131535</v>
      </c>
      <c r="C963" s="2" t="s">
        <v>573</v>
      </c>
      <c r="D963" s="2" t="str">
        <f t="shared" ca="1" si="14"/>
        <v>Error?</v>
      </c>
    </row>
    <row r="964" spans="1:4" x14ac:dyDescent="0.2">
      <c r="A964" s="5">
        <v>903</v>
      </c>
      <c r="B964" s="138">
        <f ca="1">'Expenditures 15-22'!G49</f>
        <v>0</v>
      </c>
      <c r="D964" s="2" t="str">
        <f t="shared" ca="1" si="14"/>
        <v>Error?</v>
      </c>
    </row>
    <row r="965" spans="1:4" x14ac:dyDescent="0.2">
      <c r="A965" s="5">
        <v>904</v>
      </c>
      <c r="B965" s="138">
        <f ca="1">'Expenditures 15-22'!G50</f>
        <v>0</v>
      </c>
      <c r="D965" s="2" t="str">
        <f t="shared" ca="1" si="14"/>
        <v>Error?</v>
      </c>
    </row>
    <row r="966" spans="1:4" x14ac:dyDescent="0.2">
      <c r="A966" s="5">
        <v>905</v>
      </c>
      <c r="B966" s="138">
        <f ca="1">'Expenditures 15-22'!G53</f>
        <v>0</v>
      </c>
      <c r="C966" s="2" t="s">
        <v>573</v>
      </c>
      <c r="D966" s="2" t="str">
        <f t="shared" ca="1" si="14"/>
        <v>Error?</v>
      </c>
    </row>
    <row r="967" spans="1:4" x14ac:dyDescent="0.2">
      <c r="A967" s="5">
        <v>906</v>
      </c>
      <c r="B967" s="138">
        <f ca="1">'Expenditures 15-22'!G55</f>
        <v>0</v>
      </c>
      <c r="D967" s="2" t="str">
        <f t="shared" ca="1" si="14"/>
        <v>Error?</v>
      </c>
    </row>
    <row r="968" spans="1:4" x14ac:dyDescent="0.2">
      <c r="A968" s="5">
        <v>907</v>
      </c>
      <c r="B968" s="138">
        <f ca="1">'Expenditures 15-22'!G56</f>
        <v>0</v>
      </c>
      <c r="D968" s="2" t="str">
        <f t="shared" ca="1" si="14"/>
        <v>Error?</v>
      </c>
    </row>
    <row r="969" spans="1:4" x14ac:dyDescent="0.2">
      <c r="A969" s="5">
        <v>908</v>
      </c>
      <c r="B969" s="138">
        <f ca="1">'Expenditures 15-22'!G57</f>
        <v>0</v>
      </c>
      <c r="C969" s="2" t="s">
        <v>573</v>
      </c>
      <c r="D969" s="2" t="str">
        <f t="shared" ca="1" si="14"/>
        <v>Error?</v>
      </c>
    </row>
    <row r="970" spans="1:4" x14ac:dyDescent="0.2">
      <c r="A970" s="5">
        <v>909</v>
      </c>
      <c r="B970" s="138">
        <f ca="1">'Expenditures 15-22'!G59</f>
        <v>0</v>
      </c>
      <c r="D970" s="2" t="str">
        <f t="shared" ca="1" si="14"/>
        <v>Error?</v>
      </c>
    </row>
    <row r="971" spans="1:4" x14ac:dyDescent="0.2">
      <c r="A971" s="5">
        <v>910</v>
      </c>
      <c r="B971" s="138">
        <f ca="1">'Expenditures 15-22'!G60</f>
        <v>0</v>
      </c>
      <c r="D971" s="2" t="str">
        <f t="shared" ca="1" si="14"/>
        <v>Error?</v>
      </c>
    </row>
    <row r="972" spans="1:4" x14ac:dyDescent="0.2">
      <c r="A972" s="5">
        <v>911</v>
      </c>
      <c r="B972" s="138">
        <f ca="1">'Expenditures 15-22'!G61</f>
        <v>0</v>
      </c>
      <c r="D972" s="2" t="str">
        <f t="shared" ca="1" si="14"/>
        <v>Error?</v>
      </c>
    </row>
    <row r="973" spans="1:4" x14ac:dyDescent="0.2">
      <c r="A973" s="5">
        <v>912</v>
      </c>
      <c r="B973" s="138">
        <f ca="1">'Expenditures 15-22'!G62</f>
        <v>0</v>
      </c>
      <c r="D973" s="2" t="str">
        <f t="shared" ca="1" si="14"/>
        <v>Error?</v>
      </c>
    </row>
    <row r="974" spans="1:4" x14ac:dyDescent="0.2">
      <c r="A974" s="5">
        <v>913</v>
      </c>
      <c r="B974" s="138">
        <f ca="1">'Expenditures 15-22'!G63</f>
        <v>20798</v>
      </c>
      <c r="D974" s="2" t="str">
        <f t="shared" ca="1" si="14"/>
        <v>Error?</v>
      </c>
    </row>
    <row r="975" spans="1:4" x14ac:dyDescent="0.2">
      <c r="A975" s="5">
        <v>914</v>
      </c>
      <c r="B975" s="138">
        <f ca="1">'Expenditures 15-22'!G64</f>
        <v>0</v>
      </c>
      <c r="D975" s="2" t="str">
        <f t="shared" ca="1" si="14"/>
        <v>Error?</v>
      </c>
    </row>
    <row r="976" spans="1:4" x14ac:dyDescent="0.2">
      <c r="A976" s="10">
        <v>915</v>
      </c>
      <c r="D976" s="2" t="str">
        <f t="shared" si="14"/>
        <v>OK</v>
      </c>
    </row>
    <row r="977" spans="1:4" x14ac:dyDescent="0.2">
      <c r="A977" s="5">
        <v>916</v>
      </c>
      <c r="B977" s="138">
        <f ca="1">'Expenditures 15-22'!G65</f>
        <v>20798</v>
      </c>
      <c r="C977" s="2" t="s">
        <v>573</v>
      </c>
      <c r="D977" s="2" t="str">
        <f t="shared" ca="1" si="14"/>
        <v>Error?</v>
      </c>
    </row>
    <row r="978" spans="1:4" x14ac:dyDescent="0.2">
      <c r="A978" s="5">
        <v>917</v>
      </c>
      <c r="B978" s="138">
        <f ca="1">'Expenditures 15-22'!G67</f>
        <v>0</v>
      </c>
      <c r="D978" s="2" t="str">
        <f t="shared" ca="1" si="14"/>
        <v>Error?</v>
      </c>
    </row>
    <row r="979" spans="1:4" x14ac:dyDescent="0.2">
      <c r="A979" s="5">
        <v>918</v>
      </c>
      <c r="B979" s="138">
        <f ca="1">'Expenditures 15-22'!G68</f>
        <v>0</v>
      </c>
      <c r="D979" s="2" t="str">
        <f t="shared" ca="1" si="14"/>
        <v>Error?</v>
      </c>
    </row>
    <row r="980" spans="1:4" x14ac:dyDescent="0.2">
      <c r="A980" s="5">
        <v>919</v>
      </c>
      <c r="B980" s="138">
        <f ca="1">'Expenditures 15-22'!G69</f>
        <v>0</v>
      </c>
      <c r="D980" s="2" t="str">
        <f t="shared" ca="1" si="14"/>
        <v>Error?</v>
      </c>
    </row>
    <row r="981" spans="1:4" x14ac:dyDescent="0.2">
      <c r="A981" s="5">
        <v>920</v>
      </c>
      <c r="B981" s="138">
        <f ca="1">'Expenditures 15-22'!G70</f>
        <v>0</v>
      </c>
      <c r="D981" s="2" t="str">
        <f t="shared" ca="1" si="14"/>
        <v>Error?</v>
      </c>
    </row>
    <row r="982" spans="1:4" x14ac:dyDescent="0.2">
      <c r="A982" s="10">
        <v>921</v>
      </c>
      <c r="D982" s="2" t="str">
        <f t="shared" si="14"/>
        <v>OK</v>
      </c>
    </row>
    <row r="983" spans="1:4" x14ac:dyDescent="0.2">
      <c r="A983" s="5">
        <v>922</v>
      </c>
      <c r="B983" s="138">
        <f ca="1">'Expenditures 15-22'!G71</f>
        <v>0</v>
      </c>
      <c r="D983" s="2" t="str">
        <f t="shared" ca="1" si="14"/>
        <v>Error?</v>
      </c>
    </row>
    <row r="984" spans="1:4" x14ac:dyDescent="0.2">
      <c r="A984" s="10">
        <v>923</v>
      </c>
      <c r="D984" s="2" t="str">
        <f t="shared" si="14"/>
        <v>OK</v>
      </c>
    </row>
    <row r="985" spans="1:4" x14ac:dyDescent="0.2">
      <c r="A985" s="5">
        <v>924</v>
      </c>
      <c r="B985" s="138">
        <f ca="1">'Expenditures 15-22'!G72</f>
        <v>0</v>
      </c>
      <c r="C985" s="2" t="s">
        <v>573</v>
      </c>
      <c r="D985" s="2" t="str">
        <f t="shared" ca="1" si="14"/>
        <v>Error?</v>
      </c>
    </row>
    <row r="986" spans="1:4" x14ac:dyDescent="0.2">
      <c r="A986" s="5">
        <v>925</v>
      </c>
      <c r="B986" s="138">
        <f ca="1">'Expenditures 15-22'!G73</f>
        <v>0</v>
      </c>
      <c r="D986" s="2" t="str">
        <f t="shared" ca="1" si="14"/>
        <v>Error?</v>
      </c>
    </row>
    <row r="987" spans="1:4" x14ac:dyDescent="0.2">
      <c r="A987" s="5">
        <v>926</v>
      </c>
      <c r="B987" s="138">
        <f ca="1">'Expenditures 15-22'!G74</f>
        <v>152333</v>
      </c>
      <c r="C987" s="2" t="s">
        <v>573</v>
      </c>
      <c r="D987" s="2" t="str">
        <f t="shared" ca="1" si="14"/>
        <v>Error?</v>
      </c>
    </row>
    <row r="988" spans="1:4" x14ac:dyDescent="0.2">
      <c r="A988" s="5">
        <v>927</v>
      </c>
      <c r="B988" s="138">
        <f ca="1">'Expenditures 15-22'!G75</f>
        <v>0</v>
      </c>
      <c r="D988" s="2" t="str">
        <f t="shared" ca="1" si="14"/>
        <v>Error?</v>
      </c>
    </row>
    <row r="989" spans="1:4" x14ac:dyDescent="0.2">
      <c r="A989" s="5">
        <v>928</v>
      </c>
      <c r="B989" s="138">
        <f ca="1">'Expenditures 15-22'!G114</f>
        <v>175296</v>
      </c>
      <c r="C989" s="2" t="s">
        <v>573</v>
      </c>
      <c r="D989" s="2" t="str">
        <f t="shared" ca="1"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 ca="1">'Expenditures 15-22'!H5</f>
        <v>0</v>
      </c>
      <c r="C995" s="9"/>
      <c r="D995" s="2" t="str">
        <f t="shared" ca="1" si="14"/>
        <v>Error?</v>
      </c>
    </row>
    <row r="996" spans="1:4" x14ac:dyDescent="0.2">
      <c r="A996" s="5">
        <v>935</v>
      </c>
      <c r="B996" s="138">
        <f ca="1">'Expenditures 15-22'!H16</f>
        <v>0</v>
      </c>
      <c r="D996" s="2" t="str">
        <f t="shared" ca="1"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 ca="1">'Expenditures 15-22'!H18</f>
        <v>0</v>
      </c>
      <c r="D1002" s="2" t="str">
        <f t="shared" ca="1"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 ca="1">'Expenditures 15-22'!H12</f>
        <v>0</v>
      </c>
      <c r="D1006" s="2" t="str">
        <f t="shared" ca="1" si="14"/>
        <v>Error?</v>
      </c>
    </row>
    <row r="1007" spans="1:4" x14ac:dyDescent="0.2">
      <c r="A1007" s="5">
        <v>946</v>
      </c>
      <c r="B1007" s="138">
        <f ca="1">'Expenditures 15-22'!H13</f>
        <v>0</v>
      </c>
      <c r="D1007" s="2" t="str">
        <f t="shared" ca="1" si="14"/>
        <v>Error?</v>
      </c>
    </row>
    <row r="1008" spans="1:4" x14ac:dyDescent="0.2">
      <c r="A1008" s="5">
        <v>947</v>
      </c>
      <c r="B1008" s="138">
        <f ca="1">'Expenditures 15-22'!H14</f>
        <v>3011</v>
      </c>
      <c r="D1008" s="2" t="str">
        <f t="shared" ca="1" si="14"/>
        <v>Error?</v>
      </c>
    </row>
    <row r="1009" spans="1:4" x14ac:dyDescent="0.2">
      <c r="A1009" s="5">
        <v>948</v>
      </c>
      <c r="B1009" s="138">
        <f ca="1">'Expenditures 15-22'!H15</f>
        <v>0</v>
      </c>
      <c r="D1009" s="2" t="str">
        <f t="shared" ca="1" si="14"/>
        <v>Error?</v>
      </c>
    </row>
    <row r="1010" spans="1:4" x14ac:dyDescent="0.2">
      <c r="A1010" s="5">
        <v>949</v>
      </c>
      <c r="B1010" s="138">
        <f ca="1">'Expenditures 15-22'!H33</f>
        <v>239140</v>
      </c>
      <c r="C1010" s="2" t="s">
        <v>573</v>
      </c>
      <c r="D1010" s="2" t="str">
        <f t="shared" ca="1" si="14"/>
        <v>Error?</v>
      </c>
    </row>
    <row r="1011" spans="1:4" x14ac:dyDescent="0.2">
      <c r="A1011" s="5">
        <v>950</v>
      </c>
      <c r="B1011" s="138">
        <f ca="1">'Expenditures 15-22'!H36</f>
        <v>0</v>
      </c>
      <c r="D1011" s="2" t="str">
        <f t="shared" ca="1" si="14"/>
        <v>Error?</v>
      </c>
    </row>
    <row r="1012" spans="1:4" x14ac:dyDescent="0.2">
      <c r="A1012" s="5">
        <v>951</v>
      </c>
      <c r="B1012" s="138">
        <f ca="1">'Expenditures 15-22'!H37</f>
        <v>0</v>
      </c>
      <c r="D1012" s="2" t="str">
        <f t="shared" ca="1" si="14"/>
        <v>Error?</v>
      </c>
    </row>
    <row r="1013" spans="1:4" x14ac:dyDescent="0.2">
      <c r="A1013" s="5">
        <v>952</v>
      </c>
      <c r="B1013" s="138">
        <f ca="1">'Expenditures 15-22'!H38</f>
        <v>0</v>
      </c>
      <c r="D1013" s="2" t="str">
        <f t="shared" ca="1" si="14"/>
        <v>Error?</v>
      </c>
    </row>
    <row r="1014" spans="1:4" x14ac:dyDescent="0.2">
      <c r="A1014" s="5">
        <v>953</v>
      </c>
      <c r="B1014" s="138">
        <f ca="1">'Expenditures 15-22'!H39</f>
        <v>125</v>
      </c>
      <c r="D1014" s="2" t="str">
        <f t="shared" ca="1" si="14"/>
        <v>Error?</v>
      </c>
    </row>
    <row r="1015" spans="1:4" x14ac:dyDescent="0.2">
      <c r="A1015" s="5">
        <v>954</v>
      </c>
      <c r="B1015" s="138">
        <f ca="1">'Expenditures 15-22'!H40</f>
        <v>1205</v>
      </c>
      <c r="D1015" s="2" t="str">
        <f t="shared" ca="1" si="14"/>
        <v>Error?</v>
      </c>
    </row>
    <row r="1016" spans="1:4" x14ac:dyDescent="0.2">
      <c r="A1016" s="5">
        <v>955</v>
      </c>
      <c r="B1016" s="138">
        <f ca="1">'Expenditures 15-22'!H41</f>
        <v>0</v>
      </c>
      <c r="D1016" s="2" t="str">
        <f t="shared" ca="1" si="14"/>
        <v>Error?</v>
      </c>
    </row>
    <row r="1017" spans="1:4" x14ac:dyDescent="0.2">
      <c r="A1017" s="5">
        <v>956</v>
      </c>
      <c r="B1017" s="138">
        <f ca="1">'Expenditures 15-22'!H42</f>
        <v>1330</v>
      </c>
      <c r="C1017" s="2" t="s">
        <v>573</v>
      </c>
      <c r="D1017" s="2" t="str">
        <f t="shared" ca="1" si="14"/>
        <v>Error?</v>
      </c>
    </row>
    <row r="1018" spans="1:4" x14ac:dyDescent="0.2">
      <c r="A1018" s="5">
        <v>957</v>
      </c>
      <c r="B1018" s="138">
        <f ca="1">'Expenditures 15-22'!H44</f>
        <v>0</v>
      </c>
      <c r="D1018" s="2" t="str">
        <f t="shared" ca="1" si="14"/>
        <v>Error?</v>
      </c>
    </row>
    <row r="1019" spans="1:4" x14ac:dyDescent="0.2">
      <c r="A1019" s="5">
        <v>958</v>
      </c>
      <c r="B1019" s="138">
        <f ca="1">'Expenditures 15-22'!H45</f>
        <v>0</v>
      </c>
      <c r="D1019" s="2" t="str">
        <f t="shared" ca="1" si="14"/>
        <v>Error?</v>
      </c>
    </row>
    <row r="1020" spans="1:4" x14ac:dyDescent="0.2">
      <c r="A1020" s="5">
        <v>959</v>
      </c>
      <c r="B1020" s="138">
        <f ca="1">'Expenditures 15-22'!H46</f>
        <v>0</v>
      </c>
      <c r="D1020" s="2" t="str">
        <f t="shared" ca="1" si="14"/>
        <v>Error?</v>
      </c>
    </row>
    <row r="1021" spans="1:4" x14ac:dyDescent="0.2">
      <c r="A1021" s="5">
        <v>960</v>
      </c>
      <c r="B1021" s="138">
        <f ca="1">'Expenditures 15-22'!H47</f>
        <v>0</v>
      </c>
      <c r="C1021" s="2" t="s">
        <v>573</v>
      </c>
      <c r="D1021" s="2" t="str">
        <f t="shared" ca="1" si="14"/>
        <v>Error?</v>
      </c>
    </row>
    <row r="1022" spans="1:4" x14ac:dyDescent="0.2">
      <c r="A1022" s="5">
        <v>961</v>
      </c>
      <c r="B1022" s="138">
        <f ca="1">'Expenditures 15-22'!H49</f>
        <v>13932</v>
      </c>
      <c r="D1022" s="2" t="str">
        <f t="shared" ca="1" si="14"/>
        <v>Error?</v>
      </c>
    </row>
    <row r="1023" spans="1:4" x14ac:dyDescent="0.2">
      <c r="A1023" s="5">
        <v>962</v>
      </c>
      <c r="B1023" s="138">
        <f ca="1">'Expenditures 15-22'!H50</f>
        <v>0</v>
      </c>
      <c r="D1023" s="2" t="str">
        <f t="shared" ref="D1023:D1086" ca="1" si="15">IF(ISBLANK(B1023),"OK",IF(A1023-B1023=0,"OK","Error?"))</f>
        <v>Error?</v>
      </c>
    </row>
    <row r="1024" spans="1:4" x14ac:dyDescent="0.2">
      <c r="A1024" s="5">
        <v>963</v>
      </c>
      <c r="B1024" s="138">
        <f ca="1">'Expenditures 15-22'!H53</f>
        <v>13932</v>
      </c>
      <c r="C1024" s="2" t="s">
        <v>573</v>
      </c>
      <c r="D1024" s="2" t="str">
        <f t="shared" ca="1" si="15"/>
        <v>Error?</v>
      </c>
    </row>
    <row r="1025" spans="1:4" x14ac:dyDescent="0.2">
      <c r="A1025" s="5">
        <v>964</v>
      </c>
      <c r="B1025" s="138">
        <f ca="1">'Expenditures 15-22'!H55</f>
        <v>3832</v>
      </c>
      <c r="D1025" s="2" t="str">
        <f t="shared" ca="1" si="15"/>
        <v>Error?</v>
      </c>
    </row>
    <row r="1026" spans="1:4" x14ac:dyDescent="0.2">
      <c r="A1026" s="5">
        <v>965</v>
      </c>
      <c r="B1026" s="138">
        <f ca="1">'Expenditures 15-22'!H56</f>
        <v>0</v>
      </c>
      <c r="D1026" s="2" t="str">
        <f t="shared" ca="1" si="15"/>
        <v>Error?</v>
      </c>
    </row>
    <row r="1027" spans="1:4" x14ac:dyDescent="0.2">
      <c r="A1027" s="5">
        <v>966</v>
      </c>
      <c r="B1027" s="138">
        <f ca="1">'Expenditures 15-22'!H57</f>
        <v>3832</v>
      </c>
      <c r="C1027" s="2" t="s">
        <v>573</v>
      </c>
      <c r="D1027" s="2" t="str">
        <f t="shared" ca="1" si="15"/>
        <v>Error?</v>
      </c>
    </row>
    <row r="1028" spans="1:4" x14ac:dyDescent="0.2">
      <c r="A1028" s="5">
        <v>967</v>
      </c>
      <c r="B1028" s="138">
        <f ca="1">'Expenditures 15-22'!H59</f>
        <v>0</v>
      </c>
      <c r="D1028" s="2" t="str">
        <f t="shared" ca="1" si="15"/>
        <v>Error?</v>
      </c>
    </row>
    <row r="1029" spans="1:4" x14ac:dyDescent="0.2">
      <c r="A1029" s="5">
        <v>968</v>
      </c>
      <c r="B1029" s="138">
        <f ca="1">'Expenditures 15-22'!H60</f>
        <v>626</v>
      </c>
      <c r="D1029" s="2" t="str">
        <f t="shared" ca="1" si="15"/>
        <v>Error?</v>
      </c>
    </row>
    <row r="1030" spans="1:4" x14ac:dyDescent="0.2">
      <c r="A1030" s="5">
        <v>969</v>
      </c>
      <c r="B1030" s="138">
        <f ca="1">'Expenditures 15-22'!H61</f>
        <v>0</v>
      </c>
      <c r="D1030" s="2" t="str">
        <f t="shared" ca="1" si="15"/>
        <v>Error?</v>
      </c>
    </row>
    <row r="1031" spans="1:4" x14ac:dyDescent="0.2">
      <c r="A1031" s="5">
        <v>970</v>
      </c>
      <c r="B1031" s="138">
        <f ca="1">'Expenditures 15-22'!H62</f>
        <v>0</v>
      </c>
      <c r="D1031" s="2" t="str">
        <f t="shared" ca="1" si="15"/>
        <v>Error?</v>
      </c>
    </row>
    <row r="1032" spans="1:4" x14ac:dyDescent="0.2">
      <c r="A1032" s="5">
        <v>971</v>
      </c>
      <c r="B1032" s="138">
        <f ca="1">'Expenditures 15-22'!H63</f>
        <v>0</v>
      </c>
      <c r="D1032" s="2" t="str">
        <f t="shared" ca="1" si="15"/>
        <v>Error?</v>
      </c>
    </row>
    <row r="1033" spans="1:4" x14ac:dyDescent="0.2">
      <c r="A1033" s="5">
        <v>972</v>
      </c>
      <c r="B1033" s="138">
        <f ca="1">'Expenditures 15-22'!H64</f>
        <v>0</v>
      </c>
      <c r="D1033" s="2" t="str">
        <f t="shared" ca="1" si="15"/>
        <v>Error?</v>
      </c>
    </row>
    <row r="1034" spans="1:4" x14ac:dyDescent="0.2">
      <c r="A1034" s="10">
        <v>973</v>
      </c>
      <c r="D1034" s="2" t="str">
        <f t="shared" si="15"/>
        <v>OK</v>
      </c>
    </row>
    <row r="1035" spans="1:4" x14ac:dyDescent="0.2">
      <c r="A1035" s="5">
        <v>974</v>
      </c>
      <c r="B1035" s="138">
        <f ca="1">'Expenditures 15-22'!H65</f>
        <v>626</v>
      </c>
      <c r="C1035" s="2" t="s">
        <v>573</v>
      </c>
      <c r="D1035" s="2" t="str">
        <f t="shared" ca="1" si="15"/>
        <v>Error?</v>
      </c>
    </row>
    <row r="1036" spans="1:4" x14ac:dyDescent="0.2">
      <c r="A1036" s="5">
        <v>975</v>
      </c>
      <c r="B1036" s="138">
        <f ca="1">'Expenditures 15-22'!H67</f>
        <v>0</v>
      </c>
      <c r="D1036" s="2" t="str">
        <f t="shared" ca="1" si="15"/>
        <v>Error?</v>
      </c>
    </row>
    <row r="1037" spans="1:4" x14ac:dyDescent="0.2">
      <c r="A1037" s="5">
        <v>976</v>
      </c>
      <c r="B1037" s="138">
        <f ca="1">'Expenditures 15-22'!H68</f>
        <v>0</v>
      </c>
      <c r="D1037" s="2" t="str">
        <f t="shared" ca="1" si="15"/>
        <v>Error?</v>
      </c>
    </row>
    <row r="1038" spans="1:4" x14ac:dyDescent="0.2">
      <c r="A1038" s="5">
        <v>977</v>
      </c>
      <c r="B1038" s="138">
        <f ca="1">'Expenditures 15-22'!H69</f>
        <v>0</v>
      </c>
      <c r="D1038" s="2" t="str">
        <f t="shared" ca="1" si="15"/>
        <v>Error?</v>
      </c>
    </row>
    <row r="1039" spans="1:4" x14ac:dyDescent="0.2">
      <c r="A1039" s="5">
        <v>978</v>
      </c>
      <c r="B1039" s="138">
        <f ca="1">'Expenditures 15-22'!H70</f>
        <v>0</v>
      </c>
      <c r="D1039" s="2" t="str">
        <f t="shared" ca="1" si="15"/>
        <v>Error?</v>
      </c>
    </row>
    <row r="1040" spans="1:4" x14ac:dyDescent="0.2">
      <c r="A1040" s="10">
        <v>979</v>
      </c>
      <c r="D1040" s="2" t="str">
        <f t="shared" si="15"/>
        <v>OK</v>
      </c>
    </row>
    <row r="1041" spans="1:4" x14ac:dyDescent="0.2">
      <c r="A1041" s="5">
        <v>980</v>
      </c>
      <c r="B1041" s="138">
        <f ca="1">'Expenditures 15-22'!H71</f>
        <v>0</v>
      </c>
      <c r="D1041" s="2" t="str">
        <f t="shared" ca="1" si="15"/>
        <v>Error?</v>
      </c>
    </row>
    <row r="1042" spans="1:4" x14ac:dyDescent="0.2">
      <c r="A1042" s="10">
        <v>981</v>
      </c>
      <c r="D1042" s="2" t="str">
        <f t="shared" si="15"/>
        <v>OK</v>
      </c>
    </row>
    <row r="1043" spans="1:4" x14ac:dyDescent="0.2">
      <c r="A1043" s="5">
        <v>982</v>
      </c>
      <c r="B1043" s="138">
        <f ca="1">'Expenditures 15-22'!H72</f>
        <v>0</v>
      </c>
      <c r="C1043" s="2" t="s">
        <v>573</v>
      </c>
      <c r="D1043" s="2" t="str">
        <f t="shared" ca="1" si="15"/>
        <v>Error?</v>
      </c>
    </row>
    <row r="1044" spans="1:4" x14ac:dyDescent="0.2">
      <c r="A1044" s="5">
        <v>983</v>
      </c>
      <c r="B1044" s="138">
        <f ca="1">'Expenditures 15-22'!H73</f>
        <v>0</v>
      </c>
      <c r="D1044" s="2" t="str">
        <f t="shared" ca="1" si="15"/>
        <v>Error?</v>
      </c>
    </row>
    <row r="1045" spans="1:4" x14ac:dyDescent="0.2">
      <c r="A1045" s="5">
        <v>984</v>
      </c>
      <c r="B1045" s="138">
        <f ca="1">'Expenditures 15-22'!H74</f>
        <v>19720</v>
      </c>
      <c r="C1045" s="2" t="s">
        <v>573</v>
      </c>
      <c r="D1045" s="2" t="str">
        <f t="shared" ca="1" si="15"/>
        <v>Error?</v>
      </c>
    </row>
    <row r="1046" spans="1:4" x14ac:dyDescent="0.2">
      <c r="A1046" s="5">
        <v>985</v>
      </c>
      <c r="B1046" s="138">
        <f ca="1">'Expenditures 15-22'!H75</f>
        <v>0</v>
      </c>
      <c r="D1046" s="2" t="str">
        <f t="shared" ca="1" si="15"/>
        <v>Error?</v>
      </c>
    </row>
    <row r="1047" spans="1:4" x14ac:dyDescent="0.2">
      <c r="A1047" s="5">
        <v>986</v>
      </c>
      <c r="B1047" s="138">
        <f ca="1">'Expenditures 15-22'!H102</f>
        <v>533034</v>
      </c>
      <c r="C1047" s="2" t="s">
        <v>573</v>
      </c>
      <c r="D1047" s="2" t="str">
        <f t="shared" ca="1" si="15"/>
        <v>Error?</v>
      </c>
    </row>
    <row r="1048" spans="1:4" x14ac:dyDescent="0.2">
      <c r="A1048" s="5">
        <v>987</v>
      </c>
      <c r="B1048" s="138">
        <f ca="1">'Expenditures 15-22'!H105</f>
        <v>0</v>
      </c>
      <c r="D1048" s="2" t="str">
        <f t="shared" ca="1" si="15"/>
        <v>Error?</v>
      </c>
    </row>
    <row r="1049" spans="1:4" x14ac:dyDescent="0.2">
      <c r="A1049" s="5">
        <v>988</v>
      </c>
      <c r="B1049" s="138">
        <f ca="1">'Expenditures 15-22'!H106</f>
        <v>0</v>
      </c>
      <c r="D1049" s="2" t="str">
        <f t="shared" ca="1" si="15"/>
        <v>Error?</v>
      </c>
    </row>
    <row r="1050" spans="1:4" x14ac:dyDescent="0.2">
      <c r="A1050" s="10">
        <v>989</v>
      </c>
      <c r="D1050" s="2" t="str">
        <f t="shared" si="15"/>
        <v>OK</v>
      </c>
    </row>
    <row r="1051" spans="1:4" x14ac:dyDescent="0.2">
      <c r="A1051" s="5">
        <v>990</v>
      </c>
      <c r="B1051" s="138">
        <f ca="1">'Expenditures 15-22'!H109</f>
        <v>0</v>
      </c>
      <c r="D1051" s="2" t="str">
        <f t="shared" ca="1" si="15"/>
        <v>Error?</v>
      </c>
    </row>
    <row r="1052" spans="1:4" x14ac:dyDescent="0.2">
      <c r="A1052" s="10">
        <v>991</v>
      </c>
      <c r="D1052" s="2" t="str">
        <f t="shared" si="15"/>
        <v>OK</v>
      </c>
    </row>
    <row r="1053" spans="1:4" x14ac:dyDescent="0.2">
      <c r="A1053" s="5">
        <v>992</v>
      </c>
      <c r="B1053" s="138">
        <f ca="1">'Expenditures 15-22'!H110</f>
        <v>0</v>
      </c>
      <c r="C1053" s="2" t="s">
        <v>573</v>
      </c>
      <c r="D1053" s="2" t="str">
        <f t="shared" ca="1" si="15"/>
        <v>Error?</v>
      </c>
    </row>
    <row r="1054" spans="1:4" x14ac:dyDescent="0.2">
      <c r="A1054" s="5">
        <v>993</v>
      </c>
      <c r="B1054" s="138">
        <f ca="1">'Expenditures 15-22'!H114</f>
        <v>791894</v>
      </c>
      <c r="C1054" s="2" t="s">
        <v>573</v>
      </c>
      <c r="D1054" s="2" t="str">
        <f t="shared" ca="1"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 ca="1">'Expenditures 15-22'!K5</f>
        <v>7074271</v>
      </c>
      <c r="C1093" s="2" t="s">
        <v>573</v>
      </c>
      <c r="D1093" s="2" t="str">
        <f t="shared" ca="1" si="16"/>
        <v>Error?</v>
      </c>
    </row>
    <row r="1094" spans="1:4" x14ac:dyDescent="0.2">
      <c r="A1094" s="5">
        <v>1033</v>
      </c>
      <c r="B1094" s="138">
        <f ca="1">'Expenditures 15-22'!K16</f>
        <v>0</v>
      </c>
      <c r="C1094" s="2" t="s">
        <v>573</v>
      </c>
      <c r="D1094" s="2" t="str">
        <f t="shared" ca="1"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 ca="1">'Expenditures 15-22'!K18</f>
        <v>0</v>
      </c>
      <c r="C1100" s="2" t="s">
        <v>573</v>
      </c>
      <c r="D1100" s="2" t="str">
        <f t="shared" ca="1"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 ca="1">'Expenditures 15-22'!K12</f>
        <v>0</v>
      </c>
      <c r="C1104" s="2" t="s">
        <v>573</v>
      </c>
      <c r="D1104" s="2" t="str">
        <f t="shared" ca="1" si="16"/>
        <v>Error?</v>
      </c>
    </row>
    <row r="1105" spans="1:4" x14ac:dyDescent="0.2">
      <c r="A1105" s="5">
        <v>1044</v>
      </c>
      <c r="B1105" s="138">
        <f ca="1">'Expenditures 15-22'!K13</f>
        <v>0</v>
      </c>
      <c r="C1105" s="2" t="s">
        <v>573</v>
      </c>
      <c r="D1105" s="2" t="str">
        <f t="shared" ca="1" si="16"/>
        <v>Error?</v>
      </c>
    </row>
    <row r="1106" spans="1:4" x14ac:dyDescent="0.2">
      <c r="A1106" s="5">
        <v>1045</v>
      </c>
      <c r="B1106" s="138">
        <f ca="1">'Expenditures 15-22'!K14</f>
        <v>183814</v>
      </c>
      <c r="C1106" s="2" t="s">
        <v>573</v>
      </c>
      <c r="D1106" s="2" t="str">
        <f t="shared" ca="1" si="16"/>
        <v>Error?</v>
      </c>
    </row>
    <row r="1107" spans="1:4" x14ac:dyDescent="0.2">
      <c r="A1107" s="5">
        <v>1046</v>
      </c>
      <c r="B1107" s="138">
        <f ca="1">'Expenditures 15-22'!K15</f>
        <v>0</v>
      </c>
      <c r="C1107" s="2" t="s">
        <v>573</v>
      </c>
      <c r="D1107" s="2" t="str">
        <f t="shared" ca="1" si="16"/>
        <v>Error?</v>
      </c>
    </row>
    <row r="1108" spans="1:4" x14ac:dyDescent="0.2">
      <c r="A1108" s="5">
        <v>1047</v>
      </c>
      <c r="B1108" s="138">
        <f ca="1">'Expenditures 15-22'!K33</f>
        <v>11605895</v>
      </c>
      <c r="C1108" s="2" t="s">
        <v>573</v>
      </c>
      <c r="D1108" s="2" t="str">
        <f t="shared" ca="1" si="16"/>
        <v>Error?</v>
      </c>
    </row>
    <row r="1109" spans="1:4" x14ac:dyDescent="0.2">
      <c r="A1109" s="5">
        <v>1048</v>
      </c>
      <c r="B1109" s="138">
        <f ca="1">'Expenditures 15-22'!K36</f>
        <v>477603</v>
      </c>
      <c r="C1109" s="2" t="s">
        <v>573</v>
      </c>
      <c r="D1109" s="2" t="str">
        <f t="shared" ca="1" si="16"/>
        <v>Error?</v>
      </c>
    </row>
    <row r="1110" spans="1:4" x14ac:dyDescent="0.2">
      <c r="A1110" s="5">
        <v>1049</v>
      </c>
      <c r="B1110" s="138">
        <f ca="1">'Expenditures 15-22'!K37</f>
        <v>179338</v>
      </c>
      <c r="C1110" s="2" t="s">
        <v>573</v>
      </c>
      <c r="D1110" s="2" t="str">
        <f t="shared" ca="1" si="16"/>
        <v>Error?</v>
      </c>
    </row>
    <row r="1111" spans="1:4" x14ac:dyDescent="0.2">
      <c r="A1111" s="5">
        <v>1050</v>
      </c>
      <c r="B1111" s="138">
        <f ca="1">'Expenditures 15-22'!K38</f>
        <v>145218</v>
      </c>
      <c r="C1111" s="2" t="s">
        <v>573</v>
      </c>
      <c r="D1111" s="2" t="str">
        <f t="shared" ca="1" si="16"/>
        <v>Error?</v>
      </c>
    </row>
    <row r="1112" spans="1:4" x14ac:dyDescent="0.2">
      <c r="A1112" s="5">
        <v>1051</v>
      </c>
      <c r="B1112" s="138">
        <f ca="1">'Expenditures 15-22'!K39</f>
        <v>352574</v>
      </c>
      <c r="C1112" s="2" t="s">
        <v>573</v>
      </c>
      <c r="D1112" s="2" t="str">
        <f t="shared" ca="1" si="16"/>
        <v>Error?</v>
      </c>
    </row>
    <row r="1113" spans="1:4" x14ac:dyDescent="0.2">
      <c r="A1113" s="5">
        <v>1052</v>
      </c>
      <c r="B1113" s="138">
        <f ca="1">'Expenditures 15-22'!K40</f>
        <v>433947</v>
      </c>
      <c r="C1113" s="2" t="s">
        <v>573</v>
      </c>
      <c r="D1113" s="2" t="str">
        <f t="shared" ca="1" si="16"/>
        <v>Error?</v>
      </c>
    </row>
    <row r="1114" spans="1:4" x14ac:dyDescent="0.2">
      <c r="A1114" s="5">
        <v>1053</v>
      </c>
      <c r="B1114" s="138">
        <f ca="1">'Expenditures 15-22'!K41</f>
        <v>0</v>
      </c>
      <c r="C1114" s="2" t="s">
        <v>573</v>
      </c>
      <c r="D1114" s="2" t="str">
        <f t="shared" ca="1" si="16"/>
        <v>Error?</v>
      </c>
    </row>
    <row r="1115" spans="1:4" x14ac:dyDescent="0.2">
      <c r="A1115" s="5">
        <v>1054</v>
      </c>
      <c r="B1115" s="138">
        <f ca="1">'Expenditures 15-22'!K42</f>
        <v>1588680</v>
      </c>
      <c r="C1115" s="2" t="s">
        <v>573</v>
      </c>
      <c r="D1115" s="2" t="str">
        <f t="shared" ca="1" si="16"/>
        <v>Error?</v>
      </c>
    </row>
    <row r="1116" spans="1:4" x14ac:dyDescent="0.2">
      <c r="A1116" s="5">
        <v>1055</v>
      </c>
      <c r="B1116" s="138">
        <f ca="1">'Expenditures 15-22'!K44</f>
        <v>93385</v>
      </c>
      <c r="C1116" s="2" t="s">
        <v>573</v>
      </c>
      <c r="D1116" s="2" t="str">
        <f t="shared" ca="1" si="16"/>
        <v>Error?</v>
      </c>
    </row>
    <row r="1117" spans="1:4" x14ac:dyDescent="0.2">
      <c r="A1117" s="5">
        <v>1056</v>
      </c>
      <c r="B1117" s="138">
        <f ca="1">'Expenditures 15-22'!K45</f>
        <v>844590</v>
      </c>
      <c r="C1117" s="2" t="s">
        <v>573</v>
      </c>
      <c r="D1117" s="2" t="str">
        <f t="shared" ca="1" si="16"/>
        <v>Error?</v>
      </c>
    </row>
    <row r="1118" spans="1:4" x14ac:dyDescent="0.2">
      <c r="A1118" s="5">
        <v>1057</v>
      </c>
      <c r="B1118" s="138">
        <f ca="1">'Expenditures 15-22'!K46</f>
        <v>0</v>
      </c>
      <c r="C1118" s="2" t="s">
        <v>573</v>
      </c>
      <c r="D1118" s="2" t="str">
        <f t="shared" ca="1" si="16"/>
        <v>Error?</v>
      </c>
    </row>
    <row r="1119" spans="1:4" x14ac:dyDescent="0.2">
      <c r="A1119" s="5">
        <v>1058</v>
      </c>
      <c r="B1119" s="138">
        <f ca="1">'Expenditures 15-22'!K47</f>
        <v>937975</v>
      </c>
      <c r="C1119" s="2" t="s">
        <v>573</v>
      </c>
      <c r="D1119" s="2" t="str">
        <f t="shared" ca="1" si="16"/>
        <v>Error?</v>
      </c>
    </row>
    <row r="1120" spans="1:4" x14ac:dyDescent="0.2">
      <c r="A1120" s="5">
        <v>1059</v>
      </c>
      <c r="B1120" s="138">
        <f ca="1">'Expenditures 15-22'!K49</f>
        <v>172398</v>
      </c>
      <c r="C1120" s="2" t="s">
        <v>573</v>
      </c>
      <c r="D1120" s="2" t="str">
        <f t="shared" ca="1" si="16"/>
        <v>Error?</v>
      </c>
    </row>
    <row r="1121" spans="1:4" x14ac:dyDescent="0.2">
      <c r="A1121" s="5">
        <v>1060</v>
      </c>
      <c r="B1121" s="138">
        <f ca="1">'Expenditures 15-22'!K50</f>
        <v>292362</v>
      </c>
      <c r="C1121" s="2" t="s">
        <v>573</v>
      </c>
      <c r="D1121" s="2" t="str">
        <f t="shared" ca="1" si="16"/>
        <v>Error?</v>
      </c>
    </row>
    <row r="1122" spans="1:4" x14ac:dyDescent="0.2">
      <c r="A1122" s="5">
        <v>1061</v>
      </c>
      <c r="B1122" s="138">
        <f ca="1">'Expenditures 15-22'!K53</f>
        <v>464760</v>
      </c>
      <c r="C1122" s="2" t="s">
        <v>573</v>
      </c>
      <c r="D1122" s="2" t="str">
        <f t="shared" ca="1" si="16"/>
        <v>Error?</v>
      </c>
    </row>
    <row r="1123" spans="1:4" x14ac:dyDescent="0.2">
      <c r="A1123" s="5">
        <v>1062</v>
      </c>
      <c r="B1123" s="138">
        <f ca="1">'Expenditures 15-22'!K55</f>
        <v>956531</v>
      </c>
      <c r="C1123" s="2" t="s">
        <v>573</v>
      </c>
      <c r="D1123" s="2" t="str">
        <f t="shared" ca="1" si="16"/>
        <v>Error?</v>
      </c>
    </row>
    <row r="1124" spans="1:4" x14ac:dyDescent="0.2">
      <c r="A1124" s="5">
        <v>1063</v>
      </c>
      <c r="B1124" s="138">
        <f ca="1">'Expenditures 15-22'!K56</f>
        <v>0</v>
      </c>
      <c r="C1124" s="2" t="s">
        <v>573</v>
      </c>
      <c r="D1124" s="2" t="str">
        <f t="shared" ca="1" si="16"/>
        <v>Error?</v>
      </c>
    </row>
    <row r="1125" spans="1:4" x14ac:dyDescent="0.2">
      <c r="A1125" s="5">
        <v>1064</v>
      </c>
      <c r="B1125" s="138">
        <f ca="1">'Expenditures 15-22'!K57</f>
        <v>956531</v>
      </c>
      <c r="C1125" s="2" t="s">
        <v>573</v>
      </c>
      <c r="D1125" s="2" t="str">
        <f t="shared" ca="1" si="16"/>
        <v>Error?</v>
      </c>
    </row>
    <row r="1126" spans="1:4" x14ac:dyDescent="0.2">
      <c r="A1126" s="5">
        <v>1065</v>
      </c>
      <c r="B1126" s="138">
        <f ca="1">'Expenditures 15-22'!K59</f>
        <v>0</v>
      </c>
      <c r="C1126" s="2" t="s">
        <v>573</v>
      </c>
      <c r="D1126" s="2" t="str">
        <f t="shared" ca="1" si="16"/>
        <v>Error?</v>
      </c>
    </row>
    <row r="1127" spans="1:4" x14ac:dyDescent="0.2">
      <c r="A1127" s="5">
        <v>1066</v>
      </c>
      <c r="B1127" s="138">
        <f ca="1">'Expenditures 15-22'!K60</f>
        <v>140269</v>
      </c>
      <c r="C1127" s="2" t="s">
        <v>573</v>
      </c>
      <c r="D1127" s="2" t="str">
        <f t="shared" ca="1" si="16"/>
        <v>Error?</v>
      </c>
    </row>
    <row r="1128" spans="1:4" x14ac:dyDescent="0.2">
      <c r="A1128" s="5">
        <v>1067</v>
      </c>
      <c r="B1128" s="138">
        <f ca="1">'Expenditures 15-22'!K61</f>
        <v>292894</v>
      </c>
      <c r="C1128" s="2" t="s">
        <v>573</v>
      </c>
      <c r="D1128" s="2" t="str">
        <f t="shared" ca="1" si="16"/>
        <v>Error?</v>
      </c>
    </row>
    <row r="1129" spans="1:4" x14ac:dyDescent="0.2">
      <c r="A1129" s="5">
        <v>1068</v>
      </c>
      <c r="B1129" s="138">
        <f ca="1">'Expenditures 15-22'!K62</f>
        <v>0</v>
      </c>
      <c r="C1129" s="2" t="s">
        <v>573</v>
      </c>
      <c r="D1129" s="2" t="str">
        <f t="shared" ca="1" si="16"/>
        <v>Error?</v>
      </c>
    </row>
    <row r="1130" spans="1:4" x14ac:dyDescent="0.2">
      <c r="A1130" s="5">
        <v>1069</v>
      </c>
      <c r="B1130" s="138">
        <f ca="1">'Expenditures 15-22'!K63</f>
        <v>577291</v>
      </c>
      <c r="C1130" s="2" t="s">
        <v>573</v>
      </c>
      <c r="D1130" s="2" t="str">
        <f t="shared" ca="1" si="16"/>
        <v>Error?</v>
      </c>
    </row>
    <row r="1131" spans="1:4" x14ac:dyDescent="0.2">
      <c r="A1131" s="5">
        <v>1070</v>
      </c>
      <c r="B1131" s="138">
        <f ca="1">'Expenditures 15-22'!K64</f>
        <v>26587</v>
      </c>
      <c r="C1131" s="2" t="s">
        <v>573</v>
      </c>
      <c r="D1131" s="2" t="str">
        <f t="shared" ca="1" si="16"/>
        <v>Error?</v>
      </c>
    </row>
    <row r="1132" spans="1:4" x14ac:dyDescent="0.2">
      <c r="A1132" s="10">
        <v>1071</v>
      </c>
      <c r="D1132" s="2" t="str">
        <f t="shared" si="16"/>
        <v>OK</v>
      </c>
    </row>
    <row r="1133" spans="1:4" x14ac:dyDescent="0.2">
      <c r="A1133" s="5">
        <v>1072</v>
      </c>
      <c r="B1133" s="138">
        <f ca="1">'Expenditures 15-22'!K65</f>
        <v>1037041</v>
      </c>
      <c r="C1133" s="2" t="s">
        <v>573</v>
      </c>
      <c r="D1133" s="2" t="str">
        <f t="shared" ca="1" si="16"/>
        <v>Error?</v>
      </c>
    </row>
    <row r="1134" spans="1:4" x14ac:dyDescent="0.2">
      <c r="A1134" s="5">
        <v>1073</v>
      </c>
      <c r="B1134" s="138">
        <f ca="1">'Expenditures 15-22'!K67</f>
        <v>0</v>
      </c>
      <c r="C1134" s="2" t="s">
        <v>573</v>
      </c>
      <c r="D1134" s="2" t="str">
        <f t="shared" ca="1" si="16"/>
        <v>Error?</v>
      </c>
    </row>
    <row r="1135" spans="1:4" x14ac:dyDescent="0.2">
      <c r="A1135" s="5">
        <v>1074</v>
      </c>
      <c r="B1135" s="138">
        <f ca="1">'Expenditures 15-22'!K68</f>
        <v>23500</v>
      </c>
      <c r="C1135" s="2" t="s">
        <v>573</v>
      </c>
      <c r="D1135" s="2" t="str">
        <f t="shared" ca="1" si="16"/>
        <v>Error?</v>
      </c>
    </row>
    <row r="1136" spans="1:4" x14ac:dyDescent="0.2">
      <c r="A1136" s="5">
        <v>1075</v>
      </c>
      <c r="B1136" s="138">
        <f ca="1">'Expenditures 15-22'!K69</f>
        <v>7152</v>
      </c>
      <c r="C1136" s="2" t="s">
        <v>573</v>
      </c>
      <c r="D1136" s="2" t="str">
        <f t="shared" ca="1" si="16"/>
        <v>Error?</v>
      </c>
    </row>
    <row r="1137" spans="1:4" x14ac:dyDescent="0.2">
      <c r="A1137" s="5">
        <v>1076</v>
      </c>
      <c r="B1137" s="138">
        <f ca="1">'Expenditures 15-22'!K70</f>
        <v>6364</v>
      </c>
      <c r="C1137" s="2" t="s">
        <v>573</v>
      </c>
      <c r="D1137" s="2" t="str">
        <f t="shared" ca="1" si="16"/>
        <v>Error?</v>
      </c>
    </row>
    <row r="1138" spans="1:4" x14ac:dyDescent="0.2">
      <c r="A1138" s="10">
        <v>1077</v>
      </c>
      <c r="D1138" s="2" t="str">
        <f t="shared" si="16"/>
        <v>OK</v>
      </c>
    </row>
    <row r="1139" spans="1:4" x14ac:dyDescent="0.2">
      <c r="A1139" s="5">
        <v>1078</v>
      </c>
      <c r="B1139" s="138">
        <f ca="1">'Expenditures 15-22'!K71</f>
        <v>0</v>
      </c>
      <c r="C1139" s="2" t="s">
        <v>573</v>
      </c>
      <c r="D1139" s="2" t="str">
        <f t="shared" ca="1" si="16"/>
        <v>Error?</v>
      </c>
    </row>
    <row r="1140" spans="1:4" x14ac:dyDescent="0.2">
      <c r="A1140" s="10">
        <v>1079</v>
      </c>
      <c r="D1140" s="2" t="str">
        <f t="shared" si="16"/>
        <v>OK</v>
      </c>
    </row>
    <row r="1141" spans="1:4" x14ac:dyDescent="0.2">
      <c r="A1141" s="5">
        <v>1080</v>
      </c>
      <c r="B1141" s="138">
        <f ca="1">'Expenditures 15-22'!K72</f>
        <v>37016</v>
      </c>
      <c r="C1141" s="2" t="s">
        <v>573</v>
      </c>
      <c r="D1141" s="2" t="str">
        <f t="shared" ca="1" si="16"/>
        <v>Error?</v>
      </c>
    </row>
    <row r="1142" spans="1:4" x14ac:dyDescent="0.2">
      <c r="A1142" s="5">
        <v>1081</v>
      </c>
      <c r="B1142" s="138">
        <f ca="1">'Expenditures 15-22'!K73</f>
        <v>0</v>
      </c>
      <c r="C1142" s="2" t="s">
        <v>573</v>
      </c>
      <c r="D1142" s="2" t="str">
        <f t="shared" ca="1" si="16"/>
        <v>Error?</v>
      </c>
    </row>
    <row r="1143" spans="1:4" x14ac:dyDescent="0.2">
      <c r="A1143" s="5">
        <v>1082</v>
      </c>
      <c r="B1143" s="138">
        <f ca="1">'Expenditures 15-22'!K74</f>
        <v>5022003</v>
      </c>
      <c r="C1143" s="2" t="s">
        <v>573</v>
      </c>
      <c r="D1143" s="2" t="str">
        <f t="shared" ca="1" si="16"/>
        <v>Error?</v>
      </c>
    </row>
    <row r="1144" spans="1:4" x14ac:dyDescent="0.2">
      <c r="A1144" s="5">
        <v>1083</v>
      </c>
      <c r="B1144" s="138">
        <f ca="1">'Expenditures 15-22'!K75</f>
        <v>3271</v>
      </c>
      <c r="C1144" s="2" t="s">
        <v>573</v>
      </c>
      <c r="D1144" s="2" t="str">
        <f t="shared" ca="1" si="16"/>
        <v>Error?</v>
      </c>
    </row>
    <row r="1145" spans="1:4" x14ac:dyDescent="0.2">
      <c r="A1145" s="5">
        <v>1084</v>
      </c>
      <c r="B1145" s="138">
        <f ca="1">'Expenditures 15-22'!K102</f>
        <v>544534</v>
      </c>
      <c r="C1145" s="2" t="s">
        <v>573</v>
      </c>
      <c r="D1145" s="2" t="str">
        <f t="shared" ca="1" si="16"/>
        <v>Error?</v>
      </c>
    </row>
    <row r="1146" spans="1:4" x14ac:dyDescent="0.2">
      <c r="A1146" s="5">
        <v>1085</v>
      </c>
      <c r="B1146" s="138">
        <f ca="1">'Expenditures 15-22'!K105</f>
        <v>0</v>
      </c>
      <c r="C1146" s="2" t="s">
        <v>573</v>
      </c>
      <c r="D1146" s="2" t="str">
        <f t="shared" ca="1" si="16"/>
        <v>Error?</v>
      </c>
    </row>
    <row r="1147" spans="1:4" x14ac:dyDescent="0.2">
      <c r="A1147" s="5">
        <v>1086</v>
      </c>
      <c r="B1147" s="138">
        <f ca="1">'Expenditures 15-22'!K106</f>
        <v>0</v>
      </c>
      <c r="C1147" s="2" t="s">
        <v>573</v>
      </c>
      <c r="D1147" s="2" t="str">
        <f t="shared" ca="1" si="16"/>
        <v>Error?</v>
      </c>
    </row>
    <row r="1148" spans="1:4" x14ac:dyDescent="0.2">
      <c r="A1148" s="10">
        <v>1087</v>
      </c>
      <c r="C1148" s="2" t="s">
        <v>573</v>
      </c>
      <c r="D1148" s="2" t="str">
        <f t="shared" si="16"/>
        <v>OK</v>
      </c>
    </row>
    <row r="1149" spans="1:4" x14ac:dyDescent="0.2">
      <c r="A1149" s="5">
        <v>1088</v>
      </c>
      <c r="B1149" s="138">
        <f ca="1">'Expenditures 15-22'!K109</f>
        <v>0</v>
      </c>
      <c r="C1149" s="2" t="s">
        <v>573</v>
      </c>
      <c r="D1149" s="2" t="str">
        <f t="shared" ca="1" si="16"/>
        <v>Error?</v>
      </c>
    </row>
    <row r="1150" spans="1:4" x14ac:dyDescent="0.2">
      <c r="A1150" s="10">
        <v>1089</v>
      </c>
      <c r="D1150" s="2" t="str">
        <f t="shared" si="16"/>
        <v>OK</v>
      </c>
    </row>
    <row r="1151" spans="1:4" x14ac:dyDescent="0.2">
      <c r="A1151" s="5">
        <v>1090</v>
      </c>
      <c r="B1151" s="138">
        <f ca="1">'Expenditures 15-22'!K110</f>
        <v>0</v>
      </c>
      <c r="C1151" s="2" t="s">
        <v>573</v>
      </c>
      <c r="D1151" s="2" t="str">
        <f t="shared" ref="D1151:D1214" ca="1" si="17">IF(ISBLANK(B1151),"OK",IF(A1151-B1151=0,"OK","Error?"))</f>
        <v>Error?</v>
      </c>
    </row>
    <row r="1152" spans="1:4" x14ac:dyDescent="0.2">
      <c r="A1152" s="5">
        <v>1091</v>
      </c>
      <c r="B1152" s="138">
        <f ca="1">'Expenditures 15-22'!K114</f>
        <v>17175703</v>
      </c>
      <c r="C1152" s="2" t="s">
        <v>573</v>
      </c>
      <c r="D1152" s="2" t="str">
        <f t="shared" ca="1" si="17"/>
        <v>Error?</v>
      </c>
    </row>
    <row r="1153" spans="1:4" x14ac:dyDescent="0.2">
      <c r="A1153" s="5">
        <v>1092</v>
      </c>
      <c r="B1153" s="138">
        <f ca="1">'Expenditures 15-22'!K115</f>
        <v>299342</v>
      </c>
      <c r="C1153" s="2" t="s">
        <v>573</v>
      </c>
      <c r="D1153" s="2" t="str">
        <f t="shared" ca="1"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 ca="1">'Expenditures 15-22'!C122</f>
        <v>0</v>
      </c>
      <c r="D1219" s="2" t="str">
        <f t="shared" ca="1" si="18"/>
        <v>Error?</v>
      </c>
    </row>
    <row r="1220" spans="1:4" x14ac:dyDescent="0.2">
      <c r="A1220" s="5">
        <v>1159</v>
      </c>
      <c r="B1220" s="138">
        <f ca="1">'Expenditures 15-22'!C123</f>
        <v>0</v>
      </c>
      <c r="D1220" s="2" t="str">
        <f t="shared" ca="1" si="18"/>
        <v>Error?</v>
      </c>
    </row>
    <row r="1221" spans="1:4" x14ac:dyDescent="0.2">
      <c r="A1221" s="5">
        <v>1160</v>
      </c>
      <c r="B1221" s="138">
        <f ca="1">'Expenditures 15-22'!C124</f>
        <v>894032</v>
      </c>
      <c r="D1221" s="2" t="str">
        <f t="shared" ca="1" si="18"/>
        <v>Error?</v>
      </c>
    </row>
    <row r="1222" spans="1:4" x14ac:dyDescent="0.2">
      <c r="A1222" s="10">
        <v>1161</v>
      </c>
      <c r="D1222" s="2" t="str">
        <f t="shared" si="18"/>
        <v>OK</v>
      </c>
    </row>
    <row r="1223" spans="1:4" x14ac:dyDescent="0.2">
      <c r="A1223" s="5">
        <v>1162</v>
      </c>
      <c r="B1223" s="138">
        <f ca="1">'Expenditures 15-22'!C127</f>
        <v>894032</v>
      </c>
      <c r="C1223" s="2" t="s">
        <v>573</v>
      </c>
      <c r="D1223" s="2" t="str">
        <f t="shared" ca="1" si="18"/>
        <v>Error?</v>
      </c>
    </row>
    <row r="1224" spans="1:4" x14ac:dyDescent="0.2">
      <c r="A1224" s="5">
        <v>1163</v>
      </c>
      <c r="B1224" s="138">
        <f ca="1">'Expenditures 15-22'!C128</f>
        <v>0</v>
      </c>
      <c r="D1224" s="2" t="str">
        <f t="shared" ca="1" si="18"/>
        <v>Error?</v>
      </c>
    </row>
    <row r="1225" spans="1:4" x14ac:dyDescent="0.2">
      <c r="A1225" s="5">
        <v>1164</v>
      </c>
      <c r="B1225" s="138">
        <f ca="1">'Expenditures 15-22'!C129</f>
        <v>894032</v>
      </c>
      <c r="C1225" s="2" t="s">
        <v>573</v>
      </c>
      <c r="D1225" s="2" t="str">
        <f t="shared" ca="1" si="18"/>
        <v>Error?</v>
      </c>
    </row>
    <row r="1226" spans="1:4" x14ac:dyDescent="0.2">
      <c r="A1226" s="5">
        <v>1165</v>
      </c>
      <c r="B1226" s="138">
        <f ca="1">'Expenditures 15-22'!C151</f>
        <v>894032</v>
      </c>
      <c r="C1226" s="2" t="s">
        <v>573</v>
      </c>
      <c r="D1226" s="2" t="str">
        <f t="shared" ca="1" si="18"/>
        <v>Error?</v>
      </c>
    </row>
    <row r="1227" spans="1:4" x14ac:dyDescent="0.2">
      <c r="A1227" s="5">
        <v>1166</v>
      </c>
      <c r="B1227" s="138">
        <f ca="1">'Expenditures 15-22'!D122</f>
        <v>0</v>
      </c>
      <c r="D1227" s="2" t="str">
        <f t="shared" ca="1" si="18"/>
        <v>Error?</v>
      </c>
    </row>
    <row r="1228" spans="1:4" x14ac:dyDescent="0.2">
      <c r="A1228" s="5">
        <v>1167</v>
      </c>
      <c r="B1228" s="138">
        <f ca="1">'Expenditures 15-22'!D123</f>
        <v>0</v>
      </c>
      <c r="D1228" s="2" t="str">
        <f t="shared" ca="1" si="18"/>
        <v>Error?</v>
      </c>
    </row>
    <row r="1229" spans="1:4" x14ac:dyDescent="0.2">
      <c r="A1229" s="5">
        <v>1168</v>
      </c>
      <c r="B1229" s="138">
        <f ca="1">'Expenditures 15-22'!D124</f>
        <v>178052</v>
      </c>
      <c r="D1229" s="2" t="str">
        <f t="shared" ca="1" si="18"/>
        <v>Error?</v>
      </c>
    </row>
    <row r="1230" spans="1:4" x14ac:dyDescent="0.2">
      <c r="A1230" s="10">
        <v>1169</v>
      </c>
      <c r="D1230" s="2" t="str">
        <f t="shared" si="18"/>
        <v>OK</v>
      </c>
    </row>
    <row r="1231" spans="1:4" x14ac:dyDescent="0.2">
      <c r="A1231" s="5">
        <v>1170</v>
      </c>
      <c r="B1231" s="138">
        <f ca="1">'Expenditures 15-22'!D127</f>
        <v>178052</v>
      </c>
      <c r="C1231" s="2" t="s">
        <v>573</v>
      </c>
      <c r="D1231" s="2" t="str">
        <f t="shared" ca="1" si="18"/>
        <v>Error?</v>
      </c>
    </row>
    <row r="1232" spans="1:4" x14ac:dyDescent="0.2">
      <c r="A1232" s="5">
        <v>1171</v>
      </c>
      <c r="B1232" s="138">
        <f ca="1">'Expenditures 15-22'!D128</f>
        <v>0</v>
      </c>
      <c r="D1232" s="2" t="str">
        <f t="shared" ca="1" si="18"/>
        <v>Error?</v>
      </c>
    </row>
    <row r="1233" spans="1:4" x14ac:dyDescent="0.2">
      <c r="A1233" s="5">
        <v>1172</v>
      </c>
      <c r="B1233" s="138">
        <f ca="1">'Expenditures 15-22'!D129</f>
        <v>178052</v>
      </c>
      <c r="C1233" s="2" t="s">
        <v>573</v>
      </c>
      <c r="D1233" s="2" t="str">
        <f t="shared" ca="1" si="18"/>
        <v>Error?</v>
      </c>
    </row>
    <row r="1234" spans="1:4" x14ac:dyDescent="0.2">
      <c r="A1234" s="5">
        <v>1173</v>
      </c>
      <c r="B1234" s="138">
        <f ca="1">'Expenditures 15-22'!D151</f>
        <v>178052</v>
      </c>
      <c r="C1234" s="2" t="s">
        <v>573</v>
      </c>
      <c r="D1234" s="2" t="str">
        <f t="shared" ca="1" si="18"/>
        <v>Error?</v>
      </c>
    </row>
    <row r="1235" spans="1:4" x14ac:dyDescent="0.2">
      <c r="A1235" s="5">
        <v>1174</v>
      </c>
      <c r="B1235" s="138">
        <f ca="1">'Expenditures 15-22'!E122</f>
        <v>0</v>
      </c>
      <c r="D1235" s="2" t="str">
        <f t="shared" ca="1" si="18"/>
        <v>Error?</v>
      </c>
    </row>
    <row r="1236" spans="1:4" x14ac:dyDescent="0.2">
      <c r="A1236" s="5">
        <v>1175</v>
      </c>
      <c r="B1236" s="138">
        <f ca="1">'Expenditures 15-22'!E123</f>
        <v>0</v>
      </c>
      <c r="D1236" s="2" t="str">
        <f t="shared" ca="1" si="18"/>
        <v>Error?</v>
      </c>
    </row>
    <row r="1237" spans="1:4" x14ac:dyDescent="0.2">
      <c r="A1237" s="5">
        <v>1176</v>
      </c>
      <c r="B1237" s="138">
        <f ca="1">'Expenditures 15-22'!E124</f>
        <v>183687</v>
      </c>
      <c r="D1237" s="2" t="str">
        <f t="shared" ca="1" si="18"/>
        <v>Error?</v>
      </c>
    </row>
    <row r="1238" spans="1:4" x14ac:dyDescent="0.2">
      <c r="A1238" s="10">
        <v>1177</v>
      </c>
      <c r="D1238" s="2" t="str">
        <f t="shared" si="18"/>
        <v>OK</v>
      </c>
    </row>
    <row r="1239" spans="1:4" x14ac:dyDescent="0.2">
      <c r="A1239" s="5">
        <v>1178</v>
      </c>
      <c r="B1239" s="138">
        <f ca="1">'Expenditures 15-22'!E127</f>
        <v>183687</v>
      </c>
      <c r="C1239" s="2" t="s">
        <v>573</v>
      </c>
      <c r="D1239" s="2" t="str">
        <f t="shared" ca="1" si="18"/>
        <v>Error?</v>
      </c>
    </row>
    <row r="1240" spans="1:4" x14ac:dyDescent="0.2">
      <c r="A1240" s="5">
        <v>1179</v>
      </c>
      <c r="B1240" s="138">
        <f ca="1">'Expenditures 15-22'!E128</f>
        <v>0</v>
      </c>
      <c r="D1240" s="2" t="str">
        <f t="shared" ca="1" si="18"/>
        <v>Error?</v>
      </c>
    </row>
    <row r="1241" spans="1:4" x14ac:dyDescent="0.2">
      <c r="A1241" s="5">
        <v>1180</v>
      </c>
      <c r="B1241" s="138">
        <f ca="1">'Expenditures 15-22'!E129</f>
        <v>183687</v>
      </c>
      <c r="C1241" s="2" t="s">
        <v>573</v>
      </c>
      <c r="D1241" s="2" t="str">
        <f t="shared" ca="1" si="18"/>
        <v>Error?</v>
      </c>
    </row>
    <row r="1242" spans="1:4" x14ac:dyDescent="0.2">
      <c r="A1242" s="5">
        <v>1181</v>
      </c>
      <c r="B1242" s="138">
        <f ca="1">'Expenditures 15-22'!E151</f>
        <v>183687</v>
      </c>
      <c r="C1242" s="2" t="s">
        <v>573</v>
      </c>
      <c r="D1242" s="2" t="str">
        <f t="shared" ca="1" si="18"/>
        <v>Error?</v>
      </c>
    </row>
    <row r="1243" spans="1:4" x14ac:dyDescent="0.2">
      <c r="A1243" s="5">
        <v>1182</v>
      </c>
      <c r="B1243" s="138">
        <f ca="1">'Expenditures 15-22'!F122</f>
        <v>0</v>
      </c>
      <c r="D1243" s="2" t="str">
        <f t="shared" ca="1" si="18"/>
        <v>Error?</v>
      </c>
    </row>
    <row r="1244" spans="1:4" x14ac:dyDescent="0.2">
      <c r="A1244" s="5">
        <v>1183</v>
      </c>
      <c r="B1244" s="138">
        <f ca="1">'Expenditures 15-22'!F123</f>
        <v>0</v>
      </c>
      <c r="D1244" s="2" t="str">
        <f t="shared" ca="1" si="18"/>
        <v>Error?</v>
      </c>
    </row>
    <row r="1245" spans="1:4" x14ac:dyDescent="0.2">
      <c r="A1245" s="5">
        <v>1184</v>
      </c>
      <c r="B1245" s="138">
        <f ca="1">'Expenditures 15-22'!F124</f>
        <v>93435</v>
      </c>
      <c r="D1245" s="2" t="str">
        <f t="shared" ca="1" si="18"/>
        <v>Error?</v>
      </c>
    </row>
    <row r="1246" spans="1:4" x14ac:dyDescent="0.2">
      <c r="A1246" s="10">
        <v>1185</v>
      </c>
      <c r="D1246" s="2" t="str">
        <f t="shared" si="18"/>
        <v>OK</v>
      </c>
    </row>
    <row r="1247" spans="1:4" x14ac:dyDescent="0.2">
      <c r="A1247" s="5">
        <v>1186</v>
      </c>
      <c r="B1247" s="138">
        <f ca="1">'Expenditures 15-22'!F127</f>
        <v>93435</v>
      </c>
      <c r="C1247" s="2" t="s">
        <v>573</v>
      </c>
      <c r="D1247" s="2" t="str">
        <f t="shared" ca="1" si="18"/>
        <v>Error?</v>
      </c>
    </row>
    <row r="1248" spans="1:4" x14ac:dyDescent="0.2">
      <c r="A1248" s="5">
        <v>1187</v>
      </c>
      <c r="B1248" s="138">
        <f ca="1">'Expenditures 15-22'!F128</f>
        <v>0</v>
      </c>
      <c r="D1248" s="2" t="str">
        <f t="shared" ca="1" si="18"/>
        <v>Error?</v>
      </c>
    </row>
    <row r="1249" spans="1:4" x14ac:dyDescent="0.2">
      <c r="A1249" s="5">
        <v>1188</v>
      </c>
      <c r="B1249" s="138">
        <f ca="1">'Expenditures 15-22'!F129</f>
        <v>93435</v>
      </c>
      <c r="C1249" s="2" t="s">
        <v>573</v>
      </c>
      <c r="D1249" s="2" t="str">
        <f t="shared" ca="1" si="18"/>
        <v>Error?</v>
      </c>
    </row>
    <row r="1250" spans="1:4" x14ac:dyDescent="0.2">
      <c r="A1250" s="5">
        <v>1189</v>
      </c>
      <c r="B1250" s="138">
        <f ca="1">'Expenditures 15-22'!F151</f>
        <v>93435</v>
      </c>
      <c r="C1250" s="2" t="s">
        <v>573</v>
      </c>
      <c r="D1250" s="2" t="str">
        <f t="shared" ca="1" si="18"/>
        <v>Error?</v>
      </c>
    </row>
    <row r="1251" spans="1:4" x14ac:dyDescent="0.2">
      <c r="A1251" s="5">
        <v>1190</v>
      </c>
      <c r="B1251" s="138">
        <f ca="1">'Expenditures 15-22'!G122</f>
        <v>0</v>
      </c>
      <c r="D1251" s="2" t="str">
        <f t="shared" ca="1" si="18"/>
        <v>Error?</v>
      </c>
    </row>
    <row r="1252" spans="1:4" x14ac:dyDescent="0.2">
      <c r="A1252" s="5">
        <v>1191</v>
      </c>
      <c r="B1252" s="138">
        <f ca="1">'Expenditures 15-22'!G123</f>
        <v>0</v>
      </c>
      <c r="D1252" s="2" t="str">
        <f t="shared" ca="1" si="18"/>
        <v>Error?</v>
      </c>
    </row>
    <row r="1253" spans="1:4" x14ac:dyDescent="0.2">
      <c r="A1253" s="5">
        <v>1192</v>
      </c>
      <c r="B1253" s="138">
        <f ca="1">'Expenditures 15-22'!G124</f>
        <v>735396</v>
      </c>
      <c r="D1253" s="2" t="str">
        <f t="shared" ca="1" si="18"/>
        <v>Error?</v>
      </c>
    </row>
    <row r="1254" spans="1:4" x14ac:dyDescent="0.2">
      <c r="A1254" s="5">
        <v>1193</v>
      </c>
      <c r="B1254" s="138">
        <f ca="1">'Expenditures 15-22'!G126</f>
        <v>0</v>
      </c>
      <c r="D1254" s="2" t="str">
        <f t="shared" ca="1" si="18"/>
        <v>Error?</v>
      </c>
    </row>
    <row r="1255" spans="1:4" x14ac:dyDescent="0.2">
      <c r="A1255" s="10">
        <v>1194</v>
      </c>
      <c r="D1255" s="2" t="str">
        <f t="shared" si="18"/>
        <v>OK</v>
      </c>
    </row>
    <row r="1256" spans="1:4" x14ac:dyDescent="0.2">
      <c r="A1256" s="5">
        <v>1195</v>
      </c>
      <c r="B1256" s="138">
        <f ca="1">'Expenditures 15-22'!G127</f>
        <v>735396</v>
      </c>
      <c r="C1256" s="2" t="s">
        <v>573</v>
      </c>
      <c r="D1256" s="2" t="str">
        <f t="shared" ca="1" si="18"/>
        <v>Error?</v>
      </c>
    </row>
    <row r="1257" spans="1:4" x14ac:dyDescent="0.2">
      <c r="A1257" s="5">
        <v>1196</v>
      </c>
      <c r="B1257" s="138">
        <f ca="1">'Expenditures 15-22'!G128</f>
        <v>0</v>
      </c>
      <c r="D1257" s="2" t="str">
        <f t="shared" ca="1" si="18"/>
        <v>Error?</v>
      </c>
    </row>
    <row r="1258" spans="1:4" x14ac:dyDescent="0.2">
      <c r="A1258" s="5">
        <v>1197</v>
      </c>
      <c r="B1258" s="138">
        <f ca="1">'Expenditures 15-22'!G129</f>
        <v>735396</v>
      </c>
      <c r="C1258" s="2" t="s">
        <v>573</v>
      </c>
      <c r="D1258" s="2" t="str">
        <f t="shared" ca="1" si="18"/>
        <v>Error?</v>
      </c>
    </row>
    <row r="1259" spans="1:4" x14ac:dyDescent="0.2">
      <c r="A1259" s="5">
        <v>1198</v>
      </c>
      <c r="B1259" s="138">
        <f ca="1">'Expenditures 15-22'!G151</f>
        <v>735396</v>
      </c>
      <c r="C1259" s="2" t="s">
        <v>573</v>
      </c>
      <c r="D1259" s="2" t="str">
        <f t="shared" ca="1" si="18"/>
        <v>Error?</v>
      </c>
    </row>
    <row r="1260" spans="1:4" x14ac:dyDescent="0.2">
      <c r="A1260" s="5">
        <v>1199</v>
      </c>
      <c r="B1260" s="138">
        <f ca="1">'Expenditures 15-22'!H122</f>
        <v>0</v>
      </c>
      <c r="D1260" s="2" t="str">
        <f t="shared" ca="1" si="18"/>
        <v>Error?</v>
      </c>
    </row>
    <row r="1261" spans="1:4" x14ac:dyDescent="0.2">
      <c r="A1261" s="5">
        <v>1200</v>
      </c>
      <c r="B1261" s="138">
        <f ca="1">'Expenditures 15-22'!H123</f>
        <v>0</v>
      </c>
      <c r="D1261" s="2" t="str">
        <f t="shared" ca="1" si="18"/>
        <v>Error?</v>
      </c>
    </row>
    <row r="1262" spans="1:4" x14ac:dyDescent="0.2">
      <c r="A1262" s="5">
        <v>1201</v>
      </c>
      <c r="B1262" s="138">
        <f ca="1">'Expenditures 15-22'!H124</f>
        <v>0</v>
      </c>
      <c r="D1262" s="2" t="str">
        <f t="shared" ca="1" si="18"/>
        <v>Error?</v>
      </c>
    </row>
    <row r="1263" spans="1:4" x14ac:dyDescent="0.2">
      <c r="A1263" s="10">
        <v>1202</v>
      </c>
      <c r="D1263" s="2" t="str">
        <f t="shared" si="18"/>
        <v>OK</v>
      </c>
    </row>
    <row r="1264" spans="1:4" x14ac:dyDescent="0.2">
      <c r="A1264" s="5">
        <v>1203</v>
      </c>
      <c r="B1264" s="138">
        <f ca="1">'Expenditures 15-22'!H127</f>
        <v>0</v>
      </c>
      <c r="C1264" s="2" t="s">
        <v>573</v>
      </c>
      <c r="D1264" s="2" t="str">
        <f t="shared" ca="1" si="18"/>
        <v>Error?</v>
      </c>
    </row>
    <row r="1265" spans="1:4" x14ac:dyDescent="0.2">
      <c r="A1265" s="5">
        <v>1204</v>
      </c>
      <c r="B1265" s="138">
        <f ca="1">'Expenditures 15-22'!H128</f>
        <v>0</v>
      </c>
      <c r="D1265" s="2" t="str">
        <f t="shared" ca="1" si="18"/>
        <v>Error?</v>
      </c>
    </row>
    <row r="1266" spans="1:4" x14ac:dyDescent="0.2">
      <c r="A1266" s="5">
        <v>1205</v>
      </c>
      <c r="B1266" s="138">
        <f ca="1">'Expenditures 15-22'!H129</f>
        <v>0</v>
      </c>
      <c r="C1266" s="2" t="s">
        <v>573</v>
      </c>
      <c r="D1266" s="2" t="str">
        <f t="shared" ca="1" si="18"/>
        <v>Error?</v>
      </c>
    </row>
    <row r="1267" spans="1:4" x14ac:dyDescent="0.2">
      <c r="A1267" s="5">
        <v>1206</v>
      </c>
      <c r="B1267" s="138">
        <f ca="1">'Expenditures 15-22'!H139</f>
        <v>0</v>
      </c>
      <c r="C1267" s="2" t="s">
        <v>573</v>
      </c>
      <c r="D1267" s="2" t="str">
        <f t="shared" ca="1" si="18"/>
        <v>Error?</v>
      </c>
    </row>
    <row r="1268" spans="1:4" x14ac:dyDescent="0.2">
      <c r="A1268" s="5">
        <v>1207</v>
      </c>
      <c r="B1268" s="138">
        <f ca="1">'Expenditures 15-22'!H142</f>
        <v>0</v>
      </c>
      <c r="D1268" s="2" t="str">
        <f t="shared" ca="1" si="18"/>
        <v>Error?</v>
      </c>
    </row>
    <row r="1269" spans="1:4" x14ac:dyDescent="0.2">
      <c r="A1269" s="5">
        <v>1208</v>
      </c>
      <c r="B1269" s="138">
        <f ca="1">'Expenditures 15-22'!H143</f>
        <v>0</v>
      </c>
      <c r="D1269" s="2" t="str">
        <f t="shared" ca="1" si="18"/>
        <v>Error?</v>
      </c>
    </row>
    <row r="1270" spans="1:4" x14ac:dyDescent="0.2">
      <c r="A1270" s="5">
        <v>1209</v>
      </c>
      <c r="B1270" s="138">
        <f ca="1">'Expenditures 15-22'!H146</f>
        <v>0</v>
      </c>
      <c r="D1270" s="2" t="str">
        <f t="shared" ca="1" si="18"/>
        <v>Error?</v>
      </c>
    </row>
    <row r="1271" spans="1:4" x14ac:dyDescent="0.2">
      <c r="A1271" s="10">
        <v>1210</v>
      </c>
      <c r="D1271" s="2" t="str">
        <f t="shared" si="18"/>
        <v>OK</v>
      </c>
    </row>
    <row r="1272" spans="1:4" x14ac:dyDescent="0.2">
      <c r="A1272" s="5">
        <v>1211</v>
      </c>
      <c r="B1272" s="138">
        <f ca="1">'Expenditures 15-22'!H149</f>
        <v>0</v>
      </c>
      <c r="C1272" s="2" t="s">
        <v>573</v>
      </c>
      <c r="D1272" s="2" t="str">
        <f t="shared" ca="1" si="18"/>
        <v>Error?</v>
      </c>
    </row>
    <row r="1273" spans="1:4" x14ac:dyDescent="0.2">
      <c r="A1273" s="5">
        <v>1212</v>
      </c>
      <c r="B1273" s="138">
        <f ca="1">'Expenditures 15-22'!H151</f>
        <v>0</v>
      </c>
      <c r="C1273" s="2" t="s">
        <v>573</v>
      </c>
      <c r="D1273" s="2" t="str">
        <f t="shared" ca="1" si="18"/>
        <v>Error?</v>
      </c>
    </row>
    <row r="1274" spans="1:4" x14ac:dyDescent="0.2">
      <c r="A1274" s="5">
        <v>1213</v>
      </c>
      <c r="B1274" s="138">
        <f ca="1">'Expenditures 15-22'!K122</f>
        <v>0</v>
      </c>
      <c r="C1274" s="2" t="s">
        <v>573</v>
      </c>
      <c r="D1274" s="2" t="str">
        <f t="shared" ca="1" si="18"/>
        <v>Error?</v>
      </c>
    </row>
    <row r="1275" spans="1:4" x14ac:dyDescent="0.2">
      <c r="A1275" s="5">
        <v>1214</v>
      </c>
      <c r="B1275" s="138">
        <f ca="1">'Expenditures 15-22'!K123</f>
        <v>0</v>
      </c>
      <c r="C1275" s="2" t="s">
        <v>573</v>
      </c>
      <c r="D1275" s="2" t="str">
        <f t="shared" ca="1" si="18"/>
        <v>Error?</v>
      </c>
    </row>
    <row r="1276" spans="1:4" x14ac:dyDescent="0.2">
      <c r="A1276" s="5">
        <v>1215</v>
      </c>
      <c r="B1276" s="138">
        <f ca="1">'Expenditures 15-22'!K124</f>
        <v>2084602</v>
      </c>
      <c r="C1276" s="2" t="s">
        <v>573</v>
      </c>
      <c r="D1276" s="2" t="str">
        <f t="shared" ca="1" si="18"/>
        <v>Error?</v>
      </c>
    </row>
    <row r="1277" spans="1:4" x14ac:dyDescent="0.2">
      <c r="A1277" s="5">
        <v>1216</v>
      </c>
      <c r="B1277" s="138">
        <f ca="1">'Expenditures 15-22'!K126</f>
        <v>0</v>
      </c>
      <c r="C1277" s="2" t="s">
        <v>573</v>
      </c>
      <c r="D1277" s="2" t="str">
        <f t="shared" ca="1" si="18"/>
        <v>Error?</v>
      </c>
    </row>
    <row r="1278" spans="1:4" x14ac:dyDescent="0.2">
      <c r="A1278" s="10">
        <v>1217</v>
      </c>
      <c r="D1278" s="2" t="str">
        <f t="shared" si="18"/>
        <v>OK</v>
      </c>
    </row>
    <row r="1279" spans="1:4" x14ac:dyDescent="0.2">
      <c r="A1279" s="5">
        <v>1218</v>
      </c>
      <c r="B1279" s="138">
        <f ca="1">'Expenditures 15-22'!K127</f>
        <v>2084602</v>
      </c>
      <c r="C1279" s="2" t="s">
        <v>573</v>
      </c>
      <c r="D1279" s="2" t="str">
        <f t="shared" ref="D1279:D1342" ca="1" si="19">IF(ISBLANK(B1279),"OK",IF(A1279-B1279=0,"OK","Error?"))</f>
        <v>Error?</v>
      </c>
    </row>
    <row r="1280" spans="1:4" x14ac:dyDescent="0.2">
      <c r="A1280" s="5">
        <v>1219</v>
      </c>
      <c r="B1280" s="138">
        <f ca="1">'Expenditures 15-22'!K128</f>
        <v>0</v>
      </c>
      <c r="C1280" s="2" t="s">
        <v>573</v>
      </c>
      <c r="D1280" s="2" t="str">
        <f t="shared" ca="1" si="19"/>
        <v>Error?</v>
      </c>
    </row>
    <row r="1281" spans="1:4" x14ac:dyDescent="0.2">
      <c r="A1281" s="5">
        <v>1220</v>
      </c>
      <c r="B1281" s="138">
        <f ca="1">'Expenditures 15-22'!K129</f>
        <v>2084602</v>
      </c>
      <c r="C1281" s="2" t="s">
        <v>573</v>
      </c>
      <c r="D1281" s="2" t="str">
        <f t="shared" ca="1" si="19"/>
        <v>Error?</v>
      </c>
    </row>
    <row r="1282" spans="1:4" x14ac:dyDescent="0.2">
      <c r="A1282" s="5">
        <v>1221</v>
      </c>
      <c r="B1282" s="138">
        <f ca="1">'Expenditures 15-22'!K139</f>
        <v>0</v>
      </c>
      <c r="C1282" s="2" t="s">
        <v>573</v>
      </c>
      <c r="D1282" s="2" t="str">
        <f t="shared" ca="1" si="19"/>
        <v>Error?</v>
      </c>
    </row>
    <row r="1283" spans="1:4" x14ac:dyDescent="0.2">
      <c r="A1283" s="5">
        <v>1222</v>
      </c>
      <c r="B1283" s="138">
        <f ca="1">'Expenditures 15-22'!K142</f>
        <v>0</v>
      </c>
      <c r="C1283" s="2" t="s">
        <v>573</v>
      </c>
      <c r="D1283" s="2" t="str">
        <f t="shared" ca="1" si="19"/>
        <v>Error?</v>
      </c>
    </row>
    <row r="1284" spans="1:4" x14ac:dyDescent="0.2">
      <c r="A1284" s="5">
        <v>1223</v>
      </c>
      <c r="B1284" s="138">
        <f ca="1">'Expenditures 15-22'!K143</f>
        <v>0</v>
      </c>
      <c r="C1284" s="2" t="s">
        <v>573</v>
      </c>
      <c r="D1284" s="2" t="str">
        <f t="shared" ca="1" si="19"/>
        <v>Error?</v>
      </c>
    </row>
    <row r="1285" spans="1:4" x14ac:dyDescent="0.2">
      <c r="A1285" s="5">
        <v>1224</v>
      </c>
      <c r="B1285" s="138">
        <f ca="1">'Expenditures 15-22'!K146</f>
        <v>0</v>
      </c>
      <c r="C1285" s="2" t="s">
        <v>573</v>
      </c>
      <c r="D1285" s="2" t="str">
        <f t="shared" ca="1" si="19"/>
        <v>Error?</v>
      </c>
    </row>
    <row r="1286" spans="1:4" x14ac:dyDescent="0.2">
      <c r="A1286" s="10">
        <v>1225</v>
      </c>
      <c r="D1286" s="2" t="str">
        <f t="shared" si="19"/>
        <v>OK</v>
      </c>
    </row>
    <row r="1287" spans="1:4" x14ac:dyDescent="0.2">
      <c r="A1287" s="12">
        <v>1226</v>
      </c>
      <c r="B1287" s="138">
        <f ca="1">'Expenditures 15-22'!K149</f>
        <v>0</v>
      </c>
      <c r="C1287" s="2" t="s">
        <v>573</v>
      </c>
      <c r="D1287" s="2" t="str">
        <f t="shared" ca="1" si="19"/>
        <v>Error?</v>
      </c>
    </row>
    <row r="1288" spans="1:4" x14ac:dyDescent="0.2">
      <c r="A1288" s="5">
        <v>1227</v>
      </c>
      <c r="B1288" s="138">
        <f ca="1">'Expenditures 15-22'!K151</f>
        <v>2084602</v>
      </c>
      <c r="C1288" s="2" t="s">
        <v>573</v>
      </c>
      <c r="D1288" s="2" t="str">
        <f t="shared" ca="1" si="19"/>
        <v>Error?</v>
      </c>
    </row>
    <row r="1289" spans="1:4" x14ac:dyDescent="0.2">
      <c r="A1289" s="5">
        <v>1228</v>
      </c>
      <c r="B1289" s="138">
        <f ca="1">'Expenditures 15-22'!K152</f>
        <v>-1073965</v>
      </c>
      <c r="C1289" s="2" t="s">
        <v>573</v>
      </c>
      <c r="D1289" s="2" t="str">
        <f t="shared" ca="1"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 ca="1">'Expenditures 15-22'!E171</f>
        <v>0</v>
      </c>
      <c r="D1307" s="2" t="str">
        <f t="shared" ca="1" si="19"/>
        <v>Error?</v>
      </c>
    </row>
    <row r="1308" spans="1:4" x14ac:dyDescent="0.2">
      <c r="A1308" s="5">
        <v>1247</v>
      </c>
      <c r="B1308" s="138">
        <f ca="1">'Expenditures 15-22'!E172</f>
        <v>0</v>
      </c>
      <c r="C1308" s="2" t="s">
        <v>573</v>
      </c>
      <c r="D1308" s="2" t="str">
        <f t="shared" ca="1" si="19"/>
        <v>Error?</v>
      </c>
    </row>
    <row r="1309" spans="1:4" x14ac:dyDescent="0.2">
      <c r="A1309" s="5">
        <v>1248</v>
      </c>
      <c r="B1309" s="138">
        <f ca="1">'Expenditures 15-22'!E174</f>
        <v>0</v>
      </c>
      <c r="C1309" s="2" t="s">
        <v>573</v>
      </c>
      <c r="D1309" s="2" t="str">
        <f t="shared" ca="1" si="19"/>
        <v>Error?</v>
      </c>
    </row>
    <row r="1310" spans="1:4" x14ac:dyDescent="0.2">
      <c r="A1310" s="5">
        <v>1249</v>
      </c>
      <c r="B1310" s="138">
        <f ca="1">'Expenditures 15-22'!H163</f>
        <v>0</v>
      </c>
      <c r="D1310" s="2" t="str">
        <f t="shared" ca="1" si="19"/>
        <v>Error?</v>
      </c>
    </row>
    <row r="1311" spans="1:4" x14ac:dyDescent="0.2">
      <c r="A1311" s="5">
        <v>1250</v>
      </c>
      <c r="B1311" s="138">
        <f ca="1">'Expenditures 15-22'!H164</f>
        <v>0</v>
      </c>
      <c r="D1311" s="2" t="str">
        <f t="shared" ca="1" si="19"/>
        <v>Error?</v>
      </c>
    </row>
    <row r="1312" spans="1:4" x14ac:dyDescent="0.2">
      <c r="A1312" s="5">
        <v>1251</v>
      </c>
      <c r="B1312" s="138">
        <f ca="1">'Expenditures 15-22'!H169</f>
        <v>524476</v>
      </c>
      <c r="D1312" s="2" t="str">
        <f t="shared" ca="1" si="19"/>
        <v>Error?</v>
      </c>
    </row>
    <row r="1313" spans="1:4" x14ac:dyDescent="0.2">
      <c r="A1313" s="5">
        <v>1252</v>
      </c>
      <c r="B1313" s="138">
        <f ca="1">'Expenditures 15-22'!H167</f>
        <v>0</v>
      </c>
      <c r="D1313" s="2" t="str">
        <f t="shared" ca="1" si="19"/>
        <v>Error?</v>
      </c>
    </row>
    <row r="1314" spans="1:4" x14ac:dyDescent="0.2">
      <c r="A1314" s="5">
        <v>1253</v>
      </c>
      <c r="B1314" s="138">
        <f ca="1">'Expenditures 15-22'!H168</f>
        <v>0</v>
      </c>
      <c r="C1314" s="2" t="s">
        <v>573</v>
      </c>
      <c r="D1314" s="2" t="str">
        <f t="shared" ca="1" si="19"/>
        <v>Error?</v>
      </c>
    </row>
    <row r="1315" spans="1:4" x14ac:dyDescent="0.2">
      <c r="A1315" s="5">
        <v>1254</v>
      </c>
      <c r="B1315" s="138">
        <f ca="1">'Expenditures 15-22'!H170</f>
        <v>7045486</v>
      </c>
      <c r="D1315" s="2" t="str">
        <f t="shared" ca="1" si="19"/>
        <v>Error?</v>
      </c>
    </row>
    <row r="1316" spans="1:4" x14ac:dyDescent="0.2">
      <c r="A1316" s="5">
        <v>1255</v>
      </c>
      <c r="B1316" s="138">
        <f ca="1">'Expenditures 15-22'!H171</f>
        <v>1500</v>
      </c>
      <c r="D1316" s="2" t="str">
        <f t="shared" ca="1" si="19"/>
        <v>Error?</v>
      </c>
    </row>
    <row r="1317" spans="1:4" x14ac:dyDescent="0.2">
      <c r="A1317" s="5">
        <v>1256</v>
      </c>
      <c r="B1317" s="138">
        <f ca="1">'Expenditures 15-22'!H172</f>
        <v>7571462</v>
      </c>
      <c r="C1317" s="2" t="s">
        <v>573</v>
      </c>
      <c r="D1317" s="2" t="str">
        <f t="shared" ca="1" si="19"/>
        <v>Error?</v>
      </c>
    </row>
    <row r="1318" spans="1:4" x14ac:dyDescent="0.2">
      <c r="A1318" s="5">
        <v>1257</v>
      </c>
      <c r="B1318" s="138">
        <f ca="1">'Expenditures 15-22'!H174</f>
        <v>7571462</v>
      </c>
      <c r="C1318" s="2" t="s">
        <v>573</v>
      </c>
      <c r="D1318" s="2" t="str">
        <f t="shared" ca="1"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 ca="1">'Expenditures 15-22'!K163</f>
        <v>0</v>
      </c>
      <c r="C1324" s="2" t="s">
        <v>573</v>
      </c>
      <c r="D1324" s="2" t="str">
        <f t="shared" ca="1" si="19"/>
        <v>Error?</v>
      </c>
    </row>
    <row r="1325" spans="1:4" x14ac:dyDescent="0.2">
      <c r="A1325" s="5">
        <v>1264</v>
      </c>
      <c r="B1325" s="138">
        <f ca="1">'Expenditures 15-22'!K164</f>
        <v>0</v>
      </c>
      <c r="C1325" s="2" t="s">
        <v>573</v>
      </c>
      <c r="D1325" s="2" t="str">
        <f t="shared" ca="1" si="19"/>
        <v>Error?</v>
      </c>
    </row>
    <row r="1326" spans="1:4" x14ac:dyDescent="0.2">
      <c r="A1326" s="5">
        <v>1265</v>
      </c>
      <c r="B1326" s="138">
        <f ca="1">'Expenditures 15-22'!K169</f>
        <v>524476</v>
      </c>
      <c r="C1326" s="2" t="s">
        <v>573</v>
      </c>
      <c r="D1326" s="2" t="str">
        <f t="shared" ca="1" si="19"/>
        <v>Error?</v>
      </c>
    </row>
    <row r="1327" spans="1:4" x14ac:dyDescent="0.2">
      <c r="A1327" s="5">
        <v>1266</v>
      </c>
      <c r="B1327" s="138">
        <f ca="1">'Expenditures 15-22'!K167</f>
        <v>0</v>
      </c>
      <c r="C1327" s="2" t="s">
        <v>573</v>
      </c>
      <c r="D1327" s="2" t="str">
        <f t="shared" ca="1" si="19"/>
        <v>Error?</v>
      </c>
    </row>
    <row r="1328" spans="1:4" x14ac:dyDescent="0.2">
      <c r="A1328" s="5">
        <v>1267</v>
      </c>
      <c r="B1328" s="138">
        <f ca="1">'Expenditures 15-22'!K168</f>
        <v>0</v>
      </c>
      <c r="C1328" s="2" t="s">
        <v>573</v>
      </c>
      <c r="D1328" s="2" t="str">
        <f t="shared" ca="1" si="19"/>
        <v>Error?</v>
      </c>
    </row>
    <row r="1329" spans="1:4" x14ac:dyDescent="0.2">
      <c r="A1329" s="5">
        <v>1268</v>
      </c>
      <c r="B1329" s="138">
        <f ca="1">'Expenditures 15-22'!K170</f>
        <v>7045486</v>
      </c>
      <c r="C1329" s="2" t="s">
        <v>573</v>
      </c>
      <c r="D1329" s="2" t="str">
        <f t="shared" ca="1" si="19"/>
        <v>Error?</v>
      </c>
    </row>
    <row r="1330" spans="1:4" x14ac:dyDescent="0.2">
      <c r="A1330" s="5">
        <v>1269</v>
      </c>
      <c r="B1330" s="138">
        <f ca="1">'Expenditures 15-22'!K171</f>
        <v>1500</v>
      </c>
      <c r="C1330" s="2" t="s">
        <v>573</v>
      </c>
      <c r="D1330" s="2" t="str">
        <f t="shared" ca="1" si="19"/>
        <v>Error?</v>
      </c>
    </row>
    <row r="1331" spans="1:4" x14ac:dyDescent="0.2">
      <c r="A1331" s="5">
        <v>1270</v>
      </c>
      <c r="B1331" s="138">
        <f ca="1">'Expenditures 15-22'!K172</f>
        <v>7571462</v>
      </c>
      <c r="C1331" s="2" t="s">
        <v>573</v>
      </c>
      <c r="D1331" s="2" t="str">
        <f t="shared" ca="1" si="19"/>
        <v>Error?</v>
      </c>
    </row>
    <row r="1332" spans="1:4" x14ac:dyDescent="0.2">
      <c r="A1332" s="5">
        <v>1271</v>
      </c>
      <c r="B1332" s="138">
        <f ca="1">'Expenditures 15-22'!K174</f>
        <v>7571462</v>
      </c>
      <c r="C1332" s="2" t="s">
        <v>573</v>
      </c>
      <c r="D1332" s="2" t="str">
        <f t="shared" ca="1" si="19"/>
        <v>Error?</v>
      </c>
    </row>
    <row r="1333" spans="1:4" x14ac:dyDescent="0.2">
      <c r="A1333" s="5">
        <v>1272</v>
      </c>
      <c r="B1333" s="138">
        <f ca="1">'Expenditures 15-22'!K175</f>
        <v>-4571778</v>
      </c>
      <c r="C1333" s="2" t="s">
        <v>573</v>
      </c>
      <c r="D1333" s="2" t="str">
        <f t="shared" ca="1" si="19"/>
        <v>Error?</v>
      </c>
    </row>
    <row r="1334" spans="1:4" x14ac:dyDescent="0.2">
      <c r="A1334" s="10">
        <v>1273</v>
      </c>
      <c r="D1334" s="2" t="str">
        <f t="shared" si="19"/>
        <v>OK</v>
      </c>
    </row>
    <row r="1335" spans="1:4" x14ac:dyDescent="0.2">
      <c r="A1335" s="5">
        <v>1274</v>
      </c>
      <c r="B1335" s="138">
        <f ca="1">'Expenditures 15-22'!C182</f>
        <v>895489</v>
      </c>
      <c r="D1335" s="2" t="str">
        <f t="shared" ca="1"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 ca="1">'Expenditures 15-22'!C183</f>
        <v>0</v>
      </c>
      <c r="D1338" s="2" t="str">
        <f t="shared" ca="1" si="19"/>
        <v>Error?</v>
      </c>
    </row>
    <row r="1339" spans="1:4" x14ac:dyDescent="0.2">
      <c r="A1339" s="5">
        <v>1278</v>
      </c>
      <c r="B1339" s="138">
        <f ca="1">'Expenditures 15-22'!C184</f>
        <v>895489</v>
      </c>
      <c r="C1339" s="2" t="s">
        <v>573</v>
      </c>
      <c r="D1339" s="2" t="str">
        <f t="shared" ca="1" si="19"/>
        <v>Error?</v>
      </c>
    </row>
    <row r="1340" spans="1:4" x14ac:dyDescent="0.2">
      <c r="A1340" s="5">
        <v>1279</v>
      </c>
      <c r="B1340" s="138">
        <f ca="1">'Expenditures 15-22'!C210</f>
        <v>895489</v>
      </c>
      <c r="C1340" s="2" t="s">
        <v>573</v>
      </c>
      <c r="D1340" s="2" t="str">
        <f t="shared" ca="1" si="19"/>
        <v>Error?</v>
      </c>
    </row>
    <row r="1341" spans="1:4" x14ac:dyDescent="0.2">
      <c r="A1341" s="5">
        <v>1280</v>
      </c>
      <c r="B1341" s="138">
        <f ca="1">'Expenditures 15-22'!D182</f>
        <v>59509</v>
      </c>
      <c r="D1341" s="2" t="str">
        <f t="shared" ca="1"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 ca="1">'Expenditures 15-22'!D183</f>
        <v>0</v>
      </c>
      <c r="D1344" s="2" t="str">
        <f t="shared" ca="1" si="20"/>
        <v>Error?</v>
      </c>
    </row>
    <row r="1345" spans="1:4" x14ac:dyDescent="0.2">
      <c r="A1345" s="5">
        <v>1284</v>
      </c>
      <c r="B1345" s="138">
        <f ca="1">'Expenditures 15-22'!D184</f>
        <v>59509</v>
      </c>
      <c r="C1345" s="2" t="s">
        <v>573</v>
      </c>
      <c r="D1345" s="2" t="str">
        <f t="shared" ca="1" si="20"/>
        <v>Error?</v>
      </c>
    </row>
    <row r="1346" spans="1:4" x14ac:dyDescent="0.2">
      <c r="A1346" s="5">
        <v>1285</v>
      </c>
      <c r="B1346" s="138">
        <f ca="1">'Expenditures 15-22'!D210</f>
        <v>59509</v>
      </c>
      <c r="C1346" s="2" t="s">
        <v>573</v>
      </c>
      <c r="D1346" s="2" t="str">
        <f t="shared" ca="1" si="20"/>
        <v>Error?</v>
      </c>
    </row>
    <row r="1347" spans="1:4" x14ac:dyDescent="0.2">
      <c r="A1347" s="5">
        <v>1286</v>
      </c>
      <c r="B1347" s="138">
        <f ca="1">'Expenditures 15-22'!E182</f>
        <v>133087</v>
      </c>
      <c r="D1347" s="2" t="str">
        <f t="shared" ca="1"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 ca="1">'Expenditures 15-22'!E183</f>
        <v>0</v>
      </c>
      <c r="D1350" s="2" t="str">
        <f t="shared" ca="1" si="20"/>
        <v>Error?</v>
      </c>
    </row>
    <row r="1351" spans="1:4" x14ac:dyDescent="0.2">
      <c r="A1351" s="5">
        <v>1290</v>
      </c>
      <c r="B1351" s="138">
        <f ca="1">'Expenditures 15-22'!E184</f>
        <v>133087</v>
      </c>
      <c r="C1351" s="2" t="s">
        <v>573</v>
      </c>
      <c r="D1351" s="2" t="str">
        <f t="shared" ca="1" si="20"/>
        <v>Error?</v>
      </c>
    </row>
    <row r="1352" spans="1:4" x14ac:dyDescent="0.2">
      <c r="A1352" s="5">
        <v>1291</v>
      </c>
      <c r="B1352" s="138">
        <f ca="1">'Expenditures 15-22'!E196</f>
        <v>0</v>
      </c>
      <c r="C1352" s="2" t="s">
        <v>573</v>
      </c>
      <c r="D1352" s="2" t="str">
        <f t="shared" ca="1" si="20"/>
        <v>Error?</v>
      </c>
    </row>
    <row r="1353" spans="1:4" x14ac:dyDescent="0.2">
      <c r="A1353" s="5">
        <v>1292</v>
      </c>
      <c r="B1353" s="138">
        <f ca="1">'Expenditures 15-22'!E210</f>
        <v>133087</v>
      </c>
      <c r="C1353" s="2" t="s">
        <v>573</v>
      </c>
      <c r="D1353" s="2" t="str">
        <f t="shared" ca="1" si="20"/>
        <v>Error?</v>
      </c>
    </row>
    <row r="1354" spans="1:4" x14ac:dyDescent="0.2">
      <c r="A1354" s="5">
        <v>1293</v>
      </c>
      <c r="B1354" s="138">
        <f ca="1">'Expenditures 15-22'!F182</f>
        <v>203419</v>
      </c>
      <c r="D1354" s="2" t="str">
        <f t="shared" ca="1"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 ca="1">'Expenditures 15-22'!F183</f>
        <v>0</v>
      </c>
      <c r="D1357" s="2" t="str">
        <f t="shared" ca="1" si="20"/>
        <v>Error?</v>
      </c>
    </row>
    <row r="1358" spans="1:4" x14ac:dyDescent="0.2">
      <c r="A1358" s="5">
        <v>1297</v>
      </c>
      <c r="B1358" s="138">
        <f ca="1">'Expenditures 15-22'!F184</f>
        <v>203419</v>
      </c>
      <c r="C1358" s="2" t="s">
        <v>573</v>
      </c>
      <c r="D1358" s="2" t="str">
        <f t="shared" ca="1" si="20"/>
        <v>Error?</v>
      </c>
    </row>
    <row r="1359" spans="1:4" x14ac:dyDescent="0.2">
      <c r="A1359" s="5">
        <v>1298</v>
      </c>
      <c r="B1359" s="138">
        <f ca="1">'Expenditures 15-22'!F210</f>
        <v>203419</v>
      </c>
      <c r="C1359" s="2" t="s">
        <v>573</v>
      </c>
      <c r="D1359" s="2" t="str">
        <f t="shared" ca="1" si="20"/>
        <v>Error?</v>
      </c>
    </row>
    <row r="1360" spans="1:4" x14ac:dyDescent="0.2">
      <c r="A1360" s="5">
        <v>1299</v>
      </c>
      <c r="B1360" s="138">
        <f ca="1">'Expenditures 15-22'!G182</f>
        <v>0</v>
      </c>
      <c r="D1360" s="2" t="str">
        <f t="shared" ca="1"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 ca="1">'Expenditures 15-22'!G183</f>
        <v>0</v>
      </c>
      <c r="D1363" s="2" t="str">
        <f t="shared" ca="1" si="20"/>
        <v>Error?</v>
      </c>
    </row>
    <row r="1364" spans="1:4" x14ac:dyDescent="0.2">
      <c r="A1364" s="5">
        <v>1303</v>
      </c>
      <c r="B1364" s="138">
        <f ca="1">'Expenditures 15-22'!G184</f>
        <v>0</v>
      </c>
      <c r="C1364" s="2" t="s">
        <v>573</v>
      </c>
      <c r="D1364" s="2" t="str">
        <f t="shared" ca="1" si="20"/>
        <v>Error?</v>
      </c>
    </row>
    <row r="1365" spans="1:4" x14ac:dyDescent="0.2">
      <c r="A1365" s="5">
        <v>1304</v>
      </c>
      <c r="B1365" s="138">
        <f ca="1">'Expenditures 15-22'!G210</f>
        <v>0</v>
      </c>
      <c r="C1365" s="2" t="s">
        <v>573</v>
      </c>
      <c r="D1365" s="2" t="str">
        <f t="shared" ca="1" si="20"/>
        <v>Error?</v>
      </c>
    </row>
    <row r="1366" spans="1:4" x14ac:dyDescent="0.2">
      <c r="A1366" s="5">
        <v>1305</v>
      </c>
      <c r="B1366" s="138">
        <f ca="1">'Expenditures 15-22'!H182</f>
        <v>0</v>
      </c>
      <c r="D1366" s="2" t="str">
        <f t="shared" ca="1"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 ca="1">'Expenditures 15-22'!H183</f>
        <v>0</v>
      </c>
      <c r="D1369" s="2" t="str">
        <f t="shared" ca="1" si="20"/>
        <v>Error?</v>
      </c>
    </row>
    <row r="1370" spans="1:4" x14ac:dyDescent="0.2">
      <c r="A1370" s="5">
        <v>1309</v>
      </c>
      <c r="B1370" s="138">
        <f ca="1">'Expenditures 15-22'!H184</f>
        <v>0</v>
      </c>
      <c r="C1370" s="2" t="s">
        <v>573</v>
      </c>
      <c r="D1370" s="2" t="str">
        <f t="shared" ca="1" si="20"/>
        <v>Error?</v>
      </c>
    </row>
    <row r="1371" spans="1:4" x14ac:dyDescent="0.2">
      <c r="A1371" s="5">
        <v>1310</v>
      </c>
      <c r="B1371" s="138">
        <f ca="1">'Expenditures 15-22'!H199</f>
        <v>0</v>
      </c>
      <c r="D1371" s="2" t="str">
        <f t="shared" ca="1" si="20"/>
        <v>Error?</v>
      </c>
    </row>
    <row r="1372" spans="1:4" x14ac:dyDescent="0.2">
      <c r="A1372" s="5">
        <v>1311</v>
      </c>
      <c r="B1372" s="138">
        <f ca="1">'Expenditures 15-22'!H200</f>
        <v>0</v>
      </c>
      <c r="D1372" s="2" t="str">
        <f t="shared" ca="1" si="20"/>
        <v>Error?</v>
      </c>
    </row>
    <row r="1373" spans="1:4" x14ac:dyDescent="0.2">
      <c r="A1373" s="5">
        <v>1312</v>
      </c>
      <c r="B1373" s="138">
        <f ca="1">'Expenditures 15-22'!H203</f>
        <v>0</v>
      </c>
      <c r="D1373" s="2" t="str">
        <f t="shared" ca="1" si="20"/>
        <v>Error?</v>
      </c>
    </row>
    <row r="1374" spans="1:4" x14ac:dyDescent="0.2">
      <c r="A1374" s="10">
        <v>1313</v>
      </c>
      <c r="D1374" s="2" t="str">
        <f t="shared" si="20"/>
        <v>OK</v>
      </c>
    </row>
    <row r="1375" spans="1:4" x14ac:dyDescent="0.2">
      <c r="A1375" s="5">
        <v>1314</v>
      </c>
      <c r="B1375" s="138">
        <f ca="1">'Expenditures 15-22'!H208</f>
        <v>150264</v>
      </c>
      <c r="C1375" s="2" t="s">
        <v>573</v>
      </c>
      <c r="D1375" s="2" t="str">
        <f t="shared" ca="1" si="20"/>
        <v>Error?</v>
      </c>
    </row>
    <row r="1376" spans="1:4" x14ac:dyDescent="0.2">
      <c r="A1376" s="5">
        <v>1315</v>
      </c>
      <c r="B1376" s="138">
        <f ca="1">'Expenditures 15-22'!H210</f>
        <v>150264</v>
      </c>
      <c r="C1376" s="2" t="s">
        <v>573</v>
      </c>
      <c r="D1376" s="2" t="str">
        <f t="shared" ca="1" si="20"/>
        <v>Error?</v>
      </c>
    </row>
    <row r="1377" spans="1:4" x14ac:dyDescent="0.2">
      <c r="A1377" s="5">
        <v>1316</v>
      </c>
      <c r="B1377" s="138">
        <f ca="1">'Expenditures 15-22'!K182</f>
        <v>1291504</v>
      </c>
      <c r="C1377" s="2" t="s">
        <v>573</v>
      </c>
      <c r="D1377" s="2" t="str">
        <f t="shared" ca="1"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 ca="1">'Expenditures 15-22'!K183</f>
        <v>0</v>
      </c>
      <c r="C1380" s="2" t="s">
        <v>573</v>
      </c>
      <c r="D1380" s="2" t="str">
        <f t="shared" ca="1" si="20"/>
        <v>Error?</v>
      </c>
    </row>
    <row r="1381" spans="1:4" x14ac:dyDescent="0.2">
      <c r="A1381" s="5">
        <v>1320</v>
      </c>
      <c r="B1381" s="138">
        <f ca="1">'Expenditures 15-22'!K184</f>
        <v>1291504</v>
      </c>
      <c r="C1381" s="2" t="s">
        <v>573</v>
      </c>
      <c r="D1381" s="2" t="str">
        <f t="shared" ca="1" si="20"/>
        <v>Error?</v>
      </c>
    </row>
    <row r="1382" spans="1:4" x14ac:dyDescent="0.2">
      <c r="A1382" s="5">
        <v>1321</v>
      </c>
      <c r="B1382" s="138">
        <f ca="1">'Expenditures 15-22'!K196</f>
        <v>0</v>
      </c>
      <c r="C1382" s="2" t="s">
        <v>573</v>
      </c>
      <c r="D1382" s="2" t="str">
        <f t="shared" ca="1" si="20"/>
        <v>Error?</v>
      </c>
    </row>
    <row r="1383" spans="1:4" x14ac:dyDescent="0.2">
      <c r="A1383" s="5">
        <v>1322</v>
      </c>
      <c r="B1383" s="138">
        <f ca="1">'Expenditures 15-22'!K199</f>
        <v>0</v>
      </c>
      <c r="C1383" s="2" t="s">
        <v>573</v>
      </c>
      <c r="D1383" s="2" t="str">
        <f t="shared" ca="1" si="20"/>
        <v>Error?</v>
      </c>
    </row>
    <row r="1384" spans="1:4" x14ac:dyDescent="0.2">
      <c r="A1384" s="5">
        <v>1323</v>
      </c>
      <c r="B1384" s="138">
        <f ca="1">'Expenditures 15-22'!K200</f>
        <v>0</v>
      </c>
      <c r="C1384" s="2" t="s">
        <v>573</v>
      </c>
      <c r="D1384" s="2" t="str">
        <f t="shared" ca="1" si="20"/>
        <v>Error?</v>
      </c>
    </row>
    <row r="1385" spans="1:4" x14ac:dyDescent="0.2">
      <c r="A1385" s="5">
        <v>1324</v>
      </c>
      <c r="B1385" s="138">
        <f ca="1">'Expenditures 15-22'!K203</f>
        <v>0</v>
      </c>
      <c r="C1385" s="2" t="s">
        <v>573</v>
      </c>
      <c r="D1385" s="2" t="str">
        <f t="shared" ca="1" si="20"/>
        <v>Error?</v>
      </c>
    </row>
    <row r="1386" spans="1:4" x14ac:dyDescent="0.2">
      <c r="A1386" s="10">
        <v>1325</v>
      </c>
      <c r="D1386" s="2" t="str">
        <f t="shared" si="20"/>
        <v>OK</v>
      </c>
    </row>
    <row r="1387" spans="1:4" x14ac:dyDescent="0.2">
      <c r="A1387" s="5">
        <v>1326</v>
      </c>
      <c r="B1387" s="138">
        <f ca="1">'Expenditures 15-22'!K208</f>
        <v>150264</v>
      </c>
      <c r="C1387" s="2" t="s">
        <v>573</v>
      </c>
      <c r="D1387" s="2" t="str">
        <f t="shared" ca="1" si="20"/>
        <v>Error?</v>
      </c>
    </row>
    <row r="1388" spans="1:4" x14ac:dyDescent="0.2">
      <c r="A1388" s="5">
        <v>1327</v>
      </c>
      <c r="B1388" s="138">
        <f ca="1">'Expenditures 15-22'!K210</f>
        <v>1441768</v>
      </c>
      <c r="C1388" s="2" t="s">
        <v>573</v>
      </c>
      <c r="D1388" s="2" t="str">
        <f t="shared" ca="1" si="20"/>
        <v>Error?</v>
      </c>
    </row>
    <row r="1389" spans="1:4" x14ac:dyDescent="0.2">
      <c r="A1389" s="5">
        <v>1328</v>
      </c>
      <c r="B1389" s="138">
        <f ca="1">'Expenditures 15-22'!K211</f>
        <v>88110</v>
      </c>
      <c r="C1389" s="2" t="s">
        <v>573</v>
      </c>
      <c r="D1389" s="2" t="str">
        <f t="shared" ca="1"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 ca="1">'Expenditures 15-22'!D225</f>
        <v>0</v>
      </c>
      <c r="D1396" s="2" t="str">
        <f t="shared" ca="1"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 ca="1">'Expenditures 15-22'!D227</f>
        <v>0</v>
      </c>
      <c r="D1402" s="2" t="str">
        <f t="shared" ca="1"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 ca="1">'Expenditures 15-22'!D221</f>
        <v>0</v>
      </c>
      <c r="D1406" s="2" t="str">
        <f t="shared" ca="1" si="20"/>
        <v>Error?</v>
      </c>
    </row>
    <row r="1407" spans="1:4" x14ac:dyDescent="0.2">
      <c r="A1407" s="5">
        <v>1346</v>
      </c>
      <c r="B1407" s="138">
        <f ca="1">'Expenditures 15-22'!D222</f>
        <v>0</v>
      </c>
      <c r="D1407" s="2" t="str">
        <f t="shared" ref="D1407:D1470" ca="1" si="21">IF(ISBLANK(B1407),"OK",IF(A1407-B1407=0,"OK","Error?"))</f>
        <v>Error?</v>
      </c>
    </row>
    <row r="1408" spans="1:4" x14ac:dyDescent="0.2">
      <c r="A1408" s="5">
        <v>1347</v>
      </c>
      <c r="B1408" s="138">
        <f ca="1">'Expenditures 15-22'!D223</f>
        <v>2639</v>
      </c>
      <c r="D1408" s="2" t="str">
        <f t="shared" ca="1" si="21"/>
        <v>Error?</v>
      </c>
    </row>
    <row r="1409" spans="1:4" x14ac:dyDescent="0.2">
      <c r="A1409" s="5">
        <v>1348</v>
      </c>
      <c r="B1409" s="138">
        <f ca="1">'Expenditures 15-22'!D224</f>
        <v>0</v>
      </c>
      <c r="D1409" s="2" t="str">
        <f t="shared" ca="1" si="21"/>
        <v>Error?</v>
      </c>
    </row>
    <row r="1410" spans="1:4" x14ac:dyDescent="0.2">
      <c r="A1410" s="5">
        <v>1349</v>
      </c>
      <c r="B1410" s="138">
        <f ca="1">'Expenditures 15-22'!D229</f>
        <v>299418</v>
      </c>
      <c r="C1410" s="2" t="s">
        <v>573</v>
      </c>
      <c r="D1410" s="2" t="str">
        <f t="shared" ca="1" si="21"/>
        <v>Error?</v>
      </c>
    </row>
    <row r="1411" spans="1:4" x14ac:dyDescent="0.2">
      <c r="A1411" s="5">
        <v>1350</v>
      </c>
      <c r="B1411" s="138">
        <f ca="1">'Expenditures 15-22'!D232</f>
        <v>5024</v>
      </c>
      <c r="D1411" s="2" t="str">
        <f t="shared" ca="1" si="21"/>
        <v>Error?</v>
      </c>
    </row>
    <row r="1412" spans="1:4" x14ac:dyDescent="0.2">
      <c r="A1412" s="5">
        <v>1351</v>
      </c>
      <c r="B1412" s="138">
        <f ca="1">'Expenditures 15-22'!D233</f>
        <v>2115</v>
      </c>
      <c r="D1412" s="2" t="str">
        <f t="shared" ca="1" si="21"/>
        <v>Error?</v>
      </c>
    </row>
    <row r="1413" spans="1:4" x14ac:dyDescent="0.2">
      <c r="A1413" s="5">
        <v>1352</v>
      </c>
      <c r="B1413" s="138">
        <f ca="1">'Expenditures 15-22'!D234</f>
        <v>24604</v>
      </c>
      <c r="D1413" s="2" t="str">
        <f t="shared" ca="1" si="21"/>
        <v>Error?</v>
      </c>
    </row>
    <row r="1414" spans="1:4" x14ac:dyDescent="0.2">
      <c r="A1414" s="5">
        <v>1353</v>
      </c>
      <c r="B1414" s="138">
        <f ca="1">'Expenditures 15-22'!D235</f>
        <v>10780</v>
      </c>
      <c r="D1414" s="2" t="str">
        <f t="shared" ca="1" si="21"/>
        <v>Error?</v>
      </c>
    </row>
    <row r="1415" spans="1:4" x14ac:dyDescent="0.2">
      <c r="A1415" s="5">
        <v>1354</v>
      </c>
      <c r="B1415" s="138">
        <f ca="1">'Expenditures 15-22'!D236</f>
        <v>5028</v>
      </c>
      <c r="D1415" s="2" t="str">
        <f t="shared" ca="1" si="21"/>
        <v>Error?</v>
      </c>
    </row>
    <row r="1416" spans="1:4" x14ac:dyDescent="0.2">
      <c r="A1416" s="5">
        <v>1355</v>
      </c>
      <c r="B1416" s="138">
        <f ca="1">'Expenditures 15-22'!D237</f>
        <v>2614</v>
      </c>
      <c r="D1416" s="2" t="str">
        <f t="shared" ca="1" si="21"/>
        <v>Error?</v>
      </c>
    </row>
    <row r="1417" spans="1:4" x14ac:dyDescent="0.2">
      <c r="A1417" s="5">
        <v>1356</v>
      </c>
      <c r="B1417" s="138">
        <f ca="1">'Expenditures 15-22'!D238</f>
        <v>50165</v>
      </c>
      <c r="C1417" s="2" t="s">
        <v>573</v>
      </c>
      <c r="D1417" s="2" t="str">
        <f t="shared" ca="1" si="21"/>
        <v>Error?</v>
      </c>
    </row>
    <row r="1418" spans="1:4" x14ac:dyDescent="0.2">
      <c r="A1418" s="5">
        <v>1357</v>
      </c>
      <c r="B1418" s="138">
        <f ca="1">'Expenditures 15-22'!D240</f>
        <v>264</v>
      </c>
      <c r="D1418" s="2" t="str">
        <f t="shared" ca="1" si="21"/>
        <v>Error?</v>
      </c>
    </row>
    <row r="1419" spans="1:4" x14ac:dyDescent="0.2">
      <c r="A1419" s="5">
        <v>1358</v>
      </c>
      <c r="B1419" s="138">
        <f ca="1">'Expenditures 15-22'!D241</f>
        <v>47391</v>
      </c>
      <c r="D1419" s="2" t="str">
        <f t="shared" ca="1" si="21"/>
        <v>Error?</v>
      </c>
    </row>
    <row r="1420" spans="1:4" x14ac:dyDescent="0.2">
      <c r="A1420" s="5">
        <v>1359</v>
      </c>
      <c r="B1420" s="138">
        <f ca="1">'Expenditures 15-22'!D242</f>
        <v>0</v>
      </c>
      <c r="D1420" s="2" t="str">
        <f t="shared" ca="1" si="21"/>
        <v>Error?</v>
      </c>
    </row>
    <row r="1421" spans="1:4" x14ac:dyDescent="0.2">
      <c r="A1421" s="5">
        <v>1360</v>
      </c>
      <c r="B1421" s="138">
        <f ca="1">'Expenditures 15-22'!D243</f>
        <v>47655</v>
      </c>
      <c r="C1421" s="2" t="s">
        <v>573</v>
      </c>
      <c r="D1421" s="2" t="str">
        <f t="shared" ca="1" si="21"/>
        <v>Error?</v>
      </c>
    </row>
    <row r="1422" spans="1:4" x14ac:dyDescent="0.2">
      <c r="A1422" s="5">
        <v>1361</v>
      </c>
      <c r="B1422" s="138">
        <f ca="1">'Expenditures 15-22'!D245</f>
        <v>295</v>
      </c>
      <c r="D1422" s="2" t="str">
        <f t="shared" ca="1" si="21"/>
        <v>Error?</v>
      </c>
    </row>
    <row r="1423" spans="1:4" x14ac:dyDescent="0.2">
      <c r="A1423" s="5">
        <v>1362</v>
      </c>
      <c r="B1423" s="138">
        <f ca="1">'Expenditures 15-22'!D246</f>
        <v>18006</v>
      </c>
      <c r="D1423" s="2" t="str">
        <f t="shared" ca="1" si="21"/>
        <v>Error?</v>
      </c>
    </row>
    <row r="1424" spans="1:4" x14ac:dyDescent="0.2">
      <c r="A1424" s="5">
        <v>1363</v>
      </c>
      <c r="B1424" s="138">
        <f ca="1">'Expenditures 15-22'!D257</f>
        <v>18301</v>
      </c>
      <c r="C1424" s="2" t="s">
        <v>573</v>
      </c>
      <c r="D1424" s="2" t="str">
        <f t="shared" ca="1" si="21"/>
        <v>Error?</v>
      </c>
    </row>
    <row r="1425" spans="1:4" x14ac:dyDescent="0.2">
      <c r="A1425" s="5">
        <v>1364</v>
      </c>
      <c r="B1425" s="138">
        <f ca="1">'Expenditures 15-22'!D259</f>
        <v>62051</v>
      </c>
      <c r="D1425" s="2" t="str">
        <f t="shared" ca="1" si="21"/>
        <v>Error?</v>
      </c>
    </row>
    <row r="1426" spans="1:4" x14ac:dyDescent="0.2">
      <c r="A1426" s="5">
        <v>1365</v>
      </c>
      <c r="B1426" s="138">
        <f ca="1">'Expenditures 15-22'!D260</f>
        <v>0</v>
      </c>
      <c r="D1426" s="2" t="str">
        <f t="shared" ca="1" si="21"/>
        <v>Error?</v>
      </c>
    </row>
    <row r="1427" spans="1:4" x14ac:dyDescent="0.2">
      <c r="A1427" s="5">
        <v>1366</v>
      </c>
      <c r="B1427" s="138">
        <f ca="1">'Expenditures 15-22'!D261</f>
        <v>62051</v>
      </c>
      <c r="C1427" s="2" t="s">
        <v>573</v>
      </c>
      <c r="D1427" s="2" t="str">
        <f t="shared" ca="1" si="21"/>
        <v>Error?</v>
      </c>
    </row>
    <row r="1428" spans="1:4" x14ac:dyDescent="0.2">
      <c r="A1428" s="5">
        <v>1367</v>
      </c>
      <c r="B1428" s="138">
        <f ca="1">'Expenditures 15-22'!D263</f>
        <v>0</v>
      </c>
      <c r="D1428" s="2" t="str">
        <f t="shared" ca="1" si="21"/>
        <v>Error?</v>
      </c>
    </row>
    <row r="1429" spans="1:4" x14ac:dyDescent="0.2">
      <c r="A1429" s="5">
        <v>1368</v>
      </c>
      <c r="B1429" s="138">
        <f ca="1">'Expenditures 15-22'!D264</f>
        <v>19697</v>
      </c>
      <c r="D1429" s="2" t="str">
        <f t="shared" ca="1" si="21"/>
        <v>Error?</v>
      </c>
    </row>
    <row r="1430" spans="1:4" x14ac:dyDescent="0.2">
      <c r="A1430" s="5">
        <v>1369</v>
      </c>
      <c r="B1430" s="138">
        <f ca="1">'Expenditures 15-22'!D265</f>
        <v>0</v>
      </c>
      <c r="D1430" s="2" t="str">
        <f t="shared" ca="1" si="21"/>
        <v>Error?</v>
      </c>
    </row>
    <row r="1431" spans="1:4" x14ac:dyDescent="0.2">
      <c r="A1431" s="5">
        <v>1370</v>
      </c>
      <c r="B1431" s="138">
        <f ca="1">'Expenditures 15-22'!D266</f>
        <v>172424</v>
      </c>
      <c r="D1431" s="2" t="str">
        <f t="shared" ca="1" si="21"/>
        <v>Error?</v>
      </c>
    </row>
    <row r="1432" spans="1:4" x14ac:dyDescent="0.2">
      <c r="A1432" s="5">
        <v>1371</v>
      </c>
      <c r="B1432" s="138">
        <f ca="1">'Expenditures 15-22'!D267</f>
        <v>167470</v>
      </c>
      <c r="D1432" s="2" t="str">
        <f t="shared" ca="1" si="21"/>
        <v>Error?</v>
      </c>
    </row>
    <row r="1433" spans="1:4" x14ac:dyDescent="0.2">
      <c r="A1433" s="5">
        <v>1372</v>
      </c>
      <c r="B1433" s="138">
        <f ca="1">'Expenditures 15-22'!D268</f>
        <v>30815</v>
      </c>
      <c r="D1433" s="2" t="str">
        <f t="shared" ca="1" si="21"/>
        <v>Error?</v>
      </c>
    </row>
    <row r="1434" spans="1:4" x14ac:dyDescent="0.2">
      <c r="A1434" s="5">
        <v>1373</v>
      </c>
      <c r="B1434" s="138">
        <f ca="1">'Expenditures 15-22'!D269</f>
        <v>0</v>
      </c>
      <c r="D1434" s="2" t="str">
        <f t="shared" ca="1" si="21"/>
        <v>Error?</v>
      </c>
    </row>
    <row r="1435" spans="1:4" x14ac:dyDescent="0.2">
      <c r="A1435" s="10">
        <v>1374</v>
      </c>
      <c r="D1435" s="2" t="str">
        <f t="shared" si="21"/>
        <v>OK</v>
      </c>
    </row>
    <row r="1436" spans="1:4" x14ac:dyDescent="0.2">
      <c r="A1436" s="5">
        <v>1375</v>
      </c>
      <c r="B1436" s="138">
        <f ca="1">'Expenditures 15-22'!D270</f>
        <v>390406</v>
      </c>
      <c r="C1436" s="2" t="s">
        <v>573</v>
      </c>
      <c r="D1436" s="2" t="str">
        <f t="shared" ca="1" si="21"/>
        <v>Error?</v>
      </c>
    </row>
    <row r="1437" spans="1:4" x14ac:dyDescent="0.2">
      <c r="A1437" s="5">
        <v>1376</v>
      </c>
      <c r="B1437" s="138">
        <f ca="1">'Expenditures 15-22'!D272</f>
        <v>0</v>
      </c>
      <c r="D1437" s="2" t="str">
        <f t="shared" ca="1" si="21"/>
        <v>Error?</v>
      </c>
    </row>
    <row r="1438" spans="1:4" x14ac:dyDescent="0.2">
      <c r="A1438" s="5">
        <v>1377</v>
      </c>
      <c r="B1438" s="138">
        <f ca="1">'Expenditures 15-22'!D273</f>
        <v>0</v>
      </c>
      <c r="D1438" s="2" t="str">
        <f t="shared" ca="1" si="21"/>
        <v>Error?</v>
      </c>
    </row>
    <row r="1439" spans="1:4" x14ac:dyDescent="0.2">
      <c r="A1439" s="5">
        <v>1378</v>
      </c>
      <c r="B1439" s="138">
        <f ca="1">'Expenditures 15-22'!D274</f>
        <v>0</v>
      </c>
      <c r="D1439" s="2" t="str">
        <f t="shared" ca="1" si="21"/>
        <v>Error?</v>
      </c>
    </row>
    <row r="1440" spans="1:4" x14ac:dyDescent="0.2">
      <c r="A1440" s="5">
        <v>1379</v>
      </c>
      <c r="B1440" s="138">
        <f ca="1">'Expenditures 15-22'!D275</f>
        <v>262</v>
      </c>
      <c r="D1440" s="2" t="str">
        <f t="shared" ca="1" si="21"/>
        <v>Error?</v>
      </c>
    </row>
    <row r="1441" spans="1:4" x14ac:dyDescent="0.2">
      <c r="A1441" s="10">
        <v>1380</v>
      </c>
      <c r="D1441" s="2" t="str">
        <f t="shared" si="21"/>
        <v>OK</v>
      </c>
    </row>
    <row r="1442" spans="1:4" x14ac:dyDescent="0.2">
      <c r="A1442" s="5">
        <v>1381</v>
      </c>
      <c r="B1442" s="138">
        <f ca="1">'Expenditures 15-22'!D276</f>
        <v>0</v>
      </c>
      <c r="D1442" s="2" t="str">
        <f t="shared" ca="1" si="21"/>
        <v>Error?</v>
      </c>
    </row>
    <row r="1443" spans="1:4" x14ac:dyDescent="0.2">
      <c r="A1443" s="10">
        <v>1382</v>
      </c>
      <c r="D1443" s="2" t="str">
        <f t="shared" si="21"/>
        <v>OK</v>
      </c>
    </row>
    <row r="1444" spans="1:4" x14ac:dyDescent="0.2">
      <c r="A1444" s="5">
        <v>1383</v>
      </c>
      <c r="B1444" s="138">
        <f ca="1">'Expenditures 15-22'!D277</f>
        <v>262</v>
      </c>
      <c r="C1444" s="2" t="s">
        <v>573</v>
      </c>
      <c r="D1444" s="2" t="str">
        <f t="shared" ca="1" si="21"/>
        <v>Error?</v>
      </c>
    </row>
    <row r="1445" spans="1:4" x14ac:dyDescent="0.2">
      <c r="A1445" s="5">
        <v>1384</v>
      </c>
      <c r="B1445" s="138">
        <f ca="1">'Expenditures 15-22'!D278</f>
        <v>0</v>
      </c>
      <c r="D1445" s="2" t="str">
        <f t="shared" ca="1" si="21"/>
        <v>Error?</v>
      </c>
    </row>
    <row r="1446" spans="1:4" x14ac:dyDescent="0.2">
      <c r="A1446" s="5">
        <v>1385</v>
      </c>
      <c r="B1446" s="138">
        <f ca="1">'Expenditures 15-22'!D279</f>
        <v>568840</v>
      </c>
      <c r="C1446" s="2" t="s">
        <v>573</v>
      </c>
      <c r="D1446" s="2" t="str">
        <f t="shared" ca="1" si="21"/>
        <v>Error?</v>
      </c>
    </row>
    <row r="1447" spans="1:4" x14ac:dyDescent="0.2">
      <c r="A1447" s="5">
        <v>1386</v>
      </c>
      <c r="B1447" s="138">
        <f ca="1">'Expenditures 15-22'!D280</f>
        <v>0</v>
      </c>
      <c r="D1447" s="2" t="str">
        <f t="shared" ca="1" si="21"/>
        <v>Error?</v>
      </c>
    </row>
    <row r="1448" spans="1:4" x14ac:dyDescent="0.2">
      <c r="A1448" s="5">
        <v>1387</v>
      </c>
      <c r="B1448" s="138">
        <f ca="1">'Expenditures 15-22'!D295</f>
        <v>868258</v>
      </c>
      <c r="C1448" s="2" t="s">
        <v>573</v>
      </c>
      <c r="D1448" s="2" t="str">
        <f t="shared" ca="1" si="21"/>
        <v>Error?</v>
      </c>
    </row>
    <row r="1449" spans="1:4" x14ac:dyDescent="0.2">
      <c r="A1449" s="5">
        <v>1388</v>
      </c>
      <c r="B1449" s="138">
        <f ca="1">'Expenditures 15-22'!H288</f>
        <v>0</v>
      </c>
      <c r="D1449" s="2" t="str">
        <f t="shared" ca="1" si="21"/>
        <v>Error?</v>
      </c>
    </row>
    <row r="1450" spans="1:4" x14ac:dyDescent="0.2">
      <c r="A1450" s="5">
        <v>1389</v>
      </c>
      <c r="B1450" s="138">
        <f ca="1">'Expenditures 15-22'!H289</f>
        <v>0</v>
      </c>
      <c r="D1450" s="2" t="str">
        <f t="shared" ca="1" si="21"/>
        <v>Error?</v>
      </c>
    </row>
    <row r="1451" spans="1:4" x14ac:dyDescent="0.2">
      <c r="A1451" s="5">
        <v>1390</v>
      </c>
      <c r="B1451" s="138">
        <f ca="1">'Expenditures 15-22'!H292</f>
        <v>0</v>
      </c>
      <c r="D1451" s="2" t="str">
        <f t="shared" ca="1" si="21"/>
        <v>Error?</v>
      </c>
    </row>
    <row r="1452" spans="1:4" x14ac:dyDescent="0.2">
      <c r="A1452" s="5">
        <v>1391</v>
      </c>
      <c r="B1452" s="138">
        <f ca="1">'Expenditures 15-22'!H293</f>
        <v>0</v>
      </c>
      <c r="C1452" s="2" t="s">
        <v>573</v>
      </c>
      <c r="D1452" s="2" t="str">
        <f t="shared" ca="1" si="21"/>
        <v>Error?</v>
      </c>
    </row>
    <row r="1453" spans="1:4" x14ac:dyDescent="0.2">
      <c r="A1453" s="10">
        <v>1392</v>
      </c>
      <c r="D1453" s="2" t="str">
        <f t="shared" si="21"/>
        <v>OK</v>
      </c>
    </row>
    <row r="1454" spans="1:4" x14ac:dyDescent="0.2">
      <c r="A1454" s="5">
        <v>1393</v>
      </c>
      <c r="B1454" s="138">
        <f ca="1">'Expenditures 15-22'!H295</f>
        <v>0</v>
      </c>
      <c r="C1454" s="2" t="s">
        <v>573</v>
      </c>
      <c r="D1454" s="2" t="str">
        <f t="shared" ca="1"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 ca="1">'Expenditures 15-22'!K225</f>
        <v>0</v>
      </c>
      <c r="C1460" s="2" t="s">
        <v>573</v>
      </c>
      <c r="D1460" s="2" t="str">
        <f t="shared" ca="1"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 ca="1">'Expenditures 15-22'!K227</f>
        <v>0</v>
      </c>
      <c r="C1466" s="2" t="s">
        <v>573</v>
      </c>
      <c r="D1466" s="2" t="str">
        <f t="shared" ca="1"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 ca="1">'Expenditures 15-22'!K221</f>
        <v>0</v>
      </c>
      <c r="C1470" s="2" t="s">
        <v>573</v>
      </c>
      <c r="D1470" s="2" t="str">
        <f t="shared" ca="1" si="21"/>
        <v>Error?</v>
      </c>
    </row>
    <row r="1471" spans="1:4" x14ac:dyDescent="0.2">
      <c r="A1471" s="5">
        <v>1410</v>
      </c>
      <c r="B1471" s="138">
        <f ca="1">'Expenditures 15-22'!K222</f>
        <v>0</v>
      </c>
      <c r="C1471" s="2" t="s">
        <v>573</v>
      </c>
      <c r="D1471" s="2" t="str">
        <f t="shared" ref="D1471:D1534" ca="1" si="22">IF(ISBLANK(B1471),"OK",IF(A1471-B1471=0,"OK","Error?"))</f>
        <v>Error?</v>
      </c>
    </row>
    <row r="1472" spans="1:4" x14ac:dyDescent="0.2">
      <c r="A1472" s="5">
        <v>1411</v>
      </c>
      <c r="B1472" s="138">
        <f ca="1">'Expenditures 15-22'!K223</f>
        <v>2639</v>
      </c>
      <c r="C1472" s="2" t="s">
        <v>573</v>
      </c>
      <c r="D1472" s="2" t="str">
        <f t="shared" ca="1" si="22"/>
        <v>Error?</v>
      </c>
    </row>
    <row r="1473" spans="1:4" x14ac:dyDescent="0.2">
      <c r="A1473" s="5">
        <v>1412</v>
      </c>
      <c r="B1473" s="138">
        <f ca="1">'Expenditures 15-22'!K224</f>
        <v>0</v>
      </c>
      <c r="C1473" s="2" t="s">
        <v>573</v>
      </c>
      <c r="D1473" s="2" t="str">
        <f t="shared" ca="1" si="22"/>
        <v>Error?</v>
      </c>
    </row>
    <row r="1474" spans="1:4" x14ac:dyDescent="0.2">
      <c r="A1474" s="5">
        <v>1413</v>
      </c>
      <c r="B1474" s="138">
        <f ca="1">'Expenditures 15-22'!K229</f>
        <v>299418</v>
      </c>
      <c r="C1474" s="2" t="s">
        <v>573</v>
      </c>
      <c r="D1474" s="2" t="str">
        <f t="shared" ca="1" si="22"/>
        <v>Error?</v>
      </c>
    </row>
    <row r="1475" spans="1:4" x14ac:dyDescent="0.2">
      <c r="A1475" s="5">
        <v>1414</v>
      </c>
      <c r="B1475" s="138">
        <f ca="1">'Expenditures 15-22'!K232</f>
        <v>5024</v>
      </c>
      <c r="C1475" s="2" t="s">
        <v>573</v>
      </c>
      <c r="D1475" s="2" t="str">
        <f t="shared" ca="1" si="22"/>
        <v>Error?</v>
      </c>
    </row>
    <row r="1476" spans="1:4" x14ac:dyDescent="0.2">
      <c r="A1476" s="5">
        <v>1415</v>
      </c>
      <c r="B1476" s="138">
        <f ca="1">'Expenditures 15-22'!K233</f>
        <v>2115</v>
      </c>
      <c r="C1476" s="2" t="s">
        <v>573</v>
      </c>
      <c r="D1476" s="2" t="str">
        <f t="shared" ca="1" si="22"/>
        <v>Error?</v>
      </c>
    </row>
    <row r="1477" spans="1:4" x14ac:dyDescent="0.2">
      <c r="A1477" s="5">
        <v>1416</v>
      </c>
      <c r="B1477" s="138">
        <f ca="1">'Expenditures 15-22'!K234</f>
        <v>24604</v>
      </c>
      <c r="C1477" s="2" t="s">
        <v>573</v>
      </c>
      <c r="D1477" s="2" t="str">
        <f t="shared" ca="1" si="22"/>
        <v>Error?</v>
      </c>
    </row>
    <row r="1478" spans="1:4" x14ac:dyDescent="0.2">
      <c r="A1478" s="5">
        <v>1417</v>
      </c>
      <c r="B1478" s="138">
        <f ca="1">'Expenditures 15-22'!K235</f>
        <v>10780</v>
      </c>
      <c r="C1478" s="2" t="s">
        <v>573</v>
      </c>
      <c r="D1478" s="2" t="str">
        <f t="shared" ca="1" si="22"/>
        <v>Error?</v>
      </c>
    </row>
    <row r="1479" spans="1:4" x14ac:dyDescent="0.2">
      <c r="A1479" s="5">
        <v>1418</v>
      </c>
      <c r="B1479" s="138">
        <f ca="1">'Expenditures 15-22'!K236</f>
        <v>5028</v>
      </c>
      <c r="C1479" s="2" t="s">
        <v>573</v>
      </c>
      <c r="D1479" s="2" t="str">
        <f t="shared" ca="1" si="22"/>
        <v>Error?</v>
      </c>
    </row>
    <row r="1480" spans="1:4" x14ac:dyDescent="0.2">
      <c r="A1480" s="5">
        <v>1419</v>
      </c>
      <c r="B1480" s="138">
        <f ca="1">'Expenditures 15-22'!K237</f>
        <v>2614</v>
      </c>
      <c r="C1480" s="2" t="s">
        <v>573</v>
      </c>
      <c r="D1480" s="2" t="str">
        <f t="shared" ca="1" si="22"/>
        <v>Error?</v>
      </c>
    </row>
    <row r="1481" spans="1:4" x14ac:dyDescent="0.2">
      <c r="A1481" s="5">
        <v>1420</v>
      </c>
      <c r="B1481" s="138">
        <f ca="1">'Expenditures 15-22'!K238</f>
        <v>50165</v>
      </c>
      <c r="C1481" s="2" t="s">
        <v>573</v>
      </c>
      <c r="D1481" s="2" t="str">
        <f t="shared" ca="1" si="22"/>
        <v>Error?</v>
      </c>
    </row>
    <row r="1482" spans="1:4" x14ac:dyDescent="0.2">
      <c r="A1482" s="5">
        <v>1421</v>
      </c>
      <c r="B1482" s="138">
        <f ca="1">'Expenditures 15-22'!K240</f>
        <v>264</v>
      </c>
      <c r="C1482" s="2" t="s">
        <v>573</v>
      </c>
      <c r="D1482" s="2" t="str">
        <f t="shared" ca="1" si="22"/>
        <v>Error?</v>
      </c>
    </row>
    <row r="1483" spans="1:4" x14ac:dyDescent="0.2">
      <c r="A1483" s="5">
        <v>1422</v>
      </c>
      <c r="B1483" s="138">
        <f ca="1">'Expenditures 15-22'!K241</f>
        <v>47391</v>
      </c>
      <c r="C1483" s="2" t="s">
        <v>573</v>
      </c>
      <c r="D1483" s="2" t="str">
        <f t="shared" ca="1" si="22"/>
        <v>Error?</v>
      </c>
    </row>
    <row r="1484" spans="1:4" x14ac:dyDescent="0.2">
      <c r="A1484" s="5">
        <v>1423</v>
      </c>
      <c r="B1484" s="138">
        <f ca="1">'Expenditures 15-22'!K242</f>
        <v>0</v>
      </c>
      <c r="C1484" s="2" t="s">
        <v>573</v>
      </c>
      <c r="D1484" s="2" t="str">
        <f t="shared" ca="1" si="22"/>
        <v>Error?</v>
      </c>
    </row>
    <row r="1485" spans="1:4" x14ac:dyDescent="0.2">
      <c r="A1485" s="5">
        <v>1424</v>
      </c>
      <c r="B1485" s="138">
        <f ca="1">'Expenditures 15-22'!K243</f>
        <v>47655</v>
      </c>
      <c r="C1485" s="2" t="s">
        <v>573</v>
      </c>
      <c r="D1485" s="2" t="str">
        <f t="shared" ca="1" si="22"/>
        <v>Error?</v>
      </c>
    </row>
    <row r="1486" spans="1:4" x14ac:dyDescent="0.2">
      <c r="A1486" s="5">
        <v>1425</v>
      </c>
      <c r="B1486" s="138">
        <f ca="1">'Expenditures 15-22'!K245</f>
        <v>295</v>
      </c>
      <c r="C1486" s="2" t="s">
        <v>573</v>
      </c>
      <c r="D1486" s="2" t="str">
        <f t="shared" ca="1" si="22"/>
        <v>Error?</v>
      </c>
    </row>
    <row r="1487" spans="1:4" x14ac:dyDescent="0.2">
      <c r="A1487" s="5">
        <v>1426</v>
      </c>
      <c r="B1487" s="138">
        <f ca="1">'Expenditures 15-22'!K246</f>
        <v>18006</v>
      </c>
      <c r="C1487" s="2" t="s">
        <v>573</v>
      </c>
      <c r="D1487" s="2" t="str">
        <f t="shared" ca="1" si="22"/>
        <v>Error?</v>
      </c>
    </row>
    <row r="1488" spans="1:4" x14ac:dyDescent="0.2">
      <c r="A1488" s="5">
        <v>1427</v>
      </c>
      <c r="B1488" s="138">
        <f ca="1">'Expenditures 15-22'!K257</f>
        <v>18301</v>
      </c>
      <c r="C1488" s="2" t="s">
        <v>573</v>
      </c>
      <c r="D1488" s="2" t="str">
        <f t="shared" ca="1" si="22"/>
        <v>Error?</v>
      </c>
    </row>
    <row r="1489" spans="1:4" x14ac:dyDescent="0.2">
      <c r="A1489" s="5">
        <v>1428</v>
      </c>
      <c r="B1489" s="138">
        <f ca="1">'Expenditures 15-22'!K259</f>
        <v>62051</v>
      </c>
      <c r="C1489" s="2" t="s">
        <v>573</v>
      </c>
      <c r="D1489" s="2" t="str">
        <f t="shared" ca="1" si="22"/>
        <v>Error?</v>
      </c>
    </row>
    <row r="1490" spans="1:4" x14ac:dyDescent="0.2">
      <c r="A1490" s="5">
        <v>1429</v>
      </c>
      <c r="B1490" s="138">
        <f ca="1">'Expenditures 15-22'!K260</f>
        <v>0</v>
      </c>
      <c r="C1490" s="2" t="s">
        <v>573</v>
      </c>
      <c r="D1490" s="2" t="str">
        <f t="shared" ca="1" si="22"/>
        <v>Error?</v>
      </c>
    </row>
    <row r="1491" spans="1:4" x14ac:dyDescent="0.2">
      <c r="A1491" s="5">
        <v>1430</v>
      </c>
      <c r="B1491" s="138">
        <f ca="1">'Expenditures 15-22'!K261</f>
        <v>62051</v>
      </c>
      <c r="C1491" s="2" t="s">
        <v>573</v>
      </c>
      <c r="D1491" s="2" t="str">
        <f t="shared" ca="1" si="22"/>
        <v>Error?</v>
      </c>
    </row>
    <row r="1492" spans="1:4" x14ac:dyDescent="0.2">
      <c r="A1492" s="5">
        <v>1431</v>
      </c>
      <c r="B1492" s="138">
        <f ca="1">'Expenditures 15-22'!K263</f>
        <v>0</v>
      </c>
      <c r="C1492" s="2" t="s">
        <v>573</v>
      </c>
      <c r="D1492" s="2" t="str">
        <f t="shared" ca="1" si="22"/>
        <v>Error?</v>
      </c>
    </row>
    <row r="1493" spans="1:4" x14ac:dyDescent="0.2">
      <c r="A1493" s="5">
        <v>1432</v>
      </c>
      <c r="B1493" s="138">
        <f ca="1">'Expenditures 15-22'!K264</f>
        <v>19697</v>
      </c>
      <c r="C1493" s="2" t="s">
        <v>573</v>
      </c>
      <c r="D1493" s="2" t="str">
        <f t="shared" ca="1" si="22"/>
        <v>Error?</v>
      </c>
    </row>
    <row r="1494" spans="1:4" x14ac:dyDescent="0.2">
      <c r="A1494" s="5">
        <v>1433</v>
      </c>
      <c r="B1494" s="138">
        <f ca="1">'Expenditures 15-22'!K265</f>
        <v>0</v>
      </c>
      <c r="C1494" s="2" t="s">
        <v>573</v>
      </c>
      <c r="D1494" s="2" t="str">
        <f t="shared" ca="1" si="22"/>
        <v>Error?</v>
      </c>
    </row>
    <row r="1495" spans="1:4" x14ac:dyDescent="0.2">
      <c r="A1495" s="5">
        <v>1434</v>
      </c>
      <c r="B1495" s="138">
        <f ca="1">'Expenditures 15-22'!K266</f>
        <v>172424</v>
      </c>
      <c r="C1495" s="2" t="s">
        <v>573</v>
      </c>
      <c r="D1495" s="2" t="str">
        <f t="shared" ca="1" si="22"/>
        <v>Error?</v>
      </c>
    </row>
    <row r="1496" spans="1:4" x14ac:dyDescent="0.2">
      <c r="A1496" s="5">
        <v>1435</v>
      </c>
      <c r="B1496" s="138">
        <f ca="1">'Expenditures 15-22'!K267</f>
        <v>167470</v>
      </c>
      <c r="C1496" s="2" t="s">
        <v>573</v>
      </c>
      <c r="D1496" s="2" t="str">
        <f t="shared" ca="1" si="22"/>
        <v>Error?</v>
      </c>
    </row>
    <row r="1497" spans="1:4" x14ac:dyDescent="0.2">
      <c r="A1497" s="5">
        <v>1436</v>
      </c>
      <c r="B1497" s="138">
        <f ca="1">'Expenditures 15-22'!K268</f>
        <v>30815</v>
      </c>
      <c r="C1497" s="2" t="s">
        <v>573</v>
      </c>
      <c r="D1497" s="2" t="str">
        <f t="shared" ca="1" si="22"/>
        <v>Error?</v>
      </c>
    </row>
    <row r="1498" spans="1:4" x14ac:dyDescent="0.2">
      <c r="A1498" s="5">
        <v>1437</v>
      </c>
      <c r="B1498" s="138">
        <f ca="1">'Expenditures 15-22'!K269</f>
        <v>0</v>
      </c>
      <c r="C1498" s="2" t="s">
        <v>573</v>
      </c>
      <c r="D1498" s="2" t="str">
        <f t="shared" ca="1" si="22"/>
        <v>Error?</v>
      </c>
    </row>
    <row r="1499" spans="1:4" x14ac:dyDescent="0.2">
      <c r="A1499" s="10">
        <v>1438</v>
      </c>
      <c r="D1499" s="2" t="str">
        <f t="shared" si="22"/>
        <v>OK</v>
      </c>
    </row>
    <row r="1500" spans="1:4" x14ac:dyDescent="0.2">
      <c r="A1500" s="5">
        <v>1439</v>
      </c>
      <c r="B1500" s="138">
        <f ca="1">'Expenditures 15-22'!K270</f>
        <v>390406</v>
      </c>
      <c r="C1500" s="2" t="s">
        <v>573</v>
      </c>
      <c r="D1500" s="2" t="str">
        <f t="shared" ca="1" si="22"/>
        <v>Error?</v>
      </c>
    </row>
    <row r="1501" spans="1:4" x14ac:dyDescent="0.2">
      <c r="A1501" s="5">
        <v>1440</v>
      </c>
      <c r="B1501" s="138">
        <f ca="1">'Expenditures 15-22'!K272</f>
        <v>0</v>
      </c>
      <c r="C1501" s="2" t="s">
        <v>573</v>
      </c>
      <c r="D1501" s="2" t="str">
        <f t="shared" ca="1" si="22"/>
        <v>Error?</v>
      </c>
    </row>
    <row r="1502" spans="1:4" x14ac:dyDescent="0.2">
      <c r="A1502" s="5">
        <v>1441</v>
      </c>
      <c r="B1502" s="138">
        <f ca="1">'Expenditures 15-22'!K273</f>
        <v>0</v>
      </c>
      <c r="C1502" s="2" t="s">
        <v>573</v>
      </c>
      <c r="D1502" s="2" t="str">
        <f t="shared" ca="1" si="22"/>
        <v>Error?</v>
      </c>
    </row>
    <row r="1503" spans="1:4" x14ac:dyDescent="0.2">
      <c r="A1503" s="5">
        <v>1442</v>
      </c>
      <c r="B1503" s="138">
        <f ca="1">'Expenditures 15-22'!K274</f>
        <v>0</v>
      </c>
      <c r="C1503" s="2" t="s">
        <v>573</v>
      </c>
      <c r="D1503" s="2" t="str">
        <f t="shared" ca="1" si="22"/>
        <v>Error?</v>
      </c>
    </row>
    <row r="1504" spans="1:4" x14ac:dyDescent="0.2">
      <c r="A1504" s="5">
        <v>1443</v>
      </c>
      <c r="B1504" s="138">
        <f ca="1">'Expenditures 15-22'!K275</f>
        <v>262</v>
      </c>
      <c r="C1504" s="2" t="s">
        <v>573</v>
      </c>
      <c r="D1504" s="2" t="str">
        <f t="shared" ca="1" si="22"/>
        <v>Error?</v>
      </c>
    </row>
    <row r="1505" spans="1:4" x14ac:dyDescent="0.2">
      <c r="A1505" s="10">
        <v>1444</v>
      </c>
      <c r="D1505" s="2" t="str">
        <f t="shared" si="22"/>
        <v>OK</v>
      </c>
    </row>
    <row r="1506" spans="1:4" x14ac:dyDescent="0.2">
      <c r="A1506" s="5">
        <v>1445</v>
      </c>
      <c r="B1506" s="138">
        <f ca="1">'Expenditures 15-22'!K276</f>
        <v>0</v>
      </c>
      <c r="C1506" s="2" t="s">
        <v>573</v>
      </c>
      <c r="D1506" s="2" t="str">
        <f t="shared" ca="1" si="22"/>
        <v>Error?</v>
      </c>
    </row>
    <row r="1507" spans="1:4" x14ac:dyDescent="0.2">
      <c r="A1507" s="10">
        <v>1446</v>
      </c>
      <c r="D1507" s="2" t="str">
        <f t="shared" si="22"/>
        <v>OK</v>
      </c>
    </row>
    <row r="1508" spans="1:4" x14ac:dyDescent="0.2">
      <c r="A1508" s="5">
        <v>1447</v>
      </c>
      <c r="B1508" s="138">
        <f ca="1">'Expenditures 15-22'!K277</f>
        <v>262</v>
      </c>
      <c r="C1508" s="2" t="s">
        <v>573</v>
      </c>
      <c r="D1508" s="2" t="str">
        <f t="shared" ca="1" si="22"/>
        <v>Error?</v>
      </c>
    </row>
    <row r="1509" spans="1:4" x14ac:dyDescent="0.2">
      <c r="A1509" s="5">
        <v>1448</v>
      </c>
      <c r="B1509" s="138">
        <f ca="1">'Expenditures 15-22'!K278</f>
        <v>0</v>
      </c>
      <c r="C1509" s="2" t="s">
        <v>573</v>
      </c>
      <c r="D1509" s="2" t="str">
        <f t="shared" ca="1" si="22"/>
        <v>Error?</v>
      </c>
    </row>
    <row r="1510" spans="1:4" x14ac:dyDescent="0.2">
      <c r="A1510" s="5">
        <v>1449</v>
      </c>
      <c r="B1510" s="138">
        <f ca="1">'Expenditures 15-22'!K279</f>
        <v>568840</v>
      </c>
      <c r="C1510" s="2" t="s">
        <v>573</v>
      </c>
      <c r="D1510" s="2" t="str">
        <f t="shared" ca="1" si="22"/>
        <v>Error?</v>
      </c>
    </row>
    <row r="1511" spans="1:4" x14ac:dyDescent="0.2">
      <c r="A1511" s="5">
        <v>1450</v>
      </c>
      <c r="B1511" s="138">
        <f ca="1">'Expenditures 15-22'!K280</f>
        <v>0</v>
      </c>
      <c r="C1511" s="2" t="s">
        <v>573</v>
      </c>
      <c r="D1511" s="2" t="str">
        <f t="shared" ca="1" si="22"/>
        <v>Error?</v>
      </c>
    </row>
    <row r="1512" spans="1:4" x14ac:dyDescent="0.2">
      <c r="A1512" s="5">
        <v>1451</v>
      </c>
      <c r="B1512" s="138">
        <f ca="1">'Expenditures 15-22'!K288</f>
        <v>0</v>
      </c>
      <c r="C1512" s="2" t="s">
        <v>573</v>
      </c>
      <c r="D1512" s="2" t="str">
        <f t="shared" ca="1" si="22"/>
        <v>Error?</v>
      </c>
    </row>
    <row r="1513" spans="1:4" x14ac:dyDescent="0.2">
      <c r="A1513" s="5">
        <v>1452</v>
      </c>
      <c r="B1513" s="138">
        <f ca="1">'Expenditures 15-22'!K289</f>
        <v>0</v>
      </c>
      <c r="C1513" s="2" t="s">
        <v>573</v>
      </c>
      <c r="D1513" s="2" t="str">
        <f t="shared" ca="1" si="22"/>
        <v>Error?</v>
      </c>
    </row>
    <row r="1514" spans="1:4" x14ac:dyDescent="0.2">
      <c r="A1514" s="5">
        <v>1453</v>
      </c>
      <c r="B1514" s="138">
        <f ca="1">'Expenditures 15-22'!K292</f>
        <v>0</v>
      </c>
      <c r="C1514" s="2" t="s">
        <v>573</v>
      </c>
      <c r="D1514" s="2" t="str">
        <f t="shared" ca="1" si="22"/>
        <v>Error?</v>
      </c>
    </row>
    <row r="1515" spans="1:4" x14ac:dyDescent="0.2">
      <c r="A1515" s="5">
        <v>1454</v>
      </c>
      <c r="B1515" s="138">
        <f ca="1">'Expenditures 15-22'!K293</f>
        <v>0</v>
      </c>
      <c r="C1515" s="2" t="s">
        <v>573</v>
      </c>
      <c r="D1515" s="2" t="str">
        <f t="shared" ca="1" si="22"/>
        <v>Error?</v>
      </c>
    </row>
    <row r="1516" spans="1:4" x14ac:dyDescent="0.2">
      <c r="A1516" s="10">
        <v>1455</v>
      </c>
      <c r="D1516" s="2" t="str">
        <f t="shared" si="22"/>
        <v>OK</v>
      </c>
    </row>
    <row r="1517" spans="1:4" x14ac:dyDescent="0.2">
      <c r="A1517" s="5">
        <v>1456</v>
      </c>
      <c r="B1517" s="138">
        <f ca="1">'Expenditures 15-22'!K295</f>
        <v>868258</v>
      </c>
      <c r="C1517" s="2" t="s">
        <v>573</v>
      </c>
      <c r="D1517" s="2" t="str">
        <f t="shared" ca="1" si="22"/>
        <v>Error?</v>
      </c>
    </row>
    <row r="1518" spans="1:4" x14ac:dyDescent="0.2">
      <c r="A1518" s="5">
        <v>1457</v>
      </c>
      <c r="B1518" s="138">
        <f ca="1">'Expenditures 15-22'!K296</f>
        <v>51698</v>
      </c>
      <c r="C1518" s="2" t="s">
        <v>573</v>
      </c>
      <c r="D1518" s="2" t="str">
        <f t="shared" ca="1" si="22"/>
        <v>Error?</v>
      </c>
    </row>
    <row r="1519" spans="1:4" x14ac:dyDescent="0.2">
      <c r="A1519" s="5">
        <v>1458</v>
      </c>
      <c r="B1519" s="138">
        <f ca="1">'Expenditures 15-22'!C301</f>
        <v>0</v>
      </c>
      <c r="D1519" s="2" t="str">
        <f t="shared" ca="1"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 ca="1">'Expenditures 15-22'!C302</f>
        <v>0</v>
      </c>
      <c r="D1522" s="2" t="str">
        <f t="shared" ca="1" si="22"/>
        <v>Error?</v>
      </c>
    </row>
    <row r="1523" spans="1:4" x14ac:dyDescent="0.2">
      <c r="A1523" s="5">
        <v>1462</v>
      </c>
      <c r="B1523" s="138">
        <f ca="1">'Expenditures 15-22'!C303</f>
        <v>0</v>
      </c>
      <c r="C1523" s="2" t="s">
        <v>573</v>
      </c>
      <c r="D1523" s="2" t="str">
        <f t="shared" ca="1" si="22"/>
        <v>Error?</v>
      </c>
    </row>
    <row r="1524" spans="1:4" x14ac:dyDescent="0.2">
      <c r="A1524" s="5">
        <v>1463</v>
      </c>
      <c r="B1524" s="138">
        <f ca="1">'Expenditures 15-22'!C312</f>
        <v>0</v>
      </c>
      <c r="C1524" s="2" t="s">
        <v>573</v>
      </c>
      <c r="D1524" s="2" t="str">
        <f t="shared" ca="1" si="22"/>
        <v>Error?</v>
      </c>
    </row>
    <row r="1525" spans="1:4" x14ac:dyDescent="0.2">
      <c r="A1525" s="5">
        <v>1464</v>
      </c>
      <c r="B1525" s="138">
        <f ca="1">'Expenditures 15-22'!D301</f>
        <v>0</v>
      </c>
      <c r="D1525" s="2" t="str">
        <f t="shared" ca="1"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 ca="1">'Expenditures 15-22'!D302</f>
        <v>0</v>
      </c>
      <c r="D1528" s="2" t="str">
        <f t="shared" ca="1" si="22"/>
        <v>Error?</v>
      </c>
    </row>
    <row r="1529" spans="1:4" x14ac:dyDescent="0.2">
      <c r="A1529" s="5">
        <v>1468</v>
      </c>
      <c r="B1529" s="138">
        <f ca="1">'Expenditures 15-22'!D303</f>
        <v>0</v>
      </c>
      <c r="C1529" s="2" t="s">
        <v>573</v>
      </c>
      <c r="D1529" s="2" t="str">
        <f t="shared" ca="1" si="22"/>
        <v>Error?</v>
      </c>
    </row>
    <row r="1530" spans="1:4" x14ac:dyDescent="0.2">
      <c r="A1530" s="5">
        <v>1469</v>
      </c>
      <c r="B1530" s="138">
        <f ca="1">'Expenditures 15-22'!D312</f>
        <v>0</v>
      </c>
      <c r="C1530" s="2" t="s">
        <v>573</v>
      </c>
      <c r="D1530" s="2" t="str">
        <f t="shared" ca="1" si="22"/>
        <v>Error?</v>
      </c>
    </row>
    <row r="1531" spans="1:4" x14ac:dyDescent="0.2">
      <c r="A1531" s="5">
        <v>1470</v>
      </c>
      <c r="B1531" s="138">
        <f ca="1">'Expenditures 15-22'!E301</f>
        <v>0</v>
      </c>
      <c r="D1531" s="2" t="str">
        <f t="shared" ca="1"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 ca="1">'Expenditures 15-22'!E302</f>
        <v>0</v>
      </c>
      <c r="D1534" s="2" t="str">
        <f t="shared" ca="1" si="22"/>
        <v>Error?</v>
      </c>
    </row>
    <row r="1535" spans="1:4" x14ac:dyDescent="0.2">
      <c r="A1535" s="5">
        <v>1474</v>
      </c>
      <c r="B1535" s="138">
        <f ca="1">'Expenditures 15-22'!E303</f>
        <v>0</v>
      </c>
      <c r="C1535" s="2" t="s">
        <v>573</v>
      </c>
      <c r="D1535" s="2" t="str">
        <f t="shared" ref="D1535:D1598" ca="1" si="23">IF(ISBLANK(B1535),"OK",IF(A1535-B1535=0,"OK","Error?"))</f>
        <v>Error?</v>
      </c>
    </row>
    <row r="1536" spans="1:4" x14ac:dyDescent="0.2">
      <c r="A1536" s="5">
        <v>1475</v>
      </c>
      <c r="B1536" s="138">
        <f ca="1">'Expenditures 15-22'!E312</f>
        <v>0</v>
      </c>
      <c r="C1536" s="2" t="s">
        <v>573</v>
      </c>
      <c r="D1536" s="2" t="str">
        <f t="shared" ca="1" si="23"/>
        <v>Error?</v>
      </c>
    </row>
    <row r="1537" spans="1:4" x14ac:dyDescent="0.2">
      <c r="A1537" s="5">
        <v>1476</v>
      </c>
      <c r="B1537" s="138">
        <f ca="1">'Expenditures 15-22'!F301</f>
        <v>0</v>
      </c>
      <c r="D1537" s="2" t="str">
        <f t="shared" ca="1"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 ca="1">'Expenditures 15-22'!F302</f>
        <v>0</v>
      </c>
      <c r="D1540" s="2" t="str">
        <f t="shared" ca="1" si="23"/>
        <v>Error?</v>
      </c>
    </row>
    <row r="1541" spans="1:4" x14ac:dyDescent="0.2">
      <c r="A1541" s="5">
        <v>1480</v>
      </c>
      <c r="B1541" s="138">
        <f ca="1">'Expenditures 15-22'!F303</f>
        <v>0</v>
      </c>
      <c r="C1541" s="2" t="s">
        <v>573</v>
      </c>
      <c r="D1541" s="2" t="str">
        <f t="shared" ca="1" si="23"/>
        <v>Error?</v>
      </c>
    </row>
    <row r="1542" spans="1:4" x14ac:dyDescent="0.2">
      <c r="A1542" s="5">
        <v>1481</v>
      </c>
      <c r="B1542" s="138">
        <f ca="1">'Expenditures 15-22'!F312</f>
        <v>0</v>
      </c>
      <c r="C1542" s="2" t="s">
        <v>573</v>
      </c>
      <c r="D1542" s="2" t="str">
        <f t="shared" ca="1" si="23"/>
        <v>Error?</v>
      </c>
    </row>
    <row r="1543" spans="1:4" x14ac:dyDescent="0.2">
      <c r="A1543" s="5">
        <v>1482</v>
      </c>
      <c r="B1543" s="138">
        <f ca="1">'Expenditures 15-22'!G301</f>
        <v>0</v>
      </c>
      <c r="D1543" s="2" t="str">
        <f t="shared" ca="1"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 ca="1">'Expenditures 15-22'!G302</f>
        <v>0</v>
      </c>
      <c r="D1546" s="2" t="str">
        <f t="shared" ca="1" si="23"/>
        <v>Error?</v>
      </c>
    </row>
    <row r="1547" spans="1:4" x14ac:dyDescent="0.2">
      <c r="A1547" s="5">
        <v>1486</v>
      </c>
      <c r="B1547" s="138">
        <f ca="1">'Expenditures 15-22'!G303</f>
        <v>0</v>
      </c>
      <c r="C1547" s="2" t="s">
        <v>573</v>
      </c>
      <c r="D1547" s="2" t="str">
        <f t="shared" ca="1" si="23"/>
        <v>Error?</v>
      </c>
    </row>
    <row r="1548" spans="1:4" x14ac:dyDescent="0.2">
      <c r="A1548" s="5">
        <v>1487</v>
      </c>
      <c r="B1548" s="138">
        <f ca="1">'Expenditures 15-22'!G312</f>
        <v>0</v>
      </c>
      <c r="C1548" s="2" t="s">
        <v>573</v>
      </c>
      <c r="D1548" s="2" t="str">
        <f t="shared" ca="1" si="23"/>
        <v>Error?</v>
      </c>
    </row>
    <row r="1549" spans="1:4" x14ac:dyDescent="0.2">
      <c r="A1549" s="5">
        <v>1488</v>
      </c>
      <c r="B1549" s="138">
        <f ca="1">'Expenditures 15-22'!H301</f>
        <v>0</v>
      </c>
      <c r="D1549" s="2" t="str">
        <f t="shared" ca="1"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 ca="1">'Expenditures 15-22'!H302</f>
        <v>0</v>
      </c>
      <c r="D1552" s="2" t="str">
        <f t="shared" ca="1" si="23"/>
        <v>Error?</v>
      </c>
    </row>
    <row r="1553" spans="1:4" x14ac:dyDescent="0.2">
      <c r="A1553" s="5">
        <v>1492</v>
      </c>
      <c r="B1553" s="138">
        <f ca="1">'Expenditures 15-22'!H303</f>
        <v>0</v>
      </c>
      <c r="C1553" s="2" t="s">
        <v>573</v>
      </c>
      <c r="D1553" s="2" t="str">
        <f t="shared" ca="1" si="23"/>
        <v>Error?</v>
      </c>
    </row>
    <row r="1554" spans="1:4" x14ac:dyDescent="0.2">
      <c r="A1554" s="5">
        <v>1493</v>
      </c>
      <c r="B1554" s="138">
        <f ca="1">'Expenditures 15-22'!H312</f>
        <v>0</v>
      </c>
      <c r="C1554" s="2" t="s">
        <v>573</v>
      </c>
      <c r="D1554" s="2" t="str">
        <f t="shared" ca="1" si="23"/>
        <v>Error?</v>
      </c>
    </row>
    <row r="1555" spans="1:4" x14ac:dyDescent="0.2">
      <c r="A1555" s="5">
        <v>1494</v>
      </c>
      <c r="B1555" s="138">
        <f ca="1">'Expenditures 15-22'!K301</f>
        <v>0</v>
      </c>
      <c r="C1555" s="2" t="s">
        <v>573</v>
      </c>
      <c r="D1555" s="2" t="str">
        <f t="shared" ca="1"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 ca="1">'Expenditures 15-22'!K302</f>
        <v>0</v>
      </c>
      <c r="C1558" s="2" t="s">
        <v>573</v>
      </c>
      <c r="D1558" s="2" t="str">
        <f t="shared" ca="1" si="23"/>
        <v>Error?</v>
      </c>
    </row>
    <row r="1559" spans="1:4" x14ac:dyDescent="0.2">
      <c r="A1559" s="5">
        <v>1498</v>
      </c>
      <c r="B1559" s="138">
        <f ca="1">'Expenditures 15-22'!K303</f>
        <v>0</v>
      </c>
      <c r="C1559" s="2" t="s">
        <v>573</v>
      </c>
      <c r="D1559" s="2" t="str">
        <f t="shared" ca="1" si="23"/>
        <v>Error?</v>
      </c>
    </row>
    <row r="1560" spans="1:4" x14ac:dyDescent="0.2">
      <c r="A1560" s="5">
        <v>1499</v>
      </c>
      <c r="B1560" s="138">
        <f ca="1">'Expenditures 15-22'!K312</f>
        <v>0</v>
      </c>
      <c r="C1560" s="2" t="s">
        <v>573</v>
      </c>
      <c r="D1560" s="2" t="str">
        <f t="shared" ca="1" si="23"/>
        <v>Error?</v>
      </c>
    </row>
    <row r="1561" spans="1:4" x14ac:dyDescent="0.2">
      <c r="A1561" s="5">
        <v>1500</v>
      </c>
      <c r="B1561" s="138">
        <f ca="1">'Expenditures 15-22'!K313</f>
        <v>0</v>
      </c>
      <c r="C1561" s="2" t="s">
        <v>573</v>
      </c>
      <c r="D1561" s="2" t="str">
        <f t="shared" ca="1"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2568712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 ca="1">'Acct Summary 7-8'!C81</f>
        <v>2628380</v>
      </c>
      <c r="C1630" s="2" t="s">
        <v>573</v>
      </c>
      <c r="D1630" s="2" t="str">
        <f t="shared" ca="1" si="24"/>
        <v>Error?</v>
      </c>
    </row>
    <row r="1631" spans="1:4" x14ac:dyDescent="0.2">
      <c r="A1631" s="5">
        <v>1570</v>
      </c>
      <c r="B1631" s="138">
        <f>'Acct Summary 7-8'!D79</f>
        <v>517535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 ca="1">'Acct Summary 7-8'!D81</f>
        <v>193570</v>
      </c>
      <c r="C1644" s="2" t="s">
        <v>573</v>
      </c>
      <c r="D1644" s="2" t="str">
        <f t="shared" ca="1" si="24"/>
        <v>Error?</v>
      </c>
    </row>
    <row r="1645" spans="1:4" x14ac:dyDescent="0.2">
      <c r="A1645" s="5">
        <v>1584</v>
      </c>
      <c r="B1645" s="138">
        <f>'Acct Summary 7-8'!E79</f>
        <v>-40912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 ca="1">'Acct Summary 7-8'!E81</f>
        <v>-44746</v>
      </c>
      <c r="C1658" s="2" t="s">
        <v>573</v>
      </c>
      <c r="D1658" s="2" t="str">
        <f t="shared" ca="1" si="24"/>
        <v>Error?</v>
      </c>
    </row>
    <row r="1659" spans="1:4" x14ac:dyDescent="0.2">
      <c r="A1659" s="5">
        <v>1598</v>
      </c>
      <c r="B1659" s="138">
        <f>'Acct Summary 7-8'!F79</f>
        <v>562628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 ca="1">'Acct Summary 7-8'!F81</f>
        <v>650738</v>
      </c>
      <c r="C1672" s="2" t="s">
        <v>573</v>
      </c>
      <c r="D1672" s="2" t="str">
        <f t="shared" ca="1" si="25"/>
        <v>Error?</v>
      </c>
    </row>
    <row r="1673" spans="1:4" x14ac:dyDescent="0.2">
      <c r="A1673" s="5">
        <v>1612</v>
      </c>
      <c r="B1673" s="138">
        <f>'Acct Summary 7-8'!G79</f>
        <v>107184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 ca="1">'Acct Summary 7-8'!G81</f>
        <v>158882</v>
      </c>
      <c r="C1686" s="2" t="s">
        <v>573</v>
      </c>
      <c r="D1686" s="2" t="str">
        <f t="shared" ca="1"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 ca="1">'Acct Summary 7-8'!H81</f>
        <v>0</v>
      </c>
      <c r="C1700" s="2" t="s">
        <v>573</v>
      </c>
      <c r="D1700" s="2" t="str">
        <f t="shared" ca="1"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 ca="1">'Tax Sched 23'!B4</f>
        <v>6328280</v>
      </c>
      <c r="C1744" s="2" t="s">
        <v>573</v>
      </c>
      <c r="D1744" s="2" t="str">
        <f t="shared" ca="1" si="26"/>
        <v>Error?</v>
      </c>
    </row>
    <row r="1745" spans="1:5" x14ac:dyDescent="0.2">
      <c r="A1745" s="5">
        <v>1684</v>
      </c>
      <c r="B1745" s="138">
        <f ca="1">'Tax Sched 23'!B5</f>
        <v>706863</v>
      </c>
      <c r="C1745" s="2" t="s">
        <v>573</v>
      </c>
      <c r="D1745" s="2" t="str">
        <f t="shared" ca="1" si="26"/>
        <v>Error?</v>
      </c>
    </row>
    <row r="1746" spans="1:5" x14ac:dyDescent="0.2">
      <c r="A1746" s="5">
        <v>1685</v>
      </c>
      <c r="B1746" s="138">
        <f ca="1">'Tax Sched 23'!B6</f>
        <v>2988919</v>
      </c>
      <c r="C1746" s="2" t="s">
        <v>573</v>
      </c>
      <c r="D1746" s="2" t="str">
        <f t="shared" ca="1" si="26"/>
        <v>Error?</v>
      </c>
    </row>
    <row r="1747" spans="1:5" x14ac:dyDescent="0.2">
      <c r="A1747" s="5">
        <v>1686</v>
      </c>
      <c r="B1747" s="138">
        <f ca="1">'Tax Sched 23'!B7</f>
        <v>338481</v>
      </c>
      <c r="C1747" s="2" t="s">
        <v>573</v>
      </c>
      <c r="D1747" s="2" t="str">
        <f t="shared" ca="1" si="26"/>
        <v>Error?</v>
      </c>
    </row>
    <row r="1748" spans="1:5" x14ac:dyDescent="0.2">
      <c r="A1748" s="5">
        <v>1687</v>
      </c>
      <c r="B1748" s="138">
        <f ca="1">'Tax Sched 23'!B8</f>
        <v>343265</v>
      </c>
      <c r="C1748" s="2" t="s">
        <v>573</v>
      </c>
      <c r="D1748" s="2" t="str">
        <f t="shared" ca="1" si="26"/>
        <v>Error?</v>
      </c>
    </row>
    <row r="1749" spans="1:5" x14ac:dyDescent="0.2">
      <c r="A1749" s="5">
        <v>1688</v>
      </c>
      <c r="B1749" s="138">
        <f ca="1">'Tax Sched 23'!B10</f>
        <v>141133</v>
      </c>
      <c r="C1749" s="2" t="s">
        <v>573</v>
      </c>
      <c r="D1749" s="2" t="str">
        <f t="shared" ca="1" si="26"/>
        <v>Error?</v>
      </c>
    </row>
    <row r="1750" spans="1:5" x14ac:dyDescent="0.2">
      <c r="A1750" s="10">
        <v>1689</v>
      </c>
      <c r="D1750" s="2" t="str">
        <f t="shared" si="26"/>
        <v>OK</v>
      </c>
      <c r="E1750" s="2" t="s">
        <v>187</v>
      </c>
    </row>
    <row r="1751" spans="1:5" x14ac:dyDescent="0.2">
      <c r="A1751" s="5">
        <v>1690</v>
      </c>
      <c r="B1751" s="138">
        <f ca="1">'Tax Sched 23'!B9</f>
        <v>0</v>
      </c>
      <c r="C1751" s="2" t="s">
        <v>573</v>
      </c>
      <c r="D1751" s="2" t="str">
        <f t="shared" ca="1" si="26"/>
        <v>Error?</v>
      </c>
    </row>
    <row r="1752" spans="1:5" x14ac:dyDescent="0.2">
      <c r="A1752" s="5">
        <v>1691</v>
      </c>
      <c r="B1752" s="138">
        <f ca="1">'Tax Sched 23'!B11</f>
        <v>497555</v>
      </c>
      <c r="C1752" s="2" t="s">
        <v>573</v>
      </c>
      <c r="D1752" s="2" t="str">
        <f t="shared" ca="1" si="26"/>
        <v>Error?</v>
      </c>
    </row>
    <row r="1753" spans="1:5" x14ac:dyDescent="0.2">
      <c r="A1753" s="5">
        <v>1692</v>
      </c>
      <c r="B1753" s="138">
        <f ca="1">'Tax Sched 23'!B12</f>
        <v>0</v>
      </c>
      <c r="C1753" s="2" t="s">
        <v>573</v>
      </c>
      <c r="D1753" s="2" t="str">
        <f t="shared" ca="1" si="26"/>
        <v>Error?</v>
      </c>
    </row>
    <row r="1754" spans="1:5" x14ac:dyDescent="0.2">
      <c r="A1754" s="5">
        <v>1693</v>
      </c>
      <c r="B1754" s="138">
        <f ca="1">'Tax Sched 23'!B14</f>
        <v>56214</v>
      </c>
      <c r="C1754" s="2" t="s">
        <v>573</v>
      </c>
      <c r="D1754" s="2" t="str">
        <f t="shared" ca="1" si="26"/>
        <v>Error?</v>
      </c>
    </row>
    <row r="1755" spans="1:5" x14ac:dyDescent="0.2">
      <c r="A1755" s="10">
        <v>1694</v>
      </c>
      <c r="D1755" s="2" t="str">
        <f t="shared" si="26"/>
        <v>OK</v>
      </c>
    </row>
    <row r="1756" spans="1:5" x14ac:dyDescent="0.2">
      <c r="A1756" s="5">
        <v>1695</v>
      </c>
      <c r="B1756" s="138">
        <f ca="1">'Tax Sched 23'!B15</f>
        <v>0</v>
      </c>
      <c r="C1756" s="2" t="s">
        <v>573</v>
      </c>
      <c r="D1756" s="2" t="str">
        <f t="shared" ca="1"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 ca="1">'Tax Sched 23'!B19</f>
        <v>11960459</v>
      </c>
      <c r="C1759" s="2" t="s">
        <v>573</v>
      </c>
      <c r="D1759" s="2" t="str">
        <f t="shared" ca="1" si="26"/>
        <v>Error?</v>
      </c>
    </row>
    <row r="1760" spans="1:5" x14ac:dyDescent="0.2">
      <c r="A1760" s="5">
        <v>1699</v>
      </c>
      <c r="B1760" s="138">
        <f ca="1">'Tax Sched 23'!D4</f>
        <v>6328280</v>
      </c>
      <c r="C1760" s="2" t="s">
        <v>573</v>
      </c>
      <c r="D1760" s="2" t="str">
        <f t="shared" ca="1" si="26"/>
        <v>Error?</v>
      </c>
    </row>
    <row r="1761" spans="1:5" x14ac:dyDescent="0.2">
      <c r="A1761" s="5">
        <v>1700</v>
      </c>
      <c r="B1761" s="138">
        <f ca="1">'Tax Sched 23'!D5</f>
        <v>706863</v>
      </c>
      <c r="C1761" s="2" t="s">
        <v>573</v>
      </c>
      <c r="D1761" s="2" t="str">
        <f t="shared" ca="1" si="26"/>
        <v>Error?</v>
      </c>
    </row>
    <row r="1762" spans="1:5" s="8" customFormat="1" x14ac:dyDescent="0.2">
      <c r="A1762" s="5">
        <v>1701</v>
      </c>
      <c r="B1762" s="138">
        <f ca="1">'Tax Sched 23'!D6</f>
        <v>2988919</v>
      </c>
      <c r="C1762" s="2" t="s">
        <v>573</v>
      </c>
      <c r="D1762" s="2" t="str">
        <f t="shared" ca="1" si="26"/>
        <v>Error?</v>
      </c>
      <c r="E1762" s="9"/>
    </row>
    <row r="1763" spans="1:5" x14ac:dyDescent="0.2">
      <c r="A1763" s="5">
        <v>1702</v>
      </c>
      <c r="B1763" s="138">
        <f ca="1">'Tax Sched 23'!D7</f>
        <v>338481</v>
      </c>
      <c r="C1763" s="2" t="s">
        <v>573</v>
      </c>
      <c r="D1763" s="2" t="str">
        <f t="shared" ca="1" si="26"/>
        <v>Error?</v>
      </c>
    </row>
    <row r="1764" spans="1:5" x14ac:dyDescent="0.2">
      <c r="A1764" s="5">
        <v>1703</v>
      </c>
      <c r="B1764" s="138">
        <f ca="1">'Tax Sched 23'!D8</f>
        <v>343265</v>
      </c>
      <c r="C1764" s="2" t="s">
        <v>573</v>
      </c>
      <c r="D1764" s="2" t="str">
        <f t="shared" ca="1" si="26"/>
        <v>Error?</v>
      </c>
    </row>
    <row r="1765" spans="1:5" x14ac:dyDescent="0.2">
      <c r="A1765" s="5">
        <v>1704</v>
      </c>
      <c r="B1765" s="138">
        <f ca="1">'Tax Sched 23'!D10</f>
        <v>141133</v>
      </c>
      <c r="C1765" s="2" t="s">
        <v>573</v>
      </c>
      <c r="D1765" s="2" t="str">
        <f t="shared" ca="1" si="26"/>
        <v>Error?</v>
      </c>
    </row>
    <row r="1766" spans="1:5" x14ac:dyDescent="0.2">
      <c r="A1766" s="10">
        <v>1705</v>
      </c>
      <c r="C1766" s="2" t="s">
        <v>573</v>
      </c>
      <c r="D1766" s="2" t="str">
        <f t="shared" si="26"/>
        <v>OK</v>
      </c>
    </row>
    <row r="1767" spans="1:5" x14ac:dyDescent="0.2">
      <c r="A1767" s="5">
        <v>1706</v>
      </c>
      <c r="B1767" s="138">
        <f ca="1">'Tax Sched 23'!D9</f>
        <v>0</v>
      </c>
      <c r="C1767" s="2" t="s">
        <v>573</v>
      </c>
      <c r="D1767" s="2" t="str">
        <f t="shared" ca="1" si="26"/>
        <v>Error?</v>
      </c>
    </row>
    <row r="1768" spans="1:5" x14ac:dyDescent="0.2">
      <c r="A1768" s="5">
        <v>1707</v>
      </c>
      <c r="B1768" s="138">
        <f ca="1">'Tax Sched 23'!D11</f>
        <v>497555</v>
      </c>
      <c r="C1768" s="2" t="s">
        <v>573</v>
      </c>
      <c r="D1768" s="2" t="str">
        <f t="shared" ca="1" si="26"/>
        <v>Error?</v>
      </c>
    </row>
    <row r="1769" spans="1:5" x14ac:dyDescent="0.2">
      <c r="A1769" s="5">
        <v>1708</v>
      </c>
      <c r="B1769" s="138">
        <f ca="1">'Tax Sched 23'!D12</f>
        <v>0</v>
      </c>
      <c r="C1769" s="2" t="s">
        <v>573</v>
      </c>
      <c r="D1769" s="2" t="str">
        <f t="shared" ca="1" si="26"/>
        <v>Error?</v>
      </c>
    </row>
    <row r="1770" spans="1:5" x14ac:dyDescent="0.2">
      <c r="A1770" s="5">
        <v>1709</v>
      </c>
      <c r="B1770" s="138">
        <f ca="1">'Tax Sched 23'!D14</f>
        <v>56214</v>
      </c>
      <c r="C1770" s="2" t="s">
        <v>573</v>
      </c>
      <c r="D1770" s="2" t="str">
        <f t="shared" ca="1" si="26"/>
        <v>Error?</v>
      </c>
    </row>
    <row r="1771" spans="1:5" x14ac:dyDescent="0.2">
      <c r="A1771" s="10">
        <v>1710</v>
      </c>
      <c r="D1771" s="2" t="str">
        <f t="shared" si="26"/>
        <v>OK</v>
      </c>
    </row>
    <row r="1772" spans="1:5" x14ac:dyDescent="0.2">
      <c r="A1772" s="5">
        <v>1711</v>
      </c>
      <c r="B1772" s="138">
        <f ca="1">'Tax Sched 23'!D15</f>
        <v>0</v>
      </c>
      <c r="C1772" s="2" t="s">
        <v>573</v>
      </c>
      <c r="D1772" s="2" t="str">
        <f t="shared" ca="1"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 ca="1">'Tax Sched 23'!D19</f>
        <v>11960459</v>
      </c>
      <c r="C1775" s="2" t="s">
        <v>573</v>
      </c>
      <c r="D1775" s="2" t="str">
        <f t="shared" ca="1"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6573077</v>
      </c>
      <c r="C1792" s="2" t="s">
        <v>573</v>
      </c>
      <c r="D1792" s="2" t="str">
        <f t="shared" si="27"/>
        <v>Error?</v>
      </c>
    </row>
    <row r="1793" spans="1:4" x14ac:dyDescent="0.2">
      <c r="A1793" s="5">
        <v>1732</v>
      </c>
      <c r="B1793" s="138">
        <f>'Tax Sched 23'!F5</f>
        <v>733602</v>
      </c>
      <c r="C1793" s="2" t="s">
        <v>573</v>
      </c>
      <c r="D1793" s="2" t="str">
        <f t="shared" si="27"/>
        <v>Error?</v>
      </c>
    </row>
    <row r="1794" spans="1:4" x14ac:dyDescent="0.2">
      <c r="A1794" s="5">
        <v>1733</v>
      </c>
      <c r="B1794" s="138">
        <f>'Tax Sched 23'!F6</f>
        <v>3040107</v>
      </c>
      <c r="C1794" s="2" t="s">
        <v>573</v>
      </c>
      <c r="D1794" s="2" t="str">
        <f t="shared" si="27"/>
        <v>Error?</v>
      </c>
    </row>
    <row r="1795" spans="1:4" x14ac:dyDescent="0.2">
      <c r="A1795" s="5">
        <v>1734</v>
      </c>
      <c r="B1795" s="138">
        <f>'Tax Sched 23'!F7</f>
        <v>352129</v>
      </c>
      <c r="C1795" s="2" t="s">
        <v>573</v>
      </c>
      <c r="D1795" s="2" t="str">
        <f t="shared" si="27"/>
        <v>Error?</v>
      </c>
    </row>
    <row r="1796" spans="1:4" x14ac:dyDescent="0.2">
      <c r="A1796" s="5">
        <v>1735</v>
      </c>
      <c r="B1796" s="138">
        <f>'Tax Sched 23'!F8</f>
        <v>345028</v>
      </c>
      <c r="C1796" s="2" t="s">
        <v>573</v>
      </c>
      <c r="D1796" s="2" t="str">
        <f t="shared" si="27"/>
        <v>Error?</v>
      </c>
    </row>
    <row r="1797" spans="1:4" x14ac:dyDescent="0.2">
      <c r="A1797" s="5">
        <v>1736</v>
      </c>
      <c r="B1797" s="138">
        <f>'Tax Sched 23'!F10</f>
        <v>146720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500023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58688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12316097</v>
      </c>
      <c r="C1807" s="2" t="s">
        <v>573</v>
      </c>
      <c r="D1807" s="2" t="str">
        <f t="shared" si="27"/>
        <v>Error?</v>
      </c>
    </row>
    <row r="1808" spans="1:4" x14ac:dyDescent="0.2">
      <c r="A1808" s="5">
        <v>1747</v>
      </c>
      <c r="B1808" s="138">
        <f>'Tax Sched 23'!E4</f>
        <v>6573077</v>
      </c>
      <c r="D1808" s="2" t="str">
        <f t="shared" si="27"/>
        <v>Error?</v>
      </c>
    </row>
    <row r="1809" spans="1:4" x14ac:dyDescent="0.2">
      <c r="A1809" s="5">
        <v>1748</v>
      </c>
      <c r="B1809" s="138">
        <f>'Tax Sched 23'!E5</f>
        <v>733602</v>
      </c>
      <c r="D1809" s="2" t="str">
        <f t="shared" si="27"/>
        <v>Error?</v>
      </c>
    </row>
    <row r="1810" spans="1:4" x14ac:dyDescent="0.2">
      <c r="A1810" s="5">
        <v>1749</v>
      </c>
      <c r="B1810" s="138">
        <f>'Tax Sched 23'!E6</f>
        <v>3040107</v>
      </c>
      <c r="D1810" s="2" t="str">
        <f t="shared" si="27"/>
        <v>Error?</v>
      </c>
    </row>
    <row r="1811" spans="1:4" x14ac:dyDescent="0.2">
      <c r="A1811" s="5">
        <v>1750</v>
      </c>
      <c r="B1811" s="138">
        <f>'Tax Sched 23'!E7</f>
        <v>352129</v>
      </c>
      <c r="D1811" s="2" t="str">
        <f t="shared" si="27"/>
        <v>Error?</v>
      </c>
    </row>
    <row r="1812" spans="1:4" x14ac:dyDescent="0.2">
      <c r="A1812" s="5">
        <v>1751</v>
      </c>
      <c r="B1812" s="138">
        <f>'Tax Sched 23'!E8</f>
        <v>345028</v>
      </c>
      <c r="D1812" s="2" t="str">
        <f t="shared" si="27"/>
        <v>Error?</v>
      </c>
    </row>
    <row r="1813" spans="1:4" x14ac:dyDescent="0.2">
      <c r="A1813" s="5">
        <v>1752</v>
      </c>
      <c r="B1813" s="138">
        <f>'Tax Sched 23'!E10</f>
        <v>146720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58688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12316097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12484677</v>
      </c>
      <c r="C1939" s="2" t="s">
        <v>573</v>
      </c>
      <c r="D1939" s="2" t="str">
        <f t="shared" si="29"/>
        <v>Error?</v>
      </c>
    </row>
    <row r="1940" spans="1:5" x14ac:dyDescent="0.2">
      <c r="A1940" s="5">
        <v>1879</v>
      </c>
      <c r="B1940" s="138">
        <f>'Short-Term Long-Term Debt 24'!F49</f>
        <v>4340000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56214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56214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56214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1150441</v>
      </c>
      <c r="D2008" s="2" t="str">
        <f t="shared" si="30"/>
        <v>Error?</v>
      </c>
    </row>
    <row r="2009" spans="1:4" x14ac:dyDescent="0.2">
      <c r="A2009" s="5">
        <v>1948</v>
      </c>
      <c r="B2009" s="138">
        <f>'Cap Outlay Deprec 26'!C8</f>
        <v>42500911</v>
      </c>
      <c r="D2009" s="2" t="str">
        <f t="shared" si="30"/>
        <v>Error?</v>
      </c>
    </row>
    <row r="2010" spans="1:4" x14ac:dyDescent="0.2">
      <c r="A2010" s="5">
        <v>1949</v>
      </c>
      <c r="B2010" s="138">
        <f>'Cap Outlay Deprec 26'!C10</f>
        <v>611530</v>
      </c>
      <c r="D2010" s="2" t="str">
        <f t="shared" si="30"/>
        <v>Error?</v>
      </c>
    </row>
    <row r="2011" spans="1:4" x14ac:dyDescent="0.2">
      <c r="A2011" s="5">
        <v>1950</v>
      </c>
      <c r="B2011" s="138">
        <f>'Cap Outlay Deprec 26'!C12</f>
        <v>3081565</v>
      </c>
      <c r="D2011" s="2" t="str">
        <f t="shared" si="30"/>
        <v>Error?</v>
      </c>
    </row>
    <row r="2012" spans="1:4" x14ac:dyDescent="0.2">
      <c r="A2012" s="5">
        <v>1951</v>
      </c>
      <c r="B2012" s="138">
        <f>'Cap Outlay Deprec 26'!C13</f>
        <v>2843737</v>
      </c>
      <c r="D2012" s="2" t="str">
        <f t="shared" si="30"/>
        <v>Error?</v>
      </c>
    </row>
    <row r="2013" spans="1:4" x14ac:dyDescent="0.2">
      <c r="A2013" s="5">
        <v>1952</v>
      </c>
      <c r="B2013" s="138">
        <f>'Cap Outlay Deprec 26'!C16</f>
        <v>50188184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710159</v>
      </c>
      <c r="D2015" s="2" t="str">
        <f t="shared" si="30"/>
        <v>Error?</v>
      </c>
    </row>
    <row r="2016" spans="1:4" x14ac:dyDescent="0.2">
      <c r="A2016" s="5">
        <v>1955</v>
      </c>
      <c r="B2016" s="138">
        <f>'Cap Outlay Deprec 26'!D10</f>
        <v>7575</v>
      </c>
      <c r="D2016" s="2" t="str">
        <f t="shared" si="30"/>
        <v>Error?</v>
      </c>
    </row>
    <row r="2017" spans="1:4" x14ac:dyDescent="0.2">
      <c r="A2017" s="5">
        <v>1956</v>
      </c>
      <c r="B2017" s="138">
        <f>'Cap Outlay Deprec 26'!D12</f>
        <v>485641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1203375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125228</v>
      </c>
      <c r="D2023" s="2" t="str">
        <f t="shared" si="30"/>
        <v>Error?</v>
      </c>
    </row>
    <row r="2024" spans="1:4" x14ac:dyDescent="0.2">
      <c r="A2024" s="5">
        <v>1963</v>
      </c>
      <c r="B2024" s="138">
        <f>'Cap Outlay Deprec 26'!E13</f>
        <v>151012</v>
      </c>
      <c r="D2024" s="2" t="str">
        <f t="shared" si="30"/>
        <v>Error?</v>
      </c>
    </row>
    <row r="2025" spans="1:4" x14ac:dyDescent="0.2">
      <c r="A2025" s="5">
        <v>1964</v>
      </c>
      <c r="B2025" s="138">
        <f>'Cap Outlay Deprec 26'!E16</f>
        <v>276240</v>
      </c>
      <c r="C2025" s="2" t="s">
        <v>573</v>
      </c>
      <c r="D2025" s="2" t="str">
        <f t="shared" si="30"/>
        <v>Error?</v>
      </c>
    </row>
    <row r="2026" spans="1:4" x14ac:dyDescent="0.2">
      <c r="A2026" s="5">
        <v>1965</v>
      </c>
      <c r="B2026" s="138">
        <f>'Cap Outlay Deprec 26'!F5</f>
        <v>1150441</v>
      </c>
      <c r="C2026" s="2" t="s">
        <v>573</v>
      </c>
      <c r="D2026" s="2" t="str">
        <f t="shared" si="30"/>
        <v>Error?</v>
      </c>
    </row>
    <row r="2027" spans="1:4" x14ac:dyDescent="0.2">
      <c r="A2027" s="5">
        <v>1966</v>
      </c>
      <c r="B2027" s="138">
        <f>'Cap Outlay Deprec 26'!F8</f>
        <v>43211070</v>
      </c>
      <c r="C2027" s="2" t="s">
        <v>573</v>
      </c>
      <c r="D2027" s="2" t="str">
        <f t="shared" si="30"/>
        <v>Error?</v>
      </c>
    </row>
    <row r="2028" spans="1:4" x14ac:dyDescent="0.2">
      <c r="A2028" s="5">
        <v>1967</v>
      </c>
      <c r="B2028" s="138">
        <f>'Cap Outlay Deprec 26'!F10</f>
        <v>619105</v>
      </c>
      <c r="C2028" s="2" t="s">
        <v>573</v>
      </c>
      <c r="D2028" s="2" t="str">
        <f t="shared" si="30"/>
        <v>Error?</v>
      </c>
    </row>
    <row r="2029" spans="1:4" x14ac:dyDescent="0.2">
      <c r="A2029" s="5">
        <v>1968</v>
      </c>
      <c r="B2029" s="138">
        <f>'Cap Outlay Deprec 26'!F12</f>
        <v>3441978</v>
      </c>
      <c r="C2029" s="2" t="s">
        <v>573</v>
      </c>
      <c r="D2029" s="2" t="str">
        <f t="shared" si="30"/>
        <v>Error?</v>
      </c>
    </row>
    <row r="2030" spans="1:4" x14ac:dyDescent="0.2">
      <c r="A2030" s="5">
        <v>1969</v>
      </c>
      <c r="B2030" s="138">
        <f>'Cap Outlay Deprec 26'!F13</f>
        <v>2692725</v>
      </c>
      <c r="C2030" s="2" t="s">
        <v>573</v>
      </c>
      <c r="D2030" s="2" t="str">
        <f t="shared" si="30"/>
        <v>Error?</v>
      </c>
    </row>
    <row r="2031" spans="1:4" x14ac:dyDescent="0.2">
      <c r="A2031" s="5">
        <v>1970</v>
      </c>
      <c r="B2031" s="138">
        <f>'Cap Outlay Deprec 26'!F16</f>
        <v>51115319</v>
      </c>
      <c r="C2031" s="2" t="s">
        <v>573</v>
      </c>
      <c r="D2031" s="2" t="str">
        <f t="shared" si="30"/>
        <v>Error?</v>
      </c>
    </row>
    <row r="2032" spans="1:4" x14ac:dyDescent="0.2">
      <c r="A2032" s="10">
        <v>1971</v>
      </c>
      <c r="D2032" s="2" t="str">
        <f t="shared" si="30"/>
        <v>OK</v>
      </c>
    </row>
    <row r="2033" spans="1:4" x14ac:dyDescent="0.2">
      <c r="A2033" s="5">
        <v>1972</v>
      </c>
      <c r="B2033" s="138">
        <f>'Cap Outlay Deprec 26'!H8</f>
        <v>11848342</v>
      </c>
      <c r="D2033" s="2" t="str">
        <f t="shared" si="30"/>
        <v>Error?</v>
      </c>
    </row>
    <row r="2034" spans="1:4" x14ac:dyDescent="0.2">
      <c r="A2034" s="5">
        <v>1973</v>
      </c>
      <c r="B2034" s="138">
        <f>'Cap Outlay Deprec 26'!H10</f>
        <v>349856</v>
      </c>
      <c r="D2034" s="2" t="str">
        <f t="shared" si="30"/>
        <v>Error?</v>
      </c>
    </row>
    <row r="2035" spans="1:4" x14ac:dyDescent="0.2">
      <c r="A2035" s="5">
        <v>1974</v>
      </c>
      <c r="B2035" s="138">
        <f>'Cap Outlay Deprec 26'!H12</f>
        <v>1472403</v>
      </c>
      <c r="D2035" s="2" t="str">
        <f t="shared" si="30"/>
        <v>Error?</v>
      </c>
    </row>
    <row r="2036" spans="1:4" x14ac:dyDescent="0.2">
      <c r="A2036" s="5">
        <v>1975</v>
      </c>
      <c r="B2036" s="138">
        <f>'Cap Outlay Deprec 26'!H13</f>
        <v>1910352</v>
      </c>
      <c r="D2036" s="2" t="str">
        <f t="shared" si="30"/>
        <v>Error?</v>
      </c>
    </row>
    <row r="2037" spans="1:4" x14ac:dyDescent="0.2">
      <c r="A2037" s="5">
        <v>1976</v>
      </c>
      <c r="B2037" s="138">
        <f>'Cap Outlay Deprec 26'!H16</f>
        <v>15580953</v>
      </c>
      <c r="C2037" s="2" t="s">
        <v>573</v>
      </c>
      <c r="D2037" s="2" t="str">
        <f t="shared" si="30"/>
        <v>Error?</v>
      </c>
    </row>
    <row r="2038" spans="1:4" x14ac:dyDescent="0.2">
      <c r="A2038" s="10">
        <v>1977</v>
      </c>
      <c r="D2038" s="2" t="str">
        <f t="shared" si="30"/>
        <v>OK</v>
      </c>
    </row>
    <row r="2039" spans="1:4" x14ac:dyDescent="0.2">
      <c r="A2039" s="5">
        <v>1978</v>
      </c>
      <c r="B2039" s="138">
        <f>'Cap Outlay Deprec 26'!I8</f>
        <v>821034</v>
      </c>
      <c r="D2039" s="2" t="str">
        <f t="shared" si="30"/>
        <v>Error?</v>
      </c>
    </row>
    <row r="2040" spans="1:4" x14ac:dyDescent="0.2">
      <c r="A2040" s="5">
        <v>1979</v>
      </c>
      <c r="B2040" s="138">
        <f>'Cap Outlay Deprec 26'!I10</f>
        <v>21318</v>
      </c>
      <c r="D2040" s="2" t="str">
        <f t="shared" si="30"/>
        <v>Error?</v>
      </c>
    </row>
    <row r="2041" spans="1:4" x14ac:dyDescent="0.2">
      <c r="A2041" s="5">
        <v>1980</v>
      </c>
      <c r="B2041" s="138">
        <f>'Cap Outlay Deprec 26'!I12</f>
        <v>344197</v>
      </c>
      <c r="D2041" s="2" t="str">
        <f t="shared" si="30"/>
        <v>Error?</v>
      </c>
    </row>
    <row r="2042" spans="1:4" x14ac:dyDescent="0.2">
      <c r="A2042" s="5">
        <v>1981</v>
      </c>
      <c r="B2042" s="138">
        <f>'Cap Outlay Deprec 26'!I13</f>
        <v>268425</v>
      </c>
      <c r="D2042" s="2" t="str">
        <f t="shared" si="30"/>
        <v>Error?</v>
      </c>
    </row>
    <row r="2043" spans="1:4" x14ac:dyDescent="0.2">
      <c r="A2043" s="5">
        <v>1982</v>
      </c>
      <c r="B2043" s="138">
        <f>'Cap Outlay Deprec 26'!I16</f>
        <v>1454974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125228</v>
      </c>
      <c r="D2047" s="2" t="str">
        <f t="shared" ref="D2047:D2110" si="31">IF(ISBLANK(B2047),"OK",IF(A2047-B2047=0,"OK","Error?"))</f>
        <v>Error?</v>
      </c>
    </row>
    <row r="2048" spans="1:4" x14ac:dyDescent="0.2">
      <c r="A2048" s="5">
        <v>1987</v>
      </c>
      <c r="B2048" s="138">
        <f>'Cap Outlay Deprec 26'!J13</f>
        <v>151012</v>
      </c>
      <c r="D2048" s="2" t="str">
        <f t="shared" si="31"/>
        <v>Error?</v>
      </c>
    </row>
    <row r="2049" spans="1:4" x14ac:dyDescent="0.2">
      <c r="A2049" s="5">
        <v>1988</v>
      </c>
      <c r="B2049" s="138">
        <f>'Cap Outlay Deprec 26'!J16</f>
        <v>276240</v>
      </c>
      <c r="C2049" s="2" t="s">
        <v>573</v>
      </c>
      <c r="D2049" s="2" t="str">
        <f t="shared" si="31"/>
        <v>Error?</v>
      </c>
    </row>
    <row r="2050" spans="1:4" x14ac:dyDescent="0.2">
      <c r="A2050" s="10">
        <v>1989</v>
      </c>
      <c r="D2050" s="2" t="str">
        <f t="shared" si="31"/>
        <v>OK</v>
      </c>
    </row>
    <row r="2051" spans="1:4" x14ac:dyDescent="0.2">
      <c r="A2051" s="5">
        <v>1990</v>
      </c>
      <c r="B2051" s="138">
        <f>'Cap Outlay Deprec 26'!K8</f>
        <v>12669376</v>
      </c>
      <c r="C2051" s="2" t="s">
        <v>573</v>
      </c>
      <c r="D2051" s="2" t="str">
        <f t="shared" si="31"/>
        <v>Error?</v>
      </c>
    </row>
    <row r="2052" spans="1:4" x14ac:dyDescent="0.2">
      <c r="A2052" s="5">
        <v>1991</v>
      </c>
      <c r="B2052" s="138">
        <f>'Cap Outlay Deprec 26'!K10</f>
        <v>371174</v>
      </c>
      <c r="C2052" s="2" t="s">
        <v>573</v>
      </c>
      <c r="D2052" s="2" t="str">
        <f t="shared" si="31"/>
        <v>Error?</v>
      </c>
    </row>
    <row r="2053" spans="1:4" x14ac:dyDescent="0.2">
      <c r="A2053" s="5">
        <v>1992</v>
      </c>
      <c r="B2053" s="138">
        <f>'Cap Outlay Deprec 26'!K12</f>
        <v>1691372</v>
      </c>
      <c r="C2053" s="2" t="s">
        <v>573</v>
      </c>
      <c r="D2053" s="2" t="str">
        <f t="shared" si="31"/>
        <v>Error?</v>
      </c>
    </row>
    <row r="2054" spans="1:4" x14ac:dyDescent="0.2">
      <c r="A2054" s="5">
        <v>1993</v>
      </c>
      <c r="B2054" s="138">
        <f>'Cap Outlay Deprec 26'!K13</f>
        <v>2027765</v>
      </c>
      <c r="C2054" s="2" t="s">
        <v>573</v>
      </c>
      <c r="D2054" s="2" t="str">
        <f t="shared" si="31"/>
        <v>Error?</v>
      </c>
    </row>
    <row r="2055" spans="1:4" x14ac:dyDescent="0.2">
      <c r="A2055" s="5">
        <v>1994</v>
      </c>
      <c r="B2055" s="138">
        <f>'Cap Outlay Deprec 26'!K16</f>
        <v>16759687</v>
      </c>
      <c r="C2055" s="2" t="s">
        <v>573</v>
      </c>
      <c r="D2055" s="2" t="str">
        <f t="shared" si="31"/>
        <v>Error?</v>
      </c>
    </row>
    <row r="2056" spans="1:4" x14ac:dyDescent="0.2">
      <c r="A2056" s="5">
        <v>1995</v>
      </c>
      <c r="B2056" s="138">
        <f>'Cap Outlay Deprec 26'!L5</f>
        <v>1150441</v>
      </c>
      <c r="C2056" s="2" t="s">
        <v>573</v>
      </c>
      <c r="D2056" s="2" t="str">
        <f t="shared" si="31"/>
        <v>Error?</v>
      </c>
    </row>
    <row r="2057" spans="1:4" x14ac:dyDescent="0.2">
      <c r="A2057" s="5">
        <v>1996</v>
      </c>
      <c r="B2057" s="138">
        <f>'Cap Outlay Deprec 26'!L8</f>
        <v>30541694</v>
      </c>
      <c r="C2057" s="2" t="s">
        <v>573</v>
      </c>
      <c r="D2057" s="2" t="str">
        <f t="shared" si="31"/>
        <v>Error?</v>
      </c>
    </row>
    <row r="2058" spans="1:4" x14ac:dyDescent="0.2">
      <c r="A2058" s="5">
        <v>1997</v>
      </c>
      <c r="B2058" s="138">
        <f>'Cap Outlay Deprec 26'!L10</f>
        <v>247931</v>
      </c>
      <c r="C2058" s="2" t="s">
        <v>573</v>
      </c>
      <c r="D2058" s="2" t="str">
        <f t="shared" si="31"/>
        <v>Error?</v>
      </c>
    </row>
    <row r="2059" spans="1:4" x14ac:dyDescent="0.2">
      <c r="A2059" s="5">
        <v>1998</v>
      </c>
      <c r="B2059" s="138">
        <f>'Cap Outlay Deprec 26'!L12</f>
        <v>1750606</v>
      </c>
      <c r="C2059" s="2" t="s">
        <v>573</v>
      </c>
      <c r="D2059" s="2" t="str">
        <f t="shared" si="31"/>
        <v>Error?</v>
      </c>
    </row>
    <row r="2060" spans="1:4" x14ac:dyDescent="0.2">
      <c r="A2060" s="5">
        <v>1999</v>
      </c>
      <c r="B2060" s="138">
        <f>'Cap Outlay Deprec 26'!L13</f>
        <v>664960</v>
      </c>
      <c r="C2060" s="2" t="s">
        <v>573</v>
      </c>
      <c r="D2060" s="2" t="str">
        <f t="shared" si="31"/>
        <v>Error?</v>
      </c>
    </row>
    <row r="2061" spans="1:4" x14ac:dyDescent="0.2">
      <c r="A2061" s="5">
        <v>2000</v>
      </c>
      <c r="B2061" s="138">
        <f>'Cap Outlay Deprec 26'!L16</f>
        <v>34355632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 ca="1">'Expenditures 15-22'!H84</f>
        <v>533034</v>
      </c>
      <c r="C2081" s="2" t="s">
        <v>573</v>
      </c>
      <c r="D2081" s="2" t="str">
        <f t="shared" ca="1"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 ca="1">'Expenditures 15-22'!K84</f>
        <v>544534</v>
      </c>
      <c r="C2088" s="2" t="s">
        <v>573</v>
      </c>
      <c r="D2088" s="2" t="str">
        <f t="shared" ca="1" si="31"/>
        <v>Error?</v>
      </c>
    </row>
    <row r="2089" spans="1:4" x14ac:dyDescent="0.2">
      <c r="A2089" s="5">
        <v>2028</v>
      </c>
      <c r="B2089" s="138">
        <f ca="1">'Expenditures 15-22'!K92</f>
        <v>0</v>
      </c>
      <c r="C2089" s="2" t="s">
        <v>573</v>
      </c>
      <c r="D2089" s="2" t="str">
        <f t="shared" ca="1" si="31"/>
        <v>Error?</v>
      </c>
    </row>
    <row r="2090" spans="1:4" x14ac:dyDescent="0.2">
      <c r="A2090" s="10">
        <v>2029</v>
      </c>
      <c r="D2090" s="2" t="str">
        <f t="shared" si="31"/>
        <v>OK</v>
      </c>
    </row>
    <row r="2091" spans="1:4" x14ac:dyDescent="0.2">
      <c r="A2091" s="5">
        <v>2030</v>
      </c>
      <c r="B2091" s="138">
        <f ca="1">'Expenditures 15-22'!H137</f>
        <v>0</v>
      </c>
      <c r="C2091" s="2" t="s">
        <v>573</v>
      </c>
      <c r="D2091" s="2" t="str">
        <f t="shared" ca="1" si="31"/>
        <v>Error?</v>
      </c>
    </row>
    <row r="2092" spans="1:4" x14ac:dyDescent="0.2">
      <c r="A2092" s="5">
        <v>2031</v>
      </c>
      <c r="B2092" s="138">
        <f ca="1">'Expenditures 15-22'!H138</f>
        <v>0</v>
      </c>
      <c r="D2092" s="2" t="str">
        <f t="shared" ca="1" si="31"/>
        <v>Error?</v>
      </c>
    </row>
    <row r="2093" spans="1:4" x14ac:dyDescent="0.2">
      <c r="A2093" s="5">
        <v>2032</v>
      </c>
      <c r="B2093" s="138">
        <f ca="1">'Expenditures 15-22'!K137</f>
        <v>0</v>
      </c>
      <c r="C2093" s="2" t="s">
        <v>573</v>
      </c>
      <c r="D2093" s="2" t="str">
        <f t="shared" ca="1" si="31"/>
        <v>Error?</v>
      </c>
    </row>
    <row r="2094" spans="1:4" x14ac:dyDescent="0.2">
      <c r="A2094" s="5">
        <v>2033</v>
      </c>
      <c r="B2094" s="138">
        <f ca="1">'Expenditures 15-22'!K138</f>
        <v>0</v>
      </c>
      <c r="C2094" s="2" t="s">
        <v>573</v>
      </c>
      <c r="D2094" s="2" t="str">
        <f t="shared" ca="1"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 ca="1">'Expenditures 15-22'!K310</f>
        <v>0</v>
      </c>
      <c r="C2102" s="2" t="s">
        <v>573</v>
      </c>
      <c r="D2102" s="2" t="str">
        <f t="shared" ca="1"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 ca="1">'Acct Summary 7-8'!I47</f>
        <v>750000</v>
      </c>
      <c r="C2105" s="2" t="s">
        <v>573</v>
      </c>
      <c r="D2105" s="2" t="str">
        <f t="shared" ca="1" si="31"/>
        <v>Error?</v>
      </c>
    </row>
    <row r="2106" spans="1:4" x14ac:dyDescent="0.2">
      <c r="A2106" s="5">
        <v>2045</v>
      </c>
      <c r="B2106" s="138">
        <f ca="1">'Acct Summary 7-8'!I48</f>
        <v>0</v>
      </c>
      <c r="D2106" s="2" t="str">
        <f t="shared" ca="1"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10153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 ca="1">'Acct Summary 7-8'!C4</f>
        <v>8329337</v>
      </c>
      <c r="C2551" s="2" t="s">
        <v>573</v>
      </c>
      <c r="D2551" s="2" t="str">
        <f t="shared" ca="1" si="38"/>
        <v>Error?</v>
      </c>
    </row>
    <row r="2552" spans="1:4" x14ac:dyDescent="0.2">
      <c r="A2552" s="10">
        <v>2491</v>
      </c>
      <c r="D2552" s="2" t="str">
        <f t="shared" si="38"/>
        <v>OK</v>
      </c>
    </row>
    <row r="2553" spans="1:4" x14ac:dyDescent="0.2">
      <c r="A2553" s="5">
        <v>2492</v>
      </c>
      <c r="B2553" s="138">
        <f ca="1">'Acct Summary 7-8'!C6</f>
        <v>7405927</v>
      </c>
      <c r="C2553" s="2" t="s">
        <v>573</v>
      </c>
      <c r="D2553" s="2" t="str">
        <f t="shared" ca="1" si="38"/>
        <v>Error?</v>
      </c>
    </row>
    <row r="2554" spans="1:4" x14ac:dyDescent="0.2">
      <c r="A2554" s="5">
        <v>2493</v>
      </c>
      <c r="B2554" s="138">
        <f ca="1">'Acct Summary 7-8'!C7</f>
        <v>1739781</v>
      </c>
      <c r="C2554" s="2" t="s">
        <v>573</v>
      </c>
      <c r="D2554" s="2" t="str">
        <f t="shared" ca="1" si="38"/>
        <v>Error?</v>
      </c>
    </row>
    <row r="2555" spans="1:4" x14ac:dyDescent="0.2">
      <c r="A2555" s="5">
        <v>2494</v>
      </c>
      <c r="B2555" s="138">
        <f ca="1">'Acct Summary 7-8'!C8</f>
        <v>17475045</v>
      </c>
      <c r="C2555" s="2" t="s">
        <v>573</v>
      </c>
      <c r="D2555" s="2" t="str">
        <f t="shared" ca="1" si="38"/>
        <v>Error?</v>
      </c>
    </row>
    <row r="2556" spans="1:4" x14ac:dyDescent="0.2">
      <c r="A2556" s="5">
        <v>2495</v>
      </c>
      <c r="B2556" s="138">
        <f ca="1">'Acct Summary 7-8'!C12</f>
        <v>11605895</v>
      </c>
      <c r="C2556" s="2" t="s">
        <v>573</v>
      </c>
      <c r="D2556" s="2" t="str">
        <f t="shared" ca="1" si="38"/>
        <v>Error?</v>
      </c>
    </row>
    <row r="2557" spans="1:4" x14ac:dyDescent="0.2">
      <c r="A2557" s="5">
        <v>2496</v>
      </c>
      <c r="B2557" s="138">
        <f ca="1">'Acct Summary 7-8'!C13</f>
        <v>5022003</v>
      </c>
      <c r="C2557" s="2" t="s">
        <v>573</v>
      </c>
      <c r="D2557" s="2" t="str">
        <f t="shared" ca="1" si="38"/>
        <v>Error?</v>
      </c>
    </row>
    <row r="2558" spans="1:4" x14ac:dyDescent="0.2">
      <c r="A2558" s="5">
        <v>2497</v>
      </c>
      <c r="B2558" s="138">
        <f ca="1">'Acct Summary 7-8'!C14</f>
        <v>3271</v>
      </c>
      <c r="C2558" s="2" t="s">
        <v>573</v>
      </c>
      <c r="D2558" s="2" t="str">
        <f t="shared" ca="1" si="38"/>
        <v>Error?</v>
      </c>
    </row>
    <row r="2559" spans="1:4" x14ac:dyDescent="0.2">
      <c r="A2559" s="5">
        <v>2498</v>
      </c>
      <c r="B2559" s="138">
        <f ca="1">'Acct Summary 7-8'!C15</f>
        <v>544534</v>
      </c>
      <c r="C2559" s="2" t="s">
        <v>573</v>
      </c>
      <c r="D2559" s="2" t="str">
        <f t="shared" ref="D2559:D2622" ca="1" si="39">IF(ISBLANK(B2559),"OK",IF(A2559-B2559=0,"OK","Error?"))</f>
        <v>Error?</v>
      </c>
    </row>
    <row r="2560" spans="1:4" x14ac:dyDescent="0.2">
      <c r="A2560" s="5">
        <v>2499</v>
      </c>
      <c r="B2560" s="138">
        <f ca="1">'Acct Summary 7-8'!C16</f>
        <v>0</v>
      </c>
      <c r="C2560" s="2" t="s">
        <v>573</v>
      </c>
      <c r="D2560" s="2" t="str">
        <f t="shared" ca="1" si="39"/>
        <v>Error?</v>
      </c>
    </row>
    <row r="2561" spans="1:4" x14ac:dyDescent="0.2">
      <c r="A2561" s="5">
        <v>2500</v>
      </c>
      <c r="B2561" s="138">
        <f ca="1">'Acct Summary 7-8'!C17</f>
        <v>17175703</v>
      </c>
      <c r="C2561" s="2" t="s">
        <v>573</v>
      </c>
      <c r="D2561" s="2" t="str">
        <f t="shared" ca="1" si="39"/>
        <v>Error?</v>
      </c>
    </row>
    <row r="2562" spans="1:4" x14ac:dyDescent="0.2">
      <c r="A2562" s="5">
        <v>2501</v>
      </c>
      <c r="B2562" s="138">
        <f ca="1">'Acct Summary 7-8'!C20</f>
        <v>299342</v>
      </c>
      <c r="C2562" s="2" t="s">
        <v>573</v>
      </c>
      <c r="D2562" s="2" t="str">
        <f t="shared" ca="1" si="39"/>
        <v>Error?</v>
      </c>
    </row>
    <row r="2563" spans="1:4" x14ac:dyDescent="0.2">
      <c r="A2563" s="5">
        <v>2502</v>
      </c>
      <c r="B2563" s="138">
        <f>'Acct Summary 7-8'!C80</f>
        <v>0</v>
      </c>
      <c r="D2563" s="2" t="str">
        <f t="shared" si="39"/>
        <v>Error?</v>
      </c>
    </row>
    <row r="2564" spans="1:4" x14ac:dyDescent="0.2">
      <c r="A2564" s="5">
        <v>2503</v>
      </c>
      <c r="B2564" s="138">
        <f ca="1">'Acct Summary 7-8'!D4</f>
        <v>1010637</v>
      </c>
      <c r="C2564" s="2" t="s">
        <v>573</v>
      </c>
      <c r="D2564" s="2" t="str">
        <f t="shared" ca="1" si="39"/>
        <v>Error?</v>
      </c>
    </row>
    <row r="2565" spans="1:4" x14ac:dyDescent="0.2">
      <c r="A2565" s="10">
        <v>2504</v>
      </c>
      <c r="D2565" s="2" t="str">
        <f t="shared" si="39"/>
        <v>OK</v>
      </c>
    </row>
    <row r="2566" spans="1:4" x14ac:dyDescent="0.2">
      <c r="A2566" s="5">
        <v>2505</v>
      </c>
      <c r="B2566" s="138">
        <f ca="1">'Acct Summary 7-8'!D6</f>
        <v>0</v>
      </c>
      <c r="C2566" s="2" t="s">
        <v>573</v>
      </c>
      <c r="D2566" s="2" t="str">
        <f t="shared" ca="1" si="39"/>
        <v>Error?</v>
      </c>
    </row>
    <row r="2567" spans="1:4" x14ac:dyDescent="0.2">
      <c r="A2567" s="5">
        <v>2506</v>
      </c>
      <c r="B2567" s="138">
        <f ca="1">'Acct Summary 7-8'!D7</f>
        <v>0</v>
      </c>
      <c r="C2567" s="2" t="s">
        <v>573</v>
      </c>
      <c r="D2567" s="2" t="str">
        <f t="shared" ca="1" si="39"/>
        <v>Error?</v>
      </c>
    </row>
    <row r="2568" spans="1:4" x14ac:dyDescent="0.2">
      <c r="A2568" s="5">
        <v>2507</v>
      </c>
      <c r="B2568" s="138">
        <f ca="1">'Acct Summary 7-8'!D8</f>
        <v>1010637</v>
      </c>
      <c r="C2568" s="2" t="s">
        <v>573</v>
      </c>
      <c r="D2568" s="2" t="str">
        <f t="shared" ca="1" si="39"/>
        <v>Error?</v>
      </c>
    </row>
    <row r="2569" spans="1:4" x14ac:dyDescent="0.2">
      <c r="A2569" s="5">
        <v>2508</v>
      </c>
      <c r="B2569" s="138">
        <f ca="1">'Acct Summary 7-8'!D13</f>
        <v>2084602</v>
      </c>
      <c r="C2569" s="2" t="s">
        <v>573</v>
      </c>
      <c r="D2569" s="2" t="str">
        <f t="shared" ca="1" si="39"/>
        <v>Error?</v>
      </c>
    </row>
    <row r="2570" spans="1:4" x14ac:dyDescent="0.2">
      <c r="A2570" s="5">
        <v>2509</v>
      </c>
      <c r="B2570" s="138">
        <f ca="1">'Acct Summary 7-8'!D14</f>
        <v>0</v>
      </c>
      <c r="C2570" s="2" t="s">
        <v>573</v>
      </c>
      <c r="D2570" s="2" t="str">
        <f t="shared" ca="1" si="39"/>
        <v>Error?</v>
      </c>
    </row>
    <row r="2571" spans="1:4" x14ac:dyDescent="0.2">
      <c r="A2571" s="5">
        <v>2510</v>
      </c>
      <c r="B2571" s="138">
        <f ca="1">'Acct Summary 7-8'!D15</f>
        <v>0</v>
      </c>
      <c r="C2571" s="2" t="s">
        <v>573</v>
      </c>
      <c r="D2571" s="2" t="str">
        <f t="shared" ca="1" si="39"/>
        <v>Error?</v>
      </c>
    </row>
    <row r="2572" spans="1:4" x14ac:dyDescent="0.2">
      <c r="A2572" s="5">
        <v>2511</v>
      </c>
      <c r="B2572" s="138">
        <f ca="1">'Acct Summary 7-8'!D16</f>
        <v>0</v>
      </c>
      <c r="C2572" s="2" t="s">
        <v>573</v>
      </c>
      <c r="D2572" s="2" t="str">
        <f t="shared" ca="1" si="39"/>
        <v>Error?</v>
      </c>
    </row>
    <row r="2573" spans="1:4" x14ac:dyDescent="0.2">
      <c r="A2573" s="5">
        <v>2512</v>
      </c>
      <c r="B2573" s="138">
        <f ca="1">'Acct Summary 7-8'!D17</f>
        <v>2084602</v>
      </c>
      <c r="C2573" s="2" t="s">
        <v>573</v>
      </c>
      <c r="D2573" s="2" t="str">
        <f t="shared" ca="1" si="39"/>
        <v>Error?</v>
      </c>
    </row>
    <row r="2574" spans="1:4" x14ac:dyDescent="0.2">
      <c r="A2574" s="5">
        <v>2513</v>
      </c>
      <c r="B2574" s="138">
        <f ca="1">'Acct Summary 7-8'!D20</f>
        <v>-1073965</v>
      </c>
      <c r="C2574" s="2" t="s">
        <v>573</v>
      </c>
      <c r="D2574" s="2" t="str">
        <f t="shared" ca="1"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 ca="1">'Acct Summary 7-8'!F4</f>
        <v>1226748</v>
      </c>
      <c r="C2591" s="2" t="s">
        <v>573</v>
      </c>
      <c r="D2591" s="2" t="str">
        <f t="shared" ca="1" si="39"/>
        <v>Error?</v>
      </c>
    </row>
    <row r="2592" spans="1:4" x14ac:dyDescent="0.2">
      <c r="A2592" s="10">
        <v>2531</v>
      </c>
      <c r="D2592" s="2" t="str">
        <f t="shared" si="39"/>
        <v>OK</v>
      </c>
    </row>
    <row r="2593" spans="1:4" x14ac:dyDescent="0.2">
      <c r="A2593" s="5">
        <v>2532</v>
      </c>
      <c r="B2593" s="138">
        <f ca="1">'Acct Summary 7-8'!F6</f>
        <v>303130</v>
      </c>
      <c r="C2593" s="2" t="s">
        <v>573</v>
      </c>
      <c r="D2593" s="2" t="str">
        <f t="shared" ca="1" si="39"/>
        <v>Error?</v>
      </c>
    </row>
    <row r="2594" spans="1:4" x14ac:dyDescent="0.2">
      <c r="A2594" s="5">
        <v>2533</v>
      </c>
      <c r="B2594" s="138">
        <f ca="1">'Acct Summary 7-8'!F7</f>
        <v>0</v>
      </c>
      <c r="C2594" s="2" t="s">
        <v>573</v>
      </c>
      <c r="D2594" s="2" t="str">
        <f t="shared" ca="1" si="39"/>
        <v>Error?</v>
      </c>
    </row>
    <row r="2595" spans="1:4" x14ac:dyDescent="0.2">
      <c r="A2595" s="5">
        <v>2534</v>
      </c>
      <c r="B2595" s="138">
        <f ca="1">'Acct Summary 7-8'!F8</f>
        <v>1529878</v>
      </c>
      <c r="C2595" s="2" t="s">
        <v>573</v>
      </c>
      <c r="D2595" s="2" t="str">
        <f t="shared" ca="1" si="39"/>
        <v>Error?</v>
      </c>
    </row>
    <row r="2596" spans="1:4" x14ac:dyDescent="0.2">
      <c r="A2596" s="5">
        <v>2535</v>
      </c>
      <c r="B2596" s="138">
        <f ca="1">'Acct Summary 7-8'!F13</f>
        <v>1291504</v>
      </c>
      <c r="C2596" s="2" t="s">
        <v>573</v>
      </c>
      <c r="D2596" s="2" t="str">
        <f t="shared" ca="1" si="39"/>
        <v>Error?</v>
      </c>
    </row>
    <row r="2597" spans="1:4" x14ac:dyDescent="0.2">
      <c r="A2597" s="5">
        <v>2536</v>
      </c>
      <c r="B2597" s="138">
        <f ca="1">'Acct Summary 7-8'!F14</f>
        <v>0</v>
      </c>
      <c r="C2597" s="2" t="s">
        <v>573</v>
      </c>
      <c r="D2597" s="2" t="str">
        <f t="shared" ca="1" si="39"/>
        <v>Error?</v>
      </c>
    </row>
    <row r="2598" spans="1:4" x14ac:dyDescent="0.2">
      <c r="A2598" s="5">
        <v>2537</v>
      </c>
      <c r="B2598" s="138">
        <f ca="1">'Acct Summary 7-8'!F15</f>
        <v>0</v>
      </c>
      <c r="C2598" s="2" t="s">
        <v>573</v>
      </c>
      <c r="D2598" s="2" t="str">
        <f t="shared" ca="1" si="39"/>
        <v>Error?</v>
      </c>
    </row>
    <row r="2599" spans="1:4" x14ac:dyDescent="0.2">
      <c r="A2599" s="5">
        <v>2538</v>
      </c>
      <c r="B2599" s="138">
        <f ca="1">'Acct Summary 7-8'!F16</f>
        <v>150264</v>
      </c>
      <c r="C2599" s="2" t="s">
        <v>573</v>
      </c>
      <c r="D2599" s="2" t="str">
        <f t="shared" ca="1" si="39"/>
        <v>Error?</v>
      </c>
    </row>
    <row r="2600" spans="1:4" x14ac:dyDescent="0.2">
      <c r="A2600" s="5">
        <v>2539</v>
      </c>
      <c r="B2600" s="138">
        <f ca="1">'Acct Summary 7-8'!F17</f>
        <v>1441768</v>
      </c>
      <c r="C2600" s="2" t="s">
        <v>573</v>
      </c>
      <c r="D2600" s="2" t="str">
        <f t="shared" ca="1" si="39"/>
        <v>Error?</v>
      </c>
    </row>
    <row r="2601" spans="1:4" x14ac:dyDescent="0.2">
      <c r="A2601" s="5">
        <v>2540</v>
      </c>
      <c r="B2601" s="138">
        <f ca="1">'Acct Summary 7-8'!F20</f>
        <v>88110</v>
      </c>
      <c r="C2601" s="2" t="s">
        <v>573</v>
      </c>
      <c r="D2601" s="2" t="str">
        <f t="shared" ca="1" si="39"/>
        <v>Error?</v>
      </c>
    </row>
    <row r="2602" spans="1:4" x14ac:dyDescent="0.2">
      <c r="A2602" s="5">
        <v>2541</v>
      </c>
      <c r="B2602" s="138">
        <f>'Acct Summary 7-8'!F80</f>
        <v>0</v>
      </c>
      <c r="D2602" s="2" t="str">
        <f t="shared" si="39"/>
        <v>Error?</v>
      </c>
    </row>
    <row r="2603" spans="1:4" x14ac:dyDescent="0.2">
      <c r="A2603" s="5">
        <v>2542</v>
      </c>
      <c r="B2603" s="138">
        <f ca="1">'Acct Summary 7-8'!G4</f>
        <v>919956</v>
      </c>
      <c r="C2603" s="2" t="s">
        <v>573</v>
      </c>
      <c r="D2603" s="2" t="str">
        <f t="shared" ca="1" si="39"/>
        <v>Error?</v>
      </c>
    </row>
    <row r="2604" spans="1:4" x14ac:dyDescent="0.2">
      <c r="A2604" s="5">
        <v>2543</v>
      </c>
      <c r="B2604" s="138">
        <f ca="1">'Acct Summary 7-8'!G6</f>
        <v>0</v>
      </c>
      <c r="C2604" s="2" t="s">
        <v>573</v>
      </c>
      <c r="D2604" s="2" t="str">
        <f t="shared" ca="1" si="39"/>
        <v>Error?</v>
      </c>
    </row>
    <row r="2605" spans="1:4" x14ac:dyDescent="0.2">
      <c r="A2605" s="5">
        <v>2544</v>
      </c>
      <c r="B2605" s="138">
        <f ca="1">'Acct Summary 7-8'!G7</f>
        <v>0</v>
      </c>
      <c r="C2605" s="2" t="s">
        <v>573</v>
      </c>
      <c r="D2605" s="2" t="str">
        <f t="shared" ca="1" si="39"/>
        <v>Error?</v>
      </c>
    </row>
    <row r="2606" spans="1:4" x14ac:dyDescent="0.2">
      <c r="A2606" s="5">
        <v>2545</v>
      </c>
      <c r="B2606" s="138">
        <f ca="1">'Acct Summary 7-8'!G8</f>
        <v>919956</v>
      </c>
      <c r="C2606" s="2" t="s">
        <v>573</v>
      </c>
      <c r="D2606" s="2" t="str">
        <f t="shared" ca="1" si="39"/>
        <v>Error?</v>
      </c>
    </row>
    <row r="2607" spans="1:4" x14ac:dyDescent="0.2">
      <c r="A2607" s="5">
        <v>2546</v>
      </c>
      <c r="B2607" s="138">
        <f ca="1">'Acct Summary 7-8'!G12</f>
        <v>299418</v>
      </c>
      <c r="C2607" s="2" t="s">
        <v>573</v>
      </c>
      <c r="D2607" s="2" t="str">
        <f t="shared" ca="1" si="39"/>
        <v>Error?</v>
      </c>
    </row>
    <row r="2608" spans="1:4" x14ac:dyDescent="0.2">
      <c r="A2608" s="5">
        <v>2547</v>
      </c>
      <c r="B2608" s="138">
        <f ca="1">'Acct Summary 7-8'!G13</f>
        <v>568840</v>
      </c>
      <c r="C2608" s="2" t="s">
        <v>573</v>
      </c>
      <c r="D2608" s="2" t="str">
        <f t="shared" ca="1" si="39"/>
        <v>Error?</v>
      </c>
    </row>
    <row r="2609" spans="1:4" x14ac:dyDescent="0.2">
      <c r="A2609" s="5">
        <v>2548</v>
      </c>
      <c r="B2609" s="138">
        <f ca="1">'Acct Summary 7-8'!G14</f>
        <v>0</v>
      </c>
      <c r="C2609" s="2" t="s">
        <v>573</v>
      </c>
      <c r="D2609" s="2" t="str">
        <f t="shared" ca="1" si="39"/>
        <v>Error?</v>
      </c>
    </row>
    <row r="2610" spans="1:4" x14ac:dyDescent="0.2">
      <c r="A2610" s="10">
        <v>2549</v>
      </c>
      <c r="D2610" s="2" t="str">
        <f t="shared" si="39"/>
        <v>OK</v>
      </c>
    </row>
    <row r="2611" spans="1:4" x14ac:dyDescent="0.2">
      <c r="A2611" s="5">
        <v>2550</v>
      </c>
      <c r="B2611" s="138">
        <f ca="1">'Acct Summary 7-8'!G16</f>
        <v>0</v>
      </c>
      <c r="C2611" s="2" t="s">
        <v>573</v>
      </c>
      <c r="D2611" s="2" t="str">
        <f t="shared" ca="1" si="39"/>
        <v>Error?</v>
      </c>
    </row>
    <row r="2612" spans="1:4" x14ac:dyDescent="0.2">
      <c r="A2612" s="5">
        <v>2551</v>
      </c>
      <c r="B2612" s="138">
        <f ca="1">'Acct Summary 7-8'!G17</f>
        <v>868258</v>
      </c>
      <c r="C2612" s="2" t="s">
        <v>573</v>
      </c>
      <c r="D2612" s="2" t="str">
        <f t="shared" ca="1" si="39"/>
        <v>Error?</v>
      </c>
    </row>
    <row r="2613" spans="1:4" x14ac:dyDescent="0.2">
      <c r="A2613" s="5">
        <v>2552</v>
      </c>
      <c r="B2613" s="138">
        <f ca="1">'Acct Summary 7-8'!G20</f>
        <v>51698</v>
      </c>
      <c r="C2613" s="2" t="s">
        <v>573</v>
      </c>
      <c r="D2613" s="2" t="str">
        <f t="shared" ca="1"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 ca="1">'Acct Summary 7-8'!E4</f>
        <v>2999684</v>
      </c>
      <c r="C2630" s="2" t="s">
        <v>573</v>
      </c>
      <c r="D2630" s="2" t="str">
        <f t="shared" ca="1" si="40"/>
        <v>Error?</v>
      </c>
    </row>
    <row r="2631" spans="1:4" x14ac:dyDescent="0.2">
      <c r="A2631" s="5">
        <v>2570</v>
      </c>
      <c r="B2631" s="138">
        <f ca="1">'Acct Summary 7-8'!E6</f>
        <v>0</v>
      </c>
      <c r="C2631" s="2" t="s">
        <v>573</v>
      </c>
      <c r="D2631" s="2" t="str">
        <f t="shared" ca="1" si="40"/>
        <v>Error?</v>
      </c>
    </row>
    <row r="2632" spans="1:4" x14ac:dyDescent="0.2">
      <c r="A2632" s="5">
        <v>2571</v>
      </c>
      <c r="B2632" s="138">
        <f ca="1">'Acct Summary 7-8'!E8</f>
        <v>2999684</v>
      </c>
      <c r="C2632" s="2" t="s">
        <v>573</v>
      </c>
      <c r="D2632" s="2" t="str">
        <f t="shared" ca="1" si="40"/>
        <v>Error?</v>
      </c>
    </row>
    <row r="2633" spans="1:4" x14ac:dyDescent="0.2">
      <c r="A2633" s="5">
        <v>2572</v>
      </c>
      <c r="B2633" s="138">
        <f ca="1">'Acct Summary 7-8'!E15</f>
        <v>0</v>
      </c>
      <c r="C2633" s="2" t="s">
        <v>573</v>
      </c>
      <c r="D2633" s="2" t="str">
        <f t="shared" ca="1" si="40"/>
        <v>Error?</v>
      </c>
    </row>
    <row r="2634" spans="1:4" x14ac:dyDescent="0.2">
      <c r="A2634" s="5">
        <v>2573</v>
      </c>
      <c r="B2634" s="138">
        <f ca="1">'Acct Summary 7-8'!E16</f>
        <v>7571462</v>
      </c>
      <c r="C2634" s="2" t="s">
        <v>573</v>
      </c>
      <c r="D2634" s="2" t="str">
        <f t="shared" ca="1" si="40"/>
        <v>Error?</v>
      </c>
    </row>
    <row r="2635" spans="1:4" x14ac:dyDescent="0.2">
      <c r="A2635" s="5">
        <v>2574</v>
      </c>
      <c r="B2635" s="138">
        <f ca="1">'Acct Summary 7-8'!E17</f>
        <v>7571462</v>
      </c>
      <c r="C2635" s="2" t="s">
        <v>573</v>
      </c>
      <c r="D2635" s="2" t="str">
        <f t="shared" ca="1" si="40"/>
        <v>Error?</v>
      </c>
    </row>
    <row r="2636" spans="1:4" x14ac:dyDescent="0.2">
      <c r="A2636" s="5">
        <v>2575</v>
      </c>
      <c r="B2636" s="138">
        <f ca="1">'Acct Summary 7-8'!E20</f>
        <v>-4571778</v>
      </c>
      <c r="C2636" s="2" t="s">
        <v>573</v>
      </c>
      <c r="D2636" s="2" t="str">
        <f t="shared" ca="1"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 ca="1">'Acct Summary 7-8'!H4</f>
        <v>0</v>
      </c>
      <c r="C2655" s="2" t="s">
        <v>573</v>
      </c>
      <c r="D2655" s="2" t="str">
        <f t="shared" ca="1" si="40"/>
        <v>Error?</v>
      </c>
    </row>
    <row r="2656" spans="1:4" x14ac:dyDescent="0.2">
      <c r="A2656" s="5">
        <v>2595</v>
      </c>
      <c r="B2656" s="138">
        <f ca="1">'Acct Summary 7-8'!H6</f>
        <v>0</v>
      </c>
      <c r="C2656" s="2" t="s">
        <v>573</v>
      </c>
      <c r="D2656" s="2" t="str">
        <f t="shared" ca="1" si="40"/>
        <v>Error?</v>
      </c>
    </row>
    <row r="2657" spans="1:4" x14ac:dyDescent="0.2">
      <c r="A2657" s="5">
        <v>2596</v>
      </c>
      <c r="B2657" s="138">
        <f ca="1">'Acct Summary 7-8'!H7</f>
        <v>0</v>
      </c>
      <c r="C2657" s="2" t="s">
        <v>573</v>
      </c>
      <c r="D2657" s="2" t="str">
        <f t="shared" ca="1" si="40"/>
        <v>Error?</v>
      </c>
    </row>
    <row r="2658" spans="1:4" x14ac:dyDescent="0.2">
      <c r="A2658" s="5">
        <v>2597</v>
      </c>
      <c r="B2658" s="138">
        <f ca="1">'Acct Summary 7-8'!H8</f>
        <v>0</v>
      </c>
      <c r="C2658" s="2" t="s">
        <v>573</v>
      </c>
      <c r="D2658" s="2" t="str">
        <f t="shared" ca="1" si="40"/>
        <v>Error?</v>
      </c>
    </row>
    <row r="2659" spans="1:4" x14ac:dyDescent="0.2">
      <c r="A2659" s="5">
        <v>2598</v>
      </c>
      <c r="B2659" s="138">
        <f ca="1">'Acct Summary 7-8'!H13</f>
        <v>0</v>
      </c>
      <c r="C2659" s="2" t="s">
        <v>573</v>
      </c>
      <c r="D2659" s="2" t="str">
        <f t="shared" ca="1" si="40"/>
        <v>Error?</v>
      </c>
    </row>
    <row r="2660" spans="1:4" x14ac:dyDescent="0.2">
      <c r="A2660" s="5">
        <v>2599</v>
      </c>
      <c r="B2660" s="138">
        <f ca="1">'Acct Summary 7-8'!H15</f>
        <v>0</v>
      </c>
      <c r="C2660" s="2" t="s">
        <v>573</v>
      </c>
      <c r="D2660" s="2" t="str">
        <f t="shared" ca="1" si="40"/>
        <v>Error?</v>
      </c>
    </row>
    <row r="2661" spans="1:4" x14ac:dyDescent="0.2">
      <c r="A2661" s="5">
        <v>2600</v>
      </c>
      <c r="B2661" s="138">
        <f ca="1">'Acct Summary 7-8'!H17</f>
        <v>0</v>
      </c>
      <c r="C2661" s="2" t="s">
        <v>573</v>
      </c>
      <c r="D2661" s="2" t="str">
        <f t="shared" ca="1" si="40"/>
        <v>Error?</v>
      </c>
    </row>
    <row r="2662" spans="1:4" x14ac:dyDescent="0.2">
      <c r="A2662" s="5">
        <v>2601</v>
      </c>
      <c r="B2662" s="138">
        <f ca="1">'Acct Summary 7-8'!H20</f>
        <v>0</v>
      </c>
      <c r="C2662" s="2" t="s">
        <v>573</v>
      </c>
      <c r="D2662" s="2" t="str">
        <f t="shared" ca="1"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 ca="1">'Expenditures 15-22'!C51</f>
        <v>0</v>
      </c>
      <c r="D2718" s="2" t="str">
        <f t="shared" ca="1" si="41"/>
        <v>Error?</v>
      </c>
    </row>
    <row r="2719" spans="1:4" x14ac:dyDescent="0.2">
      <c r="A2719" s="5">
        <v>2658</v>
      </c>
      <c r="B2719" s="138">
        <f ca="1">'Expenditures 15-22'!D51</f>
        <v>0</v>
      </c>
      <c r="D2719" s="2" t="str">
        <f t="shared" ca="1" si="41"/>
        <v>Error?</v>
      </c>
    </row>
    <row r="2720" spans="1:4" x14ac:dyDescent="0.2">
      <c r="A2720" s="5">
        <v>2659</v>
      </c>
      <c r="B2720" s="138">
        <f ca="1">'Expenditures 15-22'!E51</f>
        <v>0</v>
      </c>
      <c r="D2720" s="2" t="str">
        <f t="shared" ca="1" si="41"/>
        <v>Error?</v>
      </c>
    </row>
    <row r="2721" spans="1:4" x14ac:dyDescent="0.2">
      <c r="A2721" s="5">
        <v>2660</v>
      </c>
      <c r="B2721" s="138">
        <f ca="1">'Expenditures 15-22'!F51</f>
        <v>0</v>
      </c>
      <c r="D2721" s="2" t="str">
        <f t="shared" ca="1" si="41"/>
        <v>Error?</v>
      </c>
    </row>
    <row r="2722" spans="1:4" x14ac:dyDescent="0.2">
      <c r="A2722" s="5">
        <v>2661</v>
      </c>
      <c r="B2722" s="138">
        <f ca="1">'Expenditures 15-22'!G51</f>
        <v>0</v>
      </c>
      <c r="D2722" s="2" t="str">
        <f t="shared" ca="1" si="41"/>
        <v>Error?</v>
      </c>
    </row>
    <row r="2723" spans="1:4" x14ac:dyDescent="0.2">
      <c r="A2723" s="5">
        <v>2662</v>
      </c>
      <c r="B2723" s="138">
        <f ca="1">'Expenditures 15-22'!H51</f>
        <v>0</v>
      </c>
      <c r="D2723" s="2" t="str">
        <f t="shared" ca="1" si="41"/>
        <v>Error?</v>
      </c>
    </row>
    <row r="2724" spans="1:4" x14ac:dyDescent="0.2">
      <c r="A2724" s="5">
        <v>2663</v>
      </c>
      <c r="B2724" s="138">
        <f ca="1">'Expenditures 15-22'!K51</f>
        <v>0</v>
      </c>
      <c r="C2724" s="2" t="s">
        <v>573</v>
      </c>
      <c r="D2724" s="2" t="str">
        <f t="shared" ca="1" si="41"/>
        <v>Error?</v>
      </c>
    </row>
    <row r="2725" spans="1:4" x14ac:dyDescent="0.2">
      <c r="A2725" s="5">
        <v>2664</v>
      </c>
      <c r="B2725" s="138">
        <f ca="1">'Expenditures 15-22'!D247</f>
        <v>0</v>
      </c>
      <c r="D2725" s="2" t="str">
        <f t="shared" ca="1" si="41"/>
        <v>Error?</v>
      </c>
    </row>
    <row r="2726" spans="1:4" x14ac:dyDescent="0.2">
      <c r="A2726" s="5">
        <v>2665</v>
      </c>
      <c r="B2726" s="138">
        <f ca="1">'Expenditures 15-22'!K247</f>
        <v>0</v>
      </c>
      <c r="C2726" s="2" t="s">
        <v>573</v>
      </c>
      <c r="D2726" s="2" t="str">
        <f t="shared" ca="1"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 ca="1">'Acct Summary 7-8'!C28</f>
        <v>0</v>
      </c>
      <c r="D2757" s="2" t="str">
        <f t="shared" ca="1" si="42"/>
        <v>Error?</v>
      </c>
    </row>
    <row r="2758" spans="1:4" x14ac:dyDescent="0.2">
      <c r="A2758" s="5">
        <v>2697</v>
      </c>
      <c r="B2758" s="138">
        <f ca="1">'Acct Summary 7-8'!D28</f>
        <v>0</v>
      </c>
      <c r="D2758" s="2" t="str">
        <f t="shared" ca="1" si="42"/>
        <v>Error?</v>
      </c>
    </row>
    <row r="2759" spans="1:4" x14ac:dyDescent="0.2">
      <c r="A2759" s="10">
        <v>2698</v>
      </c>
      <c r="D2759" s="2" t="str">
        <f t="shared" si="42"/>
        <v>OK</v>
      </c>
    </row>
    <row r="2760" spans="1:4" x14ac:dyDescent="0.2">
      <c r="A2760" s="5">
        <v>2699</v>
      </c>
      <c r="B2760" s="138">
        <f ca="1">'Acct Summary 7-8'!E28</f>
        <v>0</v>
      </c>
      <c r="D2760" s="2" t="str">
        <f t="shared" ca="1" si="42"/>
        <v>Error?</v>
      </c>
    </row>
    <row r="2761" spans="1:4" x14ac:dyDescent="0.2">
      <c r="A2761" s="10">
        <v>2700</v>
      </c>
      <c r="D2761" s="2" t="str">
        <f t="shared" si="42"/>
        <v>OK</v>
      </c>
    </row>
    <row r="2762" spans="1:4" x14ac:dyDescent="0.2">
      <c r="A2762" s="5">
        <v>2701</v>
      </c>
      <c r="B2762" s="138">
        <f ca="1">'Acct Summary 7-8'!F26</f>
        <v>0</v>
      </c>
      <c r="D2762" s="2" t="str">
        <f t="shared" ca="1" si="42"/>
        <v>Error?</v>
      </c>
    </row>
    <row r="2763" spans="1:4" x14ac:dyDescent="0.2">
      <c r="A2763" s="5">
        <v>2702</v>
      </c>
      <c r="B2763" s="138">
        <f ca="1">'Acct Summary 7-8'!F28</f>
        <v>0</v>
      </c>
      <c r="D2763" s="2" t="str">
        <f t="shared" ca="1"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 ca="1">'Acct Summary 7-8'!G28</f>
        <v>0</v>
      </c>
      <c r="D2766" s="2" t="str">
        <f t="shared" ca="1"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 ca="1">'Acct Summary 7-8'!H28</f>
        <v>0</v>
      </c>
      <c r="D2769" s="2" t="str">
        <f t="shared" ca="1"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 ca="1">'Acct Summary 7-8'!I28</f>
        <v>0</v>
      </c>
      <c r="D2772" s="2" t="str">
        <f t="shared" ca="1"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 ca="1">'Expenditures 15-22'!E84</f>
        <v>11500</v>
      </c>
      <c r="C2789" s="2" t="s">
        <v>573</v>
      </c>
      <c r="D2789" s="2" t="str">
        <f t="shared" ca="1" si="42"/>
        <v>Error?</v>
      </c>
    </row>
    <row r="2790" spans="1:4" x14ac:dyDescent="0.2">
      <c r="A2790" s="5">
        <v>2729</v>
      </c>
      <c r="B2790" s="138">
        <f ca="1">'Expenditures 15-22'!E102</f>
        <v>11500</v>
      </c>
      <c r="C2790" s="2" t="s">
        <v>573</v>
      </c>
      <c r="D2790" s="2" t="str">
        <f t="shared" ca="1" si="42"/>
        <v>Error?</v>
      </c>
    </row>
    <row r="2791" spans="1:4" x14ac:dyDescent="0.2">
      <c r="A2791" s="5">
        <v>2730</v>
      </c>
      <c r="B2791" s="138">
        <f ca="1">'Expenditures 15-22'!H107</f>
        <v>0</v>
      </c>
      <c r="D2791" s="2" t="str">
        <f t="shared" ca="1" si="42"/>
        <v>Error?</v>
      </c>
    </row>
    <row r="2792" spans="1:4" x14ac:dyDescent="0.2">
      <c r="A2792" s="5">
        <v>2731</v>
      </c>
      <c r="B2792" s="138">
        <f ca="1">'Expenditures 15-22'!H108</f>
        <v>0</v>
      </c>
      <c r="D2792" s="2" t="str">
        <f t="shared" ca="1" si="42"/>
        <v>Error?</v>
      </c>
    </row>
    <row r="2793" spans="1:4" x14ac:dyDescent="0.2">
      <c r="A2793" s="10">
        <v>2732</v>
      </c>
      <c r="D2793" s="2" t="str">
        <f t="shared" si="42"/>
        <v>OK</v>
      </c>
    </row>
    <row r="2794" spans="1:4" x14ac:dyDescent="0.2">
      <c r="A2794" s="5">
        <v>2733</v>
      </c>
      <c r="B2794" s="138">
        <f ca="1">'Acct Summary 7-8'!C50</f>
        <v>0</v>
      </c>
      <c r="D2794" s="2" t="str">
        <f t="shared" ca="1" si="42"/>
        <v>Error?</v>
      </c>
    </row>
    <row r="2795" spans="1:4" x14ac:dyDescent="0.2">
      <c r="A2795" s="5">
        <v>2734</v>
      </c>
      <c r="B2795" s="138">
        <f ca="1">'Expenditures 15-22'!K107</f>
        <v>0</v>
      </c>
      <c r="C2795" s="2" t="s">
        <v>573</v>
      </c>
      <c r="D2795" s="2" t="str">
        <f t="shared" ca="1" si="42"/>
        <v>Error?</v>
      </c>
    </row>
    <row r="2796" spans="1:4" x14ac:dyDescent="0.2">
      <c r="A2796" s="5">
        <v>2735</v>
      </c>
      <c r="B2796" s="138">
        <f ca="1">'Expenditures 15-22'!K108</f>
        <v>0</v>
      </c>
      <c r="C2796" s="2" t="s">
        <v>573</v>
      </c>
      <c r="D2796" s="2" t="str">
        <f t="shared" ca="1" si="42"/>
        <v>Error?</v>
      </c>
    </row>
    <row r="2797" spans="1:4" x14ac:dyDescent="0.2">
      <c r="A2797" s="5">
        <v>2736</v>
      </c>
      <c r="B2797" s="138">
        <f ca="1">'Expenditures 15-22'!C130</f>
        <v>0</v>
      </c>
      <c r="D2797" s="2" t="str">
        <f t="shared" ca="1" si="42"/>
        <v>Error?</v>
      </c>
    </row>
    <row r="2798" spans="1:4" x14ac:dyDescent="0.2">
      <c r="A2798" s="5">
        <v>2737</v>
      </c>
      <c r="B2798" s="138">
        <f ca="1">'Expenditures 15-22'!D130</f>
        <v>0</v>
      </c>
      <c r="D2798" s="2" t="str">
        <f t="shared" ca="1" si="42"/>
        <v>Error?</v>
      </c>
    </row>
    <row r="2799" spans="1:4" x14ac:dyDescent="0.2">
      <c r="A2799" s="5">
        <v>2738</v>
      </c>
      <c r="B2799" s="138">
        <f ca="1">'Expenditures 15-22'!E130</f>
        <v>0</v>
      </c>
      <c r="D2799" s="2" t="str">
        <f t="shared" ca="1" si="42"/>
        <v>Error?</v>
      </c>
    </row>
    <row r="2800" spans="1:4" x14ac:dyDescent="0.2">
      <c r="A2800" s="5">
        <v>2739</v>
      </c>
      <c r="B2800" s="138">
        <f ca="1">'Expenditures 15-22'!F130</f>
        <v>0</v>
      </c>
      <c r="D2800" s="2" t="str">
        <f t="shared" ca="1" si="42"/>
        <v>Error?</v>
      </c>
    </row>
    <row r="2801" spans="1:4" x14ac:dyDescent="0.2">
      <c r="A2801" s="5">
        <v>2740</v>
      </c>
      <c r="B2801" s="138">
        <f ca="1">'Expenditures 15-22'!G130</f>
        <v>0</v>
      </c>
      <c r="D2801" s="2" t="str">
        <f t="shared" ca="1" si="42"/>
        <v>Error?</v>
      </c>
    </row>
    <row r="2802" spans="1:4" x14ac:dyDescent="0.2">
      <c r="A2802" s="5">
        <v>2741</v>
      </c>
      <c r="B2802" s="138">
        <f ca="1">'Expenditures 15-22'!H130</f>
        <v>0</v>
      </c>
      <c r="D2802" s="2" t="str">
        <f t="shared" ca="1"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 ca="1">'Expenditures 15-22'!K130</f>
        <v>0</v>
      </c>
      <c r="C2805" s="2" t="s">
        <v>573</v>
      </c>
      <c r="D2805" s="2" t="str">
        <f t="shared" ca="1" si="42"/>
        <v>Error?</v>
      </c>
    </row>
    <row r="2806" spans="1:4" x14ac:dyDescent="0.2">
      <c r="A2806" s="5">
        <v>2745</v>
      </c>
      <c r="B2806" s="138">
        <f ca="1">'Acct Summary 7-8'!D50</f>
        <v>0</v>
      </c>
      <c r="D2806" s="2" t="str">
        <f t="shared" ca="1" si="42"/>
        <v>Error?</v>
      </c>
    </row>
    <row r="2807" spans="1:4" x14ac:dyDescent="0.2">
      <c r="A2807" s="5">
        <v>2746</v>
      </c>
      <c r="B2807" s="138">
        <f ca="1">'Expenditures 15-22'!H144</f>
        <v>0</v>
      </c>
      <c r="D2807" s="2" t="str">
        <f t="shared" ca="1" si="42"/>
        <v>Error?</v>
      </c>
    </row>
    <row r="2808" spans="1:4" x14ac:dyDescent="0.2">
      <c r="A2808" s="5">
        <v>2747</v>
      </c>
      <c r="B2808" s="138">
        <f ca="1">'Expenditures 15-22'!H145</f>
        <v>0</v>
      </c>
      <c r="D2808" s="2" t="str">
        <f t="shared" ca="1" si="42"/>
        <v>Error?</v>
      </c>
    </row>
    <row r="2809" spans="1:4" x14ac:dyDescent="0.2">
      <c r="A2809" s="10">
        <v>2748</v>
      </c>
      <c r="C2809" s="2" t="s">
        <v>573</v>
      </c>
      <c r="D2809" s="2" t="str">
        <f t="shared" si="42"/>
        <v>OK</v>
      </c>
    </row>
    <row r="2810" spans="1:4" x14ac:dyDescent="0.2">
      <c r="A2810" s="5">
        <v>2749</v>
      </c>
      <c r="B2810" s="138">
        <f ca="1">'Expenditures 15-22'!K144</f>
        <v>0</v>
      </c>
      <c r="C2810" s="2" t="s">
        <v>573</v>
      </c>
      <c r="D2810" s="2" t="str">
        <f t="shared" ca="1" si="42"/>
        <v>Error?</v>
      </c>
    </row>
    <row r="2811" spans="1:4" x14ac:dyDescent="0.2">
      <c r="A2811" s="5">
        <v>2750</v>
      </c>
      <c r="B2811" s="138">
        <f ca="1">'Expenditures 15-22'!K145</f>
        <v>0</v>
      </c>
      <c r="C2811" s="2" t="s">
        <v>573</v>
      </c>
      <c r="D2811" s="2" t="str">
        <f t="shared" ca="1" si="42"/>
        <v>Error?</v>
      </c>
    </row>
    <row r="2812" spans="1:4" x14ac:dyDescent="0.2">
      <c r="A2812" s="5">
        <v>2751</v>
      </c>
      <c r="B2812" s="138">
        <f ca="1">'Expenditures 15-22'!H165</f>
        <v>0</v>
      </c>
      <c r="D2812" s="2" t="str">
        <f t="shared" ca="1" si="42"/>
        <v>Error?</v>
      </c>
    </row>
    <row r="2813" spans="1:4" x14ac:dyDescent="0.2">
      <c r="A2813" s="5">
        <v>2752</v>
      </c>
      <c r="B2813" s="138">
        <f ca="1">'Expenditures 15-22'!H166</f>
        <v>0</v>
      </c>
      <c r="D2813" s="2" t="str">
        <f t="shared" ca="1"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 ca="1">'Acct Summary 7-8'!E50</f>
        <v>0</v>
      </c>
      <c r="D2817" s="2" t="str">
        <f t="shared" ca="1" si="43"/>
        <v>Error?</v>
      </c>
    </row>
    <row r="2818" spans="1:4" x14ac:dyDescent="0.2">
      <c r="A2818" s="5">
        <v>2757</v>
      </c>
      <c r="B2818" s="138">
        <f ca="1">'Expenditures 15-22'!K165</f>
        <v>0</v>
      </c>
      <c r="C2818" s="2" t="s">
        <v>573</v>
      </c>
      <c r="D2818" s="2" t="str">
        <f t="shared" ca="1" si="43"/>
        <v>Error?</v>
      </c>
    </row>
    <row r="2819" spans="1:4" x14ac:dyDescent="0.2">
      <c r="A2819" s="5">
        <v>2758</v>
      </c>
      <c r="B2819" s="138">
        <f ca="1">'Expenditures 15-22'!K166</f>
        <v>0</v>
      </c>
      <c r="C2819" s="2" t="s">
        <v>573</v>
      </c>
      <c r="D2819" s="2" t="str">
        <f t="shared" ca="1" si="43"/>
        <v>Error?</v>
      </c>
    </row>
    <row r="2820" spans="1:4" x14ac:dyDescent="0.2">
      <c r="A2820" s="5">
        <v>2759</v>
      </c>
      <c r="B2820" s="138">
        <f ca="1">'Expenditures 15-22'!C185</f>
        <v>0</v>
      </c>
      <c r="D2820" s="2" t="str">
        <f t="shared" ca="1" si="43"/>
        <v>Error?</v>
      </c>
    </row>
    <row r="2821" spans="1:4" x14ac:dyDescent="0.2">
      <c r="A2821" s="5">
        <v>2760</v>
      </c>
      <c r="B2821" s="138">
        <f ca="1">'Expenditures 15-22'!D185</f>
        <v>0</v>
      </c>
      <c r="D2821" s="2" t="str">
        <f t="shared" ca="1" si="43"/>
        <v>Error?</v>
      </c>
    </row>
    <row r="2822" spans="1:4" x14ac:dyDescent="0.2">
      <c r="A2822" s="5">
        <v>2761</v>
      </c>
      <c r="B2822" s="138">
        <f ca="1">'Expenditures 15-22'!E185</f>
        <v>0</v>
      </c>
      <c r="D2822" s="2" t="str">
        <f t="shared" ca="1" si="43"/>
        <v>Error?</v>
      </c>
    </row>
    <row r="2823" spans="1:4" x14ac:dyDescent="0.2">
      <c r="A2823" s="5">
        <v>2762</v>
      </c>
      <c r="B2823" s="138">
        <f ca="1">'Expenditures 15-22'!E194</f>
        <v>0</v>
      </c>
      <c r="C2823" s="2" t="s">
        <v>573</v>
      </c>
      <c r="D2823" s="2" t="str">
        <f t="shared" ca="1" si="43"/>
        <v>Error?</v>
      </c>
    </row>
    <row r="2824" spans="1:4" x14ac:dyDescent="0.2">
      <c r="A2824" s="5">
        <v>2763</v>
      </c>
      <c r="B2824" s="138">
        <f ca="1">'Expenditures 15-22'!E195</f>
        <v>0</v>
      </c>
      <c r="D2824" s="2" t="str">
        <f t="shared" ca="1" si="43"/>
        <v>Error?</v>
      </c>
    </row>
    <row r="2825" spans="1:4" x14ac:dyDescent="0.2">
      <c r="A2825" s="5">
        <v>2764</v>
      </c>
      <c r="B2825" s="138">
        <f ca="1">'Expenditures 15-22'!F185</f>
        <v>0</v>
      </c>
      <c r="D2825" s="2" t="str">
        <f t="shared" ca="1" si="43"/>
        <v>Error?</v>
      </c>
    </row>
    <row r="2826" spans="1:4" x14ac:dyDescent="0.2">
      <c r="A2826" s="5">
        <v>2765</v>
      </c>
      <c r="B2826" s="138">
        <f ca="1">'Expenditures 15-22'!G185</f>
        <v>0</v>
      </c>
      <c r="D2826" s="2" t="str">
        <f t="shared" ca="1" si="43"/>
        <v>Error?</v>
      </c>
    </row>
    <row r="2827" spans="1:4" x14ac:dyDescent="0.2">
      <c r="A2827" s="5">
        <v>2766</v>
      </c>
      <c r="B2827" s="138">
        <f ca="1">'Expenditures 15-22'!H185</f>
        <v>0</v>
      </c>
      <c r="D2827" s="2" t="str">
        <f t="shared" ca="1" si="43"/>
        <v>Error?</v>
      </c>
    </row>
    <row r="2828" spans="1:4" x14ac:dyDescent="0.2">
      <c r="A2828" s="5">
        <v>2767</v>
      </c>
      <c r="B2828" s="138">
        <f ca="1">'Expenditures 15-22'!H194</f>
        <v>0</v>
      </c>
      <c r="C2828" s="2" t="s">
        <v>573</v>
      </c>
      <c r="D2828" s="2" t="str">
        <f t="shared" ca="1" si="43"/>
        <v>Error?</v>
      </c>
    </row>
    <row r="2829" spans="1:4" x14ac:dyDescent="0.2">
      <c r="A2829" s="5">
        <v>2768</v>
      </c>
      <c r="B2829" s="138">
        <f ca="1">'Expenditures 15-22'!H195</f>
        <v>0</v>
      </c>
      <c r="D2829" s="2" t="str">
        <f t="shared" ca="1" si="43"/>
        <v>Error?</v>
      </c>
    </row>
    <row r="2830" spans="1:4" x14ac:dyDescent="0.2">
      <c r="A2830" s="5">
        <v>2769</v>
      </c>
      <c r="B2830" s="138">
        <f ca="1">'Expenditures 15-22'!H196</f>
        <v>0</v>
      </c>
      <c r="C2830" s="2" t="s">
        <v>573</v>
      </c>
      <c r="D2830" s="2" t="str">
        <f t="shared" ca="1" si="43"/>
        <v>Error?</v>
      </c>
    </row>
    <row r="2831" spans="1:4" x14ac:dyDescent="0.2">
      <c r="A2831" s="5">
        <v>2770</v>
      </c>
      <c r="B2831" s="138">
        <f ca="1">'Expenditures 15-22'!H201</f>
        <v>0</v>
      </c>
      <c r="D2831" s="2" t="str">
        <f t="shared" ca="1" si="43"/>
        <v>Error?</v>
      </c>
    </row>
    <row r="2832" spans="1:4" x14ac:dyDescent="0.2">
      <c r="A2832" s="5">
        <v>2771</v>
      </c>
      <c r="B2832" s="138">
        <f ca="1">'Expenditures 15-22'!H202</f>
        <v>0</v>
      </c>
      <c r="D2832" s="2" t="str">
        <f t="shared" ca="1"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 ca="1">'Expenditures 15-22'!K185</f>
        <v>0</v>
      </c>
      <c r="C2836" s="2" t="s">
        <v>573</v>
      </c>
      <c r="D2836" s="2" t="str">
        <f t="shared" ca="1" si="43"/>
        <v>Error?</v>
      </c>
    </row>
    <row r="2837" spans="1:5" x14ac:dyDescent="0.2">
      <c r="A2837" s="12">
        <v>2776</v>
      </c>
      <c r="B2837" s="138">
        <f ca="1">'Expenditures 15-22'!K194</f>
        <v>0</v>
      </c>
      <c r="D2837" s="2" t="str">
        <f t="shared" ca="1" si="43"/>
        <v>Error?</v>
      </c>
    </row>
    <row r="2838" spans="1:5" x14ac:dyDescent="0.2">
      <c r="A2838" s="10">
        <v>2777</v>
      </c>
      <c r="D2838" s="2" t="str">
        <f t="shared" si="43"/>
        <v>OK</v>
      </c>
    </row>
    <row r="2839" spans="1:5" x14ac:dyDescent="0.2">
      <c r="A2839" s="5">
        <v>2778</v>
      </c>
      <c r="B2839" s="138">
        <f ca="1">'Expenditures 15-22'!K195</f>
        <v>0</v>
      </c>
      <c r="C2839" s="2" t="s">
        <v>573</v>
      </c>
      <c r="D2839" s="2" t="str">
        <f t="shared" ca="1" si="43"/>
        <v>Error?</v>
      </c>
    </row>
    <row r="2840" spans="1:5" x14ac:dyDescent="0.2">
      <c r="A2840" s="5">
        <v>2779</v>
      </c>
      <c r="B2840" s="138">
        <f ca="1">'Acct Summary 7-8'!F50</f>
        <v>0</v>
      </c>
      <c r="D2840" s="2" t="str">
        <f t="shared" ca="1" si="43"/>
        <v>Error?</v>
      </c>
    </row>
    <row r="2841" spans="1:5" x14ac:dyDescent="0.2">
      <c r="A2841" s="5">
        <v>2780</v>
      </c>
      <c r="B2841" s="138">
        <f ca="1">'Expenditures 15-22'!K201</f>
        <v>0</v>
      </c>
      <c r="C2841" s="2" t="s">
        <v>573</v>
      </c>
      <c r="D2841" s="2" t="str">
        <f t="shared" ca="1" si="43"/>
        <v>Error?</v>
      </c>
    </row>
    <row r="2842" spans="1:5" x14ac:dyDescent="0.2">
      <c r="A2842" s="5">
        <v>2781</v>
      </c>
      <c r="B2842" s="138">
        <f ca="1">'Expenditures 15-22'!K202</f>
        <v>0</v>
      </c>
      <c r="C2842" s="2" t="s">
        <v>573</v>
      </c>
      <c r="D2842" s="2" t="str">
        <f t="shared" ca="1" si="43"/>
        <v>Error?</v>
      </c>
    </row>
    <row r="2843" spans="1:5" x14ac:dyDescent="0.2">
      <c r="A2843" s="5">
        <v>2782</v>
      </c>
      <c r="B2843" s="138">
        <f ca="1">'Expenditures 15-22'!H290</f>
        <v>0</v>
      </c>
      <c r="D2843" s="2" t="str">
        <f t="shared" ca="1" si="43"/>
        <v>Error?</v>
      </c>
    </row>
    <row r="2844" spans="1:5" x14ac:dyDescent="0.2">
      <c r="A2844" s="5">
        <v>2783</v>
      </c>
      <c r="B2844" s="138">
        <f ca="1">'Expenditures 15-22'!H291</f>
        <v>0</v>
      </c>
      <c r="D2844" s="2" t="str">
        <f t="shared" ca="1" si="43"/>
        <v>Error?</v>
      </c>
    </row>
    <row r="2845" spans="1:5" x14ac:dyDescent="0.2">
      <c r="A2845" s="5">
        <v>2784</v>
      </c>
      <c r="B2845" s="138">
        <f ca="1">'Expenditures 15-22'!K290</f>
        <v>0</v>
      </c>
      <c r="C2845" s="2" t="s">
        <v>573</v>
      </c>
      <c r="D2845" s="2" t="str">
        <f t="shared" ca="1" si="43"/>
        <v>Error?</v>
      </c>
    </row>
    <row r="2846" spans="1:5" x14ac:dyDescent="0.2">
      <c r="A2846" s="5">
        <v>2785</v>
      </c>
      <c r="B2846" s="138">
        <f ca="1">'Expenditures 15-22'!K291</f>
        <v>0</v>
      </c>
      <c r="C2846" s="2" t="s">
        <v>573</v>
      </c>
      <c r="D2846" s="2" t="str">
        <f t="shared" ca="1" si="43"/>
        <v>Error?</v>
      </c>
    </row>
    <row r="2847" spans="1:5" x14ac:dyDescent="0.2">
      <c r="A2847" s="10">
        <v>2786</v>
      </c>
      <c r="D2847" s="2" t="str">
        <f t="shared" si="43"/>
        <v>OK</v>
      </c>
    </row>
    <row r="2848" spans="1:5" x14ac:dyDescent="0.2">
      <c r="A2848" s="5">
        <v>2787</v>
      </c>
      <c r="B2848" s="138">
        <f ca="1">'Acct Summary 7-8'!H50</f>
        <v>0</v>
      </c>
      <c r="D2848" s="2" t="str">
        <f t="shared" ca="1"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 ca="1">'Assets-Liab 5-6'!I6</f>
        <v>0</v>
      </c>
      <c r="D2880" s="2" t="str">
        <f t="shared" ca="1"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 ca="1">'Assets-Liab 5-6'!I5</f>
        <v>6528775</v>
      </c>
      <c r="D2885" s="2" t="str">
        <f t="shared" ca="1" si="44"/>
        <v>Error?</v>
      </c>
    </row>
    <row r="2886" spans="1:4" x14ac:dyDescent="0.2">
      <c r="A2886" s="10">
        <v>2825</v>
      </c>
      <c r="D2886" s="2" t="str">
        <f t="shared" si="44"/>
        <v>OK</v>
      </c>
    </row>
    <row r="2887" spans="1:4" x14ac:dyDescent="0.2">
      <c r="A2887" s="5">
        <v>2826</v>
      </c>
      <c r="B2887" s="138">
        <f ca="1">'Assets-Liab 5-6'!I12</f>
        <v>0</v>
      </c>
      <c r="D2887" s="2" t="str">
        <f t="shared" ca="1" si="44"/>
        <v>Error?</v>
      </c>
    </row>
    <row r="2888" spans="1:4" x14ac:dyDescent="0.2">
      <c r="A2888" s="5">
        <v>2827</v>
      </c>
      <c r="B2888" s="138">
        <f ca="1">'Assets-Liab 5-6'!I13</f>
        <v>6573521</v>
      </c>
      <c r="C2888" s="2" t="s">
        <v>573</v>
      </c>
      <c r="D2888" s="2" t="str">
        <f t="shared" ca="1"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72715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 ca="1">'Assets-Liab 5-6'!I32</f>
        <v>0</v>
      </c>
      <c r="D2908" s="2" t="str">
        <f t="shared" ca="1" si="44"/>
        <v>Error?</v>
      </c>
    </row>
    <row r="2909" spans="1:4" x14ac:dyDescent="0.2">
      <c r="A2909" s="10">
        <v>2848</v>
      </c>
      <c r="D2909" s="2" t="str">
        <f t="shared" si="44"/>
        <v>OK</v>
      </c>
    </row>
    <row r="2910" spans="1:4" x14ac:dyDescent="0.2">
      <c r="A2910" s="5">
        <v>2849</v>
      </c>
      <c r="B2910" s="138">
        <f ca="1">'Assets-Liab 5-6'!I34</f>
        <v>743394</v>
      </c>
      <c r="C2910" s="2" t="s">
        <v>573</v>
      </c>
      <c r="D2910" s="2" t="str">
        <f t="shared" ca="1" si="44"/>
        <v>Error?</v>
      </c>
    </row>
    <row r="2911" spans="1:4" x14ac:dyDescent="0.2">
      <c r="A2911" s="5">
        <v>2850</v>
      </c>
      <c r="B2911" s="138">
        <f>'Assets-Liab 5-6'!I38</f>
        <v>0</v>
      </c>
      <c r="D2911" s="2" t="str">
        <f t="shared" si="44"/>
        <v>Error?</v>
      </c>
    </row>
    <row r="2912" spans="1:4" x14ac:dyDescent="0.2">
      <c r="A2912" s="5">
        <v>2851</v>
      </c>
      <c r="B2912" s="138">
        <f>'Assets-Liab 5-6'!I39</f>
        <v>5830127</v>
      </c>
      <c r="D2912" s="2" t="str">
        <f t="shared" si="44"/>
        <v>Error?</v>
      </c>
    </row>
    <row r="2913" spans="1:4" x14ac:dyDescent="0.2">
      <c r="A2913" s="5">
        <v>2852</v>
      </c>
      <c r="B2913" s="138">
        <f ca="1">'Assets-Liab 5-6'!I41</f>
        <v>6573521</v>
      </c>
      <c r="C2913" s="2" t="s">
        <v>573</v>
      </c>
      <c r="D2913" s="2" t="str">
        <f t="shared" ca="1" si="44"/>
        <v>Error?</v>
      </c>
    </row>
    <row r="2914" spans="1:4" x14ac:dyDescent="0.2">
      <c r="A2914" s="5">
        <v>2853</v>
      </c>
      <c r="B2914" s="138">
        <f>'Assets-Liab 5-6'!L33</f>
        <v>72715</v>
      </c>
      <c r="D2914" s="2" t="str">
        <f t="shared" si="44"/>
        <v>Error?</v>
      </c>
    </row>
    <row r="2915" spans="1:4" x14ac:dyDescent="0.2">
      <c r="A2915" s="10">
        <v>2854</v>
      </c>
      <c r="D2915" s="2" t="str">
        <f t="shared" si="44"/>
        <v>OK</v>
      </c>
    </row>
    <row r="2916" spans="1:4" x14ac:dyDescent="0.2">
      <c r="A2916" s="5">
        <v>2855</v>
      </c>
      <c r="B2916" s="138">
        <f>'Assets-Liab 5-6'!L34</f>
        <v>72715</v>
      </c>
      <c r="C2916" s="2" t="s">
        <v>573</v>
      </c>
      <c r="D2916" s="2" t="str">
        <f t="shared" si="44"/>
        <v>Error?</v>
      </c>
    </row>
    <row r="2917" spans="1:4" x14ac:dyDescent="0.2">
      <c r="A2917" s="5">
        <v>2856</v>
      </c>
      <c r="B2917" s="138">
        <f>'Assets-Liab 5-6'!L41</f>
        <v>72715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 ca="1">'Expenditures 15-22'!E101</f>
        <v>0</v>
      </c>
      <c r="D2947" s="2" t="str">
        <f t="shared" ca="1" si="45"/>
        <v>Error?</v>
      </c>
    </row>
    <row r="2948" spans="1:4" x14ac:dyDescent="0.2">
      <c r="A2948" s="10">
        <v>2887</v>
      </c>
      <c r="D2948" s="2" t="str">
        <f t="shared" si="45"/>
        <v>OK</v>
      </c>
    </row>
    <row r="2949" spans="1:4" x14ac:dyDescent="0.2">
      <c r="A2949" s="5">
        <v>2888</v>
      </c>
      <c r="B2949" s="138">
        <f ca="1">'Expenditures 15-22'!E78</f>
        <v>0</v>
      </c>
      <c r="D2949" s="2" t="str">
        <f t="shared" ca="1" si="45"/>
        <v>Error?</v>
      </c>
    </row>
    <row r="2950" spans="1:4" x14ac:dyDescent="0.2">
      <c r="A2950" s="5">
        <v>2889</v>
      </c>
      <c r="B2950" s="138">
        <f ca="1">'Expenditures 15-22'!E79</f>
        <v>0</v>
      </c>
      <c r="D2950" s="2" t="str">
        <f t="shared" ca="1" si="45"/>
        <v>Error?</v>
      </c>
    </row>
    <row r="2951" spans="1:4" x14ac:dyDescent="0.2">
      <c r="A2951" s="5">
        <v>2890</v>
      </c>
      <c r="B2951" s="138">
        <f ca="1">'Expenditures 15-22'!E80</f>
        <v>0</v>
      </c>
      <c r="D2951" s="2" t="str">
        <f t="shared" ca="1" si="45"/>
        <v>Error?</v>
      </c>
    </row>
    <row r="2952" spans="1:4" x14ac:dyDescent="0.2">
      <c r="A2952" s="5">
        <v>2891</v>
      </c>
      <c r="B2952" s="138">
        <f ca="1">'Expenditures 15-22'!E81</f>
        <v>0</v>
      </c>
      <c r="D2952" s="2" t="str">
        <f t="shared" ca="1" si="45"/>
        <v>Error?</v>
      </c>
    </row>
    <row r="2953" spans="1:4" x14ac:dyDescent="0.2">
      <c r="A2953" s="5">
        <v>2892</v>
      </c>
      <c r="B2953" s="138">
        <f ca="1">'Expenditures 15-22'!E82</f>
        <v>0</v>
      </c>
      <c r="D2953" s="2" t="str">
        <f t="shared" ca="1" si="45"/>
        <v>Error?</v>
      </c>
    </row>
    <row r="2954" spans="1:4" x14ac:dyDescent="0.2">
      <c r="A2954" s="5">
        <v>2893</v>
      </c>
      <c r="B2954" s="138">
        <f ca="1">'Expenditures 15-22'!E83</f>
        <v>11500</v>
      </c>
      <c r="D2954" s="2" t="str">
        <f t="shared" ca="1" si="45"/>
        <v>Error?</v>
      </c>
    </row>
    <row r="2955" spans="1:4" x14ac:dyDescent="0.2">
      <c r="A2955" s="5">
        <v>2894</v>
      </c>
      <c r="B2955" s="138">
        <f ca="1">'Expenditures 15-22'!H78</f>
        <v>0</v>
      </c>
      <c r="D2955" s="2" t="str">
        <f t="shared" ca="1" si="45"/>
        <v>Error?</v>
      </c>
    </row>
    <row r="2956" spans="1:4" x14ac:dyDescent="0.2">
      <c r="A2956" s="5">
        <v>2895</v>
      </c>
      <c r="B2956" s="138">
        <f ca="1">'Expenditures 15-22'!H79</f>
        <v>533034</v>
      </c>
      <c r="D2956" s="2" t="str">
        <f t="shared" ca="1" si="45"/>
        <v>Error?</v>
      </c>
    </row>
    <row r="2957" spans="1:4" x14ac:dyDescent="0.2">
      <c r="A2957" s="5">
        <v>2896</v>
      </c>
      <c r="B2957" s="138">
        <f ca="1">'Expenditures 15-22'!H80</f>
        <v>0</v>
      </c>
      <c r="D2957" s="2" t="str">
        <f t="shared" ca="1" si="45"/>
        <v>Error?</v>
      </c>
    </row>
    <row r="2958" spans="1:4" x14ac:dyDescent="0.2">
      <c r="A2958" s="5">
        <v>2897</v>
      </c>
      <c r="B2958" s="138">
        <f ca="1">'Expenditures 15-22'!H81</f>
        <v>0</v>
      </c>
      <c r="D2958" s="2" t="str">
        <f t="shared" ca="1" si="45"/>
        <v>Error?</v>
      </c>
    </row>
    <row r="2959" spans="1:4" x14ac:dyDescent="0.2">
      <c r="A2959" s="5">
        <v>2898</v>
      </c>
      <c r="B2959" s="138">
        <f ca="1">'Expenditures 15-22'!H82</f>
        <v>0</v>
      </c>
      <c r="D2959" s="2" t="str">
        <f t="shared" ca="1" si="45"/>
        <v>Error?</v>
      </c>
    </row>
    <row r="2960" spans="1:4" x14ac:dyDescent="0.2">
      <c r="A2960" s="5">
        <v>2899</v>
      </c>
      <c r="B2960" s="138">
        <f ca="1">'Expenditures 15-22'!H83</f>
        <v>0</v>
      </c>
      <c r="D2960" s="2" t="str">
        <f t="shared" ca="1"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 ca="1">'Expenditures 15-22'!K78</f>
        <v>0</v>
      </c>
      <c r="C2973" s="2" t="s">
        <v>573</v>
      </c>
      <c r="D2973" s="2" t="str">
        <f t="shared" ca="1" si="45"/>
        <v>Error?</v>
      </c>
    </row>
    <row r="2974" spans="1:4" x14ac:dyDescent="0.2">
      <c r="A2974" s="5">
        <v>2913</v>
      </c>
      <c r="B2974" s="138">
        <f ca="1">'Expenditures 15-22'!K79</f>
        <v>533034</v>
      </c>
      <c r="C2974" s="2" t="s">
        <v>573</v>
      </c>
      <c r="D2974" s="2" t="str">
        <f t="shared" ca="1" si="45"/>
        <v>Error?</v>
      </c>
    </row>
    <row r="2975" spans="1:4" x14ac:dyDescent="0.2">
      <c r="A2975" s="5">
        <v>2914</v>
      </c>
      <c r="B2975" s="138">
        <f ca="1">'Expenditures 15-22'!K80</f>
        <v>0</v>
      </c>
      <c r="C2975" s="2" t="s">
        <v>573</v>
      </c>
      <c r="D2975" s="2" t="str">
        <f t="shared" ca="1" si="45"/>
        <v>Error?</v>
      </c>
    </row>
    <row r="2976" spans="1:4" x14ac:dyDescent="0.2">
      <c r="A2976" s="5">
        <v>2915</v>
      </c>
      <c r="B2976" s="138">
        <f ca="1">'Expenditures 15-22'!K81</f>
        <v>0</v>
      </c>
      <c r="C2976" s="2" t="s">
        <v>573</v>
      </c>
      <c r="D2976" s="2" t="str">
        <f t="shared" ca="1" si="45"/>
        <v>Error?</v>
      </c>
    </row>
    <row r="2977" spans="1:4" x14ac:dyDescent="0.2">
      <c r="A2977" s="5">
        <v>2916</v>
      </c>
      <c r="B2977" s="138">
        <f ca="1">'Expenditures 15-22'!K82</f>
        <v>0</v>
      </c>
      <c r="C2977" s="2" t="s">
        <v>573</v>
      </c>
      <c r="D2977" s="2" t="str">
        <f t="shared" ca="1" si="45"/>
        <v>Error?</v>
      </c>
    </row>
    <row r="2978" spans="1:4" x14ac:dyDescent="0.2">
      <c r="A2978" s="5">
        <v>2917</v>
      </c>
      <c r="B2978" s="138">
        <f ca="1">'Expenditures 15-22'!K83</f>
        <v>11500</v>
      </c>
      <c r="C2978" s="2" t="s">
        <v>573</v>
      </c>
      <c r="D2978" s="2" t="str">
        <f t="shared" ca="1" si="45"/>
        <v>Error?</v>
      </c>
    </row>
    <row r="2979" spans="1:4" x14ac:dyDescent="0.2">
      <c r="A2979" s="5">
        <v>2918</v>
      </c>
      <c r="B2979" s="138">
        <f ca="1">'Expenditures 15-22'!H134</f>
        <v>0</v>
      </c>
      <c r="D2979" s="2" t="str">
        <f t="shared" ca="1" si="45"/>
        <v>Error?</v>
      </c>
    </row>
    <row r="2980" spans="1:4" x14ac:dyDescent="0.2">
      <c r="A2980" s="5">
        <v>2919</v>
      </c>
      <c r="B2980" s="138">
        <f ca="1">'Expenditures 15-22'!H135</f>
        <v>0</v>
      </c>
      <c r="D2980" s="2" t="str">
        <f t="shared" ca="1" si="45"/>
        <v>Error?</v>
      </c>
    </row>
    <row r="2981" spans="1:4" x14ac:dyDescent="0.2">
      <c r="A2981" s="5">
        <v>2920</v>
      </c>
      <c r="B2981" s="138">
        <f ca="1">'Expenditures 15-22'!H136</f>
        <v>0</v>
      </c>
      <c r="D2981" s="2" t="str">
        <f t="shared" ca="1"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 ca="1">'Expenditures 15-22'!K134</f>
        <v>0</v>
      </c>
      <c r="C2986" s="2" t="s">
        <v>573</v>
      </c>
      <c r="D2986" s="2" t="str">
        <f t="shared" ca="1" si="45"/>
        <v>Error?</v>
      </c>
    </row>
    <row r="2987" spans="1:4" x14ac:dyDescent="0.2">
      <c r="A2987" s="5">
        <v>2926</v>
      </c>
      <c r="B2987" s="138">
        <f ca="1">'Expenditures 15-22'!K135</f>
        <v>0</v>
      </c>
      <c r="C2987" s="2" t="s">
        <v>573</v>
      </c>
      <c r="D2987" s="2" t="str">
        <f t="shared" ca="1" si="45"/>
        <v>Error?</v>
      </c>
    </row>
    <row r="2988" spans="1:4" x14ac:dyDescent="0.2">
      <c r="A2988" s="5">
        <v>2927</v>
      </c>
      <c r="B2988" s="138">
        <f ca="1">'Expenditures 15-22'!K136</f>
        <v>0</v>
      </c>
      <c r="C2988" s="2" t="s">
        <v>573</v>
      </c>
      <c r="D2988" s="2" t="str">
        <f t="shared" ca="1" si="45"/>
        <v>Error?</v>
      </c>
    </row>
    <row r="2989" spans="1:4" x14ac:dyDescent="0.2">
      <c r="A2989" s="5">
        <v>2928</v>
      </c>
      <c r="B2989" s="138">
        <f ca="1">'Expenditures 15-22'!E188</f>
        <v>0</v>
      </c>
      <c r="D2989" s="2" t="str">
        <f t="shared" ca="1" si="45"/>
        <v>Error?</v>
      </c>
    </row>
    <row r="2990" spans="1:4" x14ac:dyDescent="0.2">
      <c r="A2990" s="5">
        <v>2929</v>
      </c>
      <c r="B2990" s="138">
        <f ca="1">'Expenditures 15-22'!E189</f>
        <v>0</v>
      </c>
      <c r="D2990" s="2" t="str">
        <f t="shared" ca="1" si="45"/>
        <v>Error?</v>
      </c>
    </row>
    <row r="2991" spans="1:4" x14ac:dyDescent="0.2">
      <c r="A2991" s="5">
        <v>2930</v>
      </c>
      <c r="B2991" s="138">
        <f ca="1">'Expenditures 15-22'!E190</f>
        <v>0</v>
      </c>
      <c r="D2991" s="2" t="str">
        <f t="shared" ca="1" si="45"/>
        <v>Error?</v>
      </c>
    </row>
    <row r="2992" spans="1:4" x14ac:dyDescent="0.2">
      <c r="A2992" s="5">
        <v>2931</v>
      </c>
      <c r="B2992" s="138">
        <f ca="1">'Expenditures 15-22'!E191</f>
        <v>0</v>
      </c>
      <c r="D2992" s="2" t="str">
        <f t="shared" ca="1" si="45"/>
        <v>Error?</v>
      </c>
    </row>
    <row r="2993" spans="1:4" x14ac:dyDescent="0.2">
      <c r="A2993" s="5">
        <v>2932</v>
      </c>
      <c r="B2993" s="138">
        <f ca="1">'Expenditures 15-22'!E192</f>
        <v>0</v>
      </c>
      <c r="D2993" s="2" t="str">
        <f t="shared" ca="1" si="45"/>
        <v>Error?</v>
      </c>
    </row>
    <row r="2994" spans="1:4" x14ac:dyDescent="0.2">
      <c r="A2994" s="5">
        <v>2933</v>
      </c>
      <c r="B2994" s="138">
        <f ca="1">'Expenditures 15-22'!E193</f>
        <v>0</v>
      </c>
      <c r="D2994" s="2" t="str">
        <f t="shared" ca="1" si="45"/>
        <v>Error?</v>
      </c>
    </row>
    <row r="2995" spans="1:4" x14ac:dyDescent="0.2">
      <c r="A2995" s="5">
        <v>2934</v>
      </c>
      <c r="B2995" s="138">
        <f ca="1">'Expenditures 15-22'!H188</f>
        <v>0</v>
      </c>
      <c r="D2995" s="2" t="str">
        <f t="shared" ca="1" si="45"/>
        <v>Error?</v>
      </c>
    </row>
    <row r="2996" spans="1:4" x14ac:dyDescent="0.2">
      <c r="A2996" s="5">
        <v>2935</v>
      </c>
      <c r="B2996" s="138">
        <f ca="1">'Expenditures 15-22'!H189</f>
        <v>0</v>
      </c>
      <c r="D2996" s="2" t="str">
        <f t="shared" ca="1" si="45"/>
        <v>Error?</v>
      </c>
    </row>
    <row r="2997" spans="1:4" x14ac:dyDescent="0.2">
      <c r="A2997" s="5">
        <v>2936</v>
      </c>
      <c r="B2997" s="138">
        <f ca="1">'Expenditures 15-22'!H190</f>
        <v>0</v>
      </c>
      <c r="D2997" s="2" t="str">
        <f t="shared" ca="1" si="45"/>
        <v>Error?</v>
      </c>
    </row>
    <row r="2998" spans="1:4" x14ac:dyDescent="0.2">
      <c r="A2998" s="5">
        <v>2937</v>
      </c>
      <c r="B2998" s="138">
        <f ca="1">'Expenditures 15-22'!H191</f>
        <v>0</v>
      </c>
      <c r="D2998" s="2" t="str">
        <f t="shared" ca="1" si="45"/>
        <v>Error?</v>
      </c>
    </row>
    <row r="2999" spans="1:4" x14ac:dyDescent="0.2">
      <c r="A2999" s="5">
        <v>2938</v>
      </c>
      <c r="B2999" s="138">
        <f ca="1">'Expenditures 15-22'!H192</f>
        <v>0</v>
      </c>
      <c r="D2999" s="2" t="str">
        <f t="shared" ca="1" si="45"/>
        <v>Error?</v>
      </c>
    </row>
    <row r="3000" spans="1:4" x14ac:dyDescent="0.2">
      <c r="A3000" s="5">
        <v>2939</v>
      </c>
      <c r="B3000" s="138">
        <f ca="1">'Expenditures 15-22'!H193</f>
        <v>0</v>
      </c>
      <c r="D3000" s="2" t="str">
        <f t="shared" ca="1"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 ca="1">'Expenditures 15-22'!K188</f>
        <v>0</v>
      </c>
      <c r="C3007" s="2" t="s">
        <v>573</v>
      </c>
      <c r="D3007" s="2" t="str">
        <f t="shared" ref="D3007:D3070" ca="1" si="46">IF(ISBLANK(B3007),"OK",IF(A3007-B3007=0,"OK","Error?"))</f>
        <v>Error?</v>
      </c>
    </row>
    <row r="3008" spans="1:4" x14ac:dyDescent="0.2">
      <c r="A3008" s="5">
        <v>2947</v>
      </c>
      <c r="B3008" s="138">
        <f ca="1">'Expenditures 15-22'!K189</f>
        <v>0</v>
      </c>
      <c r="C3008" s="2" t="s">
        <v>573</v>
      </c>
      <c r="D3008" s="2" t="str">
        <f t="shared" ca="1" si="46"/>
        <v>Error?</v>
      </c>
    </row>
    <row r="3009" spans="1:4" x14ac:dyDescent="0.2">
      <c r="A3009" s="5">
        <v>2948</v>
      </c>
      <c r="B3009" s="138">
        <f ca="1">'Expenditures 15-22'!K190</f>
        <v>0</v>
      </c>
      <c r="C3009" s="2" t="s">
        <v>573</v>
      </c>
      <c r="D3009" s="2" t="str">
        <f t="shared" ca="1" si="46"/>
        <v>Error?</v>
      </c>
    </row>
    <row r="3010" spans="1:4" x14ac:dyDescent="0.2">
      <c r="A3010" s="5">
        <v>2949</v>
      </c>
      <c r="B3010" s="138">
        <f ca="1">'Expenditures 15-22'!K191</f>
        <v>0</v>
      </c>
      <c r="C3010" s="2" t="s">
        <v>573</v>
      </c>
      <c r="D3010" s="2" t="str">
        <f t="shared" ca="1" si="46"/>
        <v>Error?</v>
      </c>
    </row>
    <row r="3011" spans="1:4" x14ac:dyDescent="0.2">
      <c r="A3011" s="5">
        <v>2950</v>
      </c>
      <c r="B3011" s="138">
        <f ca="1">'Expenditures 15-22'!K192</f>
        <v>0</v>
      </c>
      <c r="C3011" s="2" t="s">
        <v>573</v>
      </c>
      <c r="D3011" s="2" t="str">
        <f t="shared" ca="1" si="46"/>
        <v>Error?</v>
      </c>
    </row>
    <row r="3012" spans="1:4" x14ac:dyDescent="0.2">
      <c r="A3012" s="5">
        <v>2951</v>
      </c>
      <c r="B3012" s="138">
        <f ca="1">'Expenditures 15-22'!K193</f>
        <v>0</v>
      </c>
      <c r="C3012" s="2" t="s">
        <v>573</v>
      </c>
      <c r="D3012" s="2" t="str">
        <f t="shared" ca="1"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 ca="1">'Expenditures 15-22'!C10</f>
        <v>459567</v>
      </c>
      <c r="D3055" s="2" t="str">
        <f t="shared" ca="1" si="46"/>
        <v>Error?</v>
      </c>
    </row>
    <row r="3056" spans="1:4" x14ac:dyDescent="0.2">
      <c r="A3056" s="5">
        <v>2995</v>
      </c>
      <c r="B3056" s="138">
        <f ca="1">'Expenditures 15-22'!D10</f>
        <v>177310</v>
      </c>
      <c r="D3056" s="2" t="str">
        <f t="shared" ca="1" si="46"/>
        <v>Error?</v>
      </c>
    </row>
    <row r="3057" spans="1:4" x14ac:dyDescent="0.2">
      <c r="A3057" s="5">
        <v>2996</v>
      </c>
      <c r="B3057" s="138">
        <f ca="1">'Expenditures 15-22'!E10</f>
        <v>36284</v>
      </c>
      <c r="D3057" s="2" t="str">
        <f t="shared" ca="1" si="46"/>
        <v>Error?</v>
      </c>
    </row>
    <row r="3058" spans="1:4" x14ac:dyDescent="0.2">
      <c r="A3058" s="5">
        <v>2997</v>
      </c>
      <c r="B3058" s="138">
        <f ca="1">'Expenditures 15-22'!F10</f>
        <v>68669</v>
      </c>
      <c r="D3058" s="2" t="str">
        <f t="shared" ca="1" si="46"/>
        <v>Error?</v>
      </c>
    </row>
    <row r="3059" spans="1:4" x14ac:dyDescent="0.2">
      <c r="A3059" s="5">
        <v>2998</v>
      </c>
      <c r="B3059" s="138">
        <f ca="1">'Expenditures 15-22'!G10</f>
        <v>4863</v>
      </c>
      <c r="D3059" s="2" t="str">
        <f t="shared" ca="1" si="46"/>
        <v>Error?</v>
      </c>
    </row>
    <row r="3060" spans="1:4" x14ac:dyDescent="0.2">
      <c r="A3060" s="5">
        <v>2999</v>
      </c>
      <c r="B3060" s="138">
        <f ca="1">'Expenditures 15-22'!H10</f>
        <v>0</v>
      </c>
      <c r="D3060" s="2" t="str">
        <f t="shared" ca="1" si="46"/>
        <v>Error?</v>
      </c>
    </row>
    <row r="3061" spans="1:4" x14ac:dyDescent="0.2">
      <c r="A3061" s="10">
        <v>3000</v>
      </c>
      <c r="D3061" s="2" t="str">
        <f t="shared" si="46"/>
        <v>OK</v>
      </c>
    </row>
    <row r="3062" spans="1:4" x14ac:dyDescent="0.2">
      <c r="A3062" s="5">
        <v>3001</v>
      </c>
      <c r="B3062" s="138">
        <f ca="1">'Expenditures 15-22'!K10</f>
        <v>746693</v>
      </c>
      <c r="C3062" s="2" t="s">
        <v>573</v>
      </c>
      <c r="D3062" s="2" t="str">
        <f t="shared" ca="1" si="46"/>
        <v>Error?</v>
      </c>
    </row>
    <row r="3063" spans="1:4" x14ac:dyDescent="0.2">
      <c r="A3063" s="10">
        <v>3002</v>
      </c>
      <c r="D3063" s="2" t="str">
        <f t="shared" si="46"/>
        <v>OK</v>
      </c>
    </row>
    <row r="3064" spans="1:4" x14ac:dyDescent="0.2">
      <c r="A3064" s="5">
        <v>3003</v>
      </c>
      <c r="B3064" s="138">
        <f ca="1">'Expenditures 15-22'!D219</f>
        <v>6586</v>
      </c>
      <c r="D3064" s="2" t="str">
        <f t="shared" ca="1" si="46"/>
        <v>Error?</v>
      </c>
    </row>
    <row r="3065" spans="1:4" x14ac:dyDescent="0.2">
      <c r="A3065" s="5">
        <v>3004</v>
      </c>
      <c r="B3065" s="138">
        <f ca="1">'Expenditures 15-22'!K219</f>
        <v>6586</v>
      </c>
      <c r="C3065" s="2" t="s">
        <v>573</v>
      </c>
      <c r="D3065" s="2" t="str">
        <f t="shared" ca="1"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 ca="1">'Acct Summary 7-8'!D33</f>
        <v>0</v>
      </c>
      <c r="D3078" s="2" t="str">
        <f t="shared" ca="1" si="47"/>
        <v>Error?</v>
      </c>
    </row>
    <row r="3079" spans="1:4" x14ac:dyDescent="0.2">
      <c r="A3079" s="5">
        <v>3018</v>
      </c>
      <c r="B3079" s="138">
        <f ca="1">'Acct Summary 7-8'!D34</f>
        <v>0</v>
      </c>
      <c r="D3079" s="2" t="str">
        <f t="shared" ca="1" si="47"/>
        <v>Error?</v>
      </c>
    </row>
    <row r="3080" spans="1:4" x14ac:dyDescent="0.2">
      <c r="A3080" s="5">
        <v>3019</v>
      </c>
      <c r="B3080" s="138">
        <f ca="1">'Acct Summary 7-8'!D35</f>
        <v>0</v>
      </c>
      <c r="D3080" s="2" t="str">
        <f t="shared" ca="1" si="47"/>
        <v>Error?</v>
      </c>
    </row>
    <row r="3081" spans="1:4" x14ac:dyDescent="0.2">
      <c r="A3081" s="10">
        <v>3020</v>
      </c>
      <c r="D3081" s="2" t="str">
        <f t="shared" si="47"/>
        <v>OK</v>
      </c>
    </row>
    <row r="3082" spans="1:4" x14ac:dyDescent="0.2">
      <c r="A3082" s="5">
        <v>3021</v>
      </c>
      <c r="B3082" s="138">
        <f ca="1">'Acct Summary 7-8'!E33</f>
        <v>4340000</v>
      </c>
      <c r="D3082" s="2" t="str">
        <f t="shared" ca="1" si="47"/>
        <v>Error?</v>
      </c>
    </row>
    <row r="3083" spans="1:4" x14ac:dyDescent="0.2">
      <c r="A3083" s="5">
        <v>3022</v>
      </c>
      <c r="B3083" s="138">
        <f ca="1">'Acct Summary 7-8'!F33</f>
        <v>0</v>
      </c>
      <c r="D3083" s="2" t="str">
        <f t="shared" ca="1" si="47"/>
        <v>Error?</v>
      </c>
    </row>
    <row r="3084" spans="1:4" x14ac:dyDescent="0.2">
      <c r="A3084" s="5">
        <v>3023</v>
      </c>
      <c r="B3084" s="138">
        <f ca="1">'Acct Summary 7-8'!F34</f>
        <v>0</v>
      </c>
      <c r="D3084" s="2" t="str">
        <f t="shared" ca="1" si="47"/>
        <v>Error?</v>
      </c>
    </row>
    <row r="3085" spans="1:4" x14ac:dyDescent="0.2">
      <c r="A3085" s="5">
        <v>3024</v>
      </c>
      <c r="B3085" s="138">
        <f ca="1">'Acct Summary 7-8'!F35</f>
        <v>0</v>
      </c>
      <c r="D3085" s="2" t="str">
        <f t="shared" ca="1"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 ca="1">'Acct Summary 7-8'!D29</f>
        <v>0</v>
      </c>
      <c r="D3161" s="2" t="str">
        <f t="shared" ca="1"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 ca="1">'Acct Summary 7-8'!H51</f>
        <v>0</v>
      </c>
      <c r="C3170" s="2" t="s">
        <v>573</v>
      </c>
      <c r="D3170" s="2" t="str">
        <f t="shared" ca="1"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 ca="1">'Acct Summary 7-8'!I4</f>
        <v>267385</v>
      </c>
      <c r="C3225" s="2" t="s">
        <v>573</v>
      </c>
      <c r="D3225" s="2" t="str">
        <f t="shared" ca="1" si="49"/>
        <v>Error?</v>
      </c>
    </row>
    <row r="3226" spans="1:4" x14ac:dyDescent="0.2">
      <c r="A3226" s="5">
        <v>3165</v>
      </c>
      <c r="B3226" s="138">
        <f ca="1">'Acct Summary 7-8'!I8</f>
        <v>267385</v>
      </c>
      <c r="C3226" s="2" t="s">
        <v>573</v>
      </c>
      <c r="D3226" s="2" t="str">
        <f t="shared" ca="1" si="49"/>
        <v>Error?</v>
      </c>
    </row>
    <row r="3227" spans="1:4" x14ac:dyDescent="0.2">
      <c r="A3227" s="5">
        <v>3166</v>
      </c>
      <c r="B3227" s="138">
        <f ca="1">'Acct Summary 7-8'!I20</f>
        <v>267385</v>
      </c>
      <c r="C3227" s="2" t="s">
        <v>573</v>
      </c>
      <c r="D3227" s="2" t="str">
        <f t="shared" ca="1" si="49"/>
        <v>Error?</v>
      </c>
    </row>
    <row r="3228" spans="1:4" x14ac:dyDescent="0.2">
      <c r="A3228" s="5">
        <v>3167</v>
      </c>
      <c r="B3228" s="138">
        <f ca="1">'Acct Summary 7-8'!C43</f>
        <v>0</v>
      </c>
      <c r="D3228" s="2" t="str">
        <f t="shared" ca="1" si="49"/>
        <v>Error?</v>
      </c>
    </row>
    <row r="3229" spans="1:4" x14ac:dyDescent="0.2">
      <c r="A3229" s="5">
        <v>3168</v>
      </c>
      <c r="B3229" s="138">
        <f ca="1">'Acct Summary 7-8'!C44</f>
        <v>0</v>
      </c>
      <c r="C3229" s="2" t="s">
        <v>573</v>
      </c>
      <c r="D3229" s="2" t="str">
        <f t="shared" ca="1" si="49"/>
        <v>Error?</v>
      </c>
    </row>
    <row r="3230" spans="1:4" x14ac:dyDescent="0.2">
      <c r="A3230" s="5">
        <v>3169</v>
      </c>
      <c r="B3230" s="138">
        <f ca="1">'Acct Summary 7-8'!C75</f>
        <v>250</v>
      </c>
      <c r="D3230" s="2" t="str">
        <f t="shared" ca="1" si="49"/>
        <v>Error?</v>
      </c>
    </row>
    <row r="3231" spans="1:4" x14ac:dyDescent="0.2">
      <c r="A3231" s="5">
        <v>3170</v>
      </c>
      <c r="B3231" s="138">
        <f ca="1">'Acct Summary 7-8'!C76</f>
        <v>239674</v>
      </c>
      <c r="C3231" s="2" t="s">
        <v>573</v>
      </c>
      <c r="D3231" s="2" t="str">
        <f t="shared" ca="1" si="49"/>
        <v>Error?</v>
      </c>
    </row>
    <row r="3232" spans="1:4" x14ac:dyDescent="0.2">
      <c r="A3232" s="5">
        <v>3171</v>
      </c>
      <c r="B3232" s="138">
        <f ca="1">'Acct Summary 7-8'!C77</f>
        <v>-239674</v>
      </c>
      <c r="C3232" s="2" t="s">
        <v>573</v>
      </c>
      <c r="D3232" s="2" t="str">
        <f t="shared" ca="1" si="49"/>
        <v>Error?</v>
      </c>
    </row>
    <row r="3233" spans="1:4" x14ac:dyDescent="0.2">
      <c r="A3233" s="5">
        <v>3172</v>
      </c>
      <c r="B3233" s="138">
        <f ca="1">'Acct Summary 7-8'!C78</f>
        <v>59668</v>
      </c>
      <c r="C3233" s="2" t="s">
        <v>573</v>
      </c>
      <c r="D3233" s="2" t="str">
        <f t="shared" ca="1" si="49"/>
        <v>Error?</v>
      </c>
    </row>
    <row r="3234" spans="1:4" x14ac:dyDescent="0.2">
      <c r="A3234" s="5">
        <v>3173</v>
      </c>
      <c r="B3234" s="138">
        <f ca="1">'Acct Summary 7-8'!D43</f>
        <v>0</v>
      </c>
      <c r="D3234" s="2" t="str">
        <f t="shared" ca="1" si="49"/>
        <v>Error?</v>
      </c>
    </row>
    <row r="3235" spans="1:4" x14ac:dyDescent="0.2">
      <c r="A3235" s="5">
        <v>3174</v>
      </c>
      <c r="B3235" s="138">
        <f ca="1">'Acct Summary 7-8'!D44</f>
        <v>750000</v>
      </c>
      <c r="C3235" s="2" t="s">
        <v>573</v>
      </c>
      <c r="D3235" s="2" t="str">
        <f t="shared" ca="1" si="49"/>
        <v>Error?</v>
      </c>
    </row>
    <row r="3236" spans="1:4" x14ac:dyDescent="0.2">
      <c r="A3236" s="5">
        <v>3175</v>
      </c>
      <c r="B3236" s="138">
        <f ca="1">'Acct Summary 7-8'!D75</f>
        <v>0</v>
      </c>
      <c r="D3236" s="2" t="str">
        <f t="shared" ca="1" si="49"/>
        <v>Error?</v>
      </c>
    </row>
    <row r="3237" spans="1:4" x14ac:dyDescent="0.2">
      <c r="A3237" s="5">
        <v>3176</v>
      </c>
      <c r="B3237" s="138">
        <f ca="1">'Acct Summary 7-8'!D76</f>
        <v>0</v>
      </c>
      <c r="C3237" s="2" t="s">
        <v>573</v>
      </c>
      <c r="D3237" s="2" t="str">
        <f t="shared" ca="1" si="49"/>
        <v>Error?</v>
      </c>
    </row>
    <row r="3238" spans="1:4" x14ac:dyDescent="0.2">
      <c r="A3238" s="5">
        <v>3177</v>
      </c>
      <c r="B3238" s="138">
        <f ca="1">'Acct Summary 7-8'!D77</f>
        <v>750000</v>
      </c>
      <c r="C3238" s="2" t="s">
        <v>573</v>
      </c>
      <c r="D3238" s="2" t="str">
        <f t="shared" ca="1" si="49"/>
        <v>Error?</v>
      </c>
    </row>
    <row r="3239" spans="1:4" x14ac:dyDescent="0.2">
      <c r="A3239" s="5">
        <v>3178</v>
      </c>
      <c r="B3239" s="138">
        <f ca="1">'Acct Summary 7-8'!D78</f>
        <v>-323965</v>
      </c>
      <c r="C3239" s="2" t="s">
        <v>573</v>
      </c>
      <c r="D3239" s="2" t="str">
        <f t="shared" ca="1"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 ca="1">'Acct Summary 7-8'!F43</f>
        <v>0</v>
      </c>
      <c r="D3251" s="2" t="str">
        <f t="shared" ca="1" si="49"/>
        <v>Error?</v>
      </c>
    </row>
    <row r="3252" spans="1:4" x14ac:dyDescent="0.2">
      <c r="A3252" s="5">
        <v>3191</v>
      </c>
      <c r="B3252" s="138">
        <f ca="1">'Acct Summary 7-8'!F44</f>
        <v>0</v>
      </c>
      <c r="C3252" s="2" t="s">
        <v>573</v>
      </c>
      <c r="D3252" s="2" t="str">
        <f t="shared" ca="1" si="49"/>
        <v>Error?</v>
      </c>
    </row>
    <row r="3253" spans="1:4" x14ac:dyDescent="0.2">
      <c r="A3253" s="5">
        <v>3192</v>
      </c>
      <c r="B3253" s="138">
        <f ca="1">'Acct Summary 7-8'!F75</f>
        <v>0</v>
      </c>
      <c r="D3253" s="2" t="str">
        <f t="shared" ca="1" si="49"/>
        <v>Error?</v>
      </c>
    </row>
    <row r="3254" spans="1:4" x14ac:dyDescent="0.2">
      <c r="A3254" s="5">
        <v>3193</v>
      </c>
      <c r="B3254" s="138">
        <f ca="1">'Acct Summary 7-8'!F76</f>
        <v>0</v>
      </c>
      <c r="C3254" s="2" t="s">
        <v>573</v>
      </c>
      <c r="D3254" s="2" t="str">
        <f t="shared" ca="1" si="49"/>
        <v>Error?</v>
      </c>
    </row>
    <row r="3255" spans="1:4" x14ac:dyDescent="0.2">
      <c r="A3255" s="5">
        <v>3194</v>
      </c>
      <c r="B3255" s="138">
        <f ca="1">'Acct Summary 7-8'!F77</f>
        <v>0</v>
      </c>
      <c r="C3255" s="2" t="s">
        <v>573</v>
      </c>
      <c r="D3255" s="2" t="str">
        <f t="shared" ca="1" si="49"/>
        <v>Error?</v>
      </c>
    </row>
    <row r="3256" spans="1:4" x14ac:dyDescent="0.2">
      <c r="A3256" s="5">
        <v>3195</v>
      </c>
      <c r="B3256" s="138">
        <f ca="1">'Acct Summary 7-8'!F78</f>
        <v>88110</v>
      </c>
      <c r="C3256" s="2" t="s">
        <v>573</v>
      </c>
      <c r="D3256" s="2" t="str">
        <f t="shared" ca="1" si="49"/>
        <v>Error?</v>
      </c>
    </row>
    <row r="3257" spans="1:4" x14ac:dyDescent="0.2">
      <c r="A3257" s="5">
        <v>3196</v>
      </c>
      <c r="B3257" s="138">
        <f ca="1">'Acct Summary 7-8'!G43</f>
        <v>0</v>
      </c>
      <c r="D3257" s="2" t="str">
        <f t="shared" ca="1" si="49"/>
        <v>Error?</v>
      </c>
    </row>
    <row r="3258" spans="1:4" x14ac:dyDescent="0.2">
      <c r="A3258" s="5">
        <v>3197</v>
      </c>
      <c r="B3258" s="138">
        <f ca="1">'Acct Summary 7-8'!G44</f>
        <v>0</v>
      </c>
      <c r="C3258" s="2" t="s">
        <v>573</v>
      </c>
      <c r="D3258" s="2" t="str">
        <f t="shared" ca="1" si="49"/>
        <v>Error?</v>
      </c>
    </row>
    <row r="3259" spans="1:4" x14ac:dyDescent="0.2">
      <c r="A3259" s="5">
        <v>3198</v>
      </c>
      <c r="B3259" s="138">
        <f ca="1">'Acct Summary 7-8'!G50</f>
        <v>0</v>
      </c>
      <c r="D3259" s="2" t="str">
        <f t="shared" ca="1" si="49"/>
        <v>Error?</v>
      </c>
    </row>
    <row r="3260" spans="1:4" x14ac:dyDescent="0.2">
      <c r="A3260" s="5">
        <v>3199</v>
      </c>
      <c r="B3260" s="138">
        <f ca="1">'Acct Summary 7-8'!G76</f>
        <v>0</v>
      </c>
      <c r="C3260" s="2" t="s">
        <v>573</v>
      </c>
      <c r="D3260" s="2" t="str">
        <f t="shared" ca="1" si="49"/>
        <v>Error?</v>
      </c>
    </row>
    <row r="3261" spans="1:4" x14ac:dyDescent="0.2">
      <c r="A3261" s="5">
        <v>3200</v>
      </c>
      <c r="B3261" s="138">
        <f ca="1">'Acct Summary 7-8'!G77</f>
        <v>0</v>
      </c>
      <c r="C3261" s="2" t="s">
        <v>573</v>
      </c>
      <c r="D3261" s="2" t="str">
        <f t="shared" ca="1" si="49"/>
        <v>Error?</v>
      </c>
    </row>
    <row r="3262" spans="1:4" x14ac:dyDescent="0.2">
      <c r="A3262" s="5">
        <v>3201</v>
      </c>
      <c r="B3262" s="138">
        <f ca="1">'Acct Summary 7-8'!G78</f>
        <v>51698</v>
      </c>
      <c r="C3262" s="2" t="s">
        <v>573</v>
      </c>
      <c r="D3262" s="2" t="str">
        <f t="shared" ca="1"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 ca="1">'Acct Summary 7-8'!E43</f>
        <v>0</v>
      </c>
      <c r="D3273" s="2" t="str">
        <f t="shared" ca="1" si="50"/>
        <v>Error?</v>
      </c>
    </row>
    <row r="3274" spans="1:4" x14ac:dyDescent="0.2">
      <c r="A3274" s="5">
        <v>3213</v>
      </c>
      <c r="B3274" s="138">
        <f ca="1">'Acct Summary 7-8'!E44</f>
        <v>4659156</v>
      </c>
      <c r="C3274" s="2" t="s">
        <v>573</v>
      </c>
      <c r="D3274" s="2" t="str">
        <f t="shared" ca="1" si="50"/>
        <v>Error?</v>
      </c>
    </row>
    <row r="3275" spans="1:4" x14ac:dyDescent="0.2">
      <c r="A3275" s="5">
        <v>3214</v>
      </c>
      <c r="B3275" s="138">
        <f ca="1">'Acct Summary 7-8'!E75</f>
        <v>91212</v>
      </c>
      <c r="D3275" s="2" t="str">
        <f t="shared" ca="1" si="50"/>
        <v>Error?</v>
      </c>
    </row>
    <row r="3276" spans="1:4" x14ac:dyDescent="0.2">
      <c r="A3276" s="5">
        <v>3215</v>
      </c>
      <c r="B3276" s="138">
        <f ca="1">'Acct Summary 7-8'!E76</f>
        <v>91212</v>
      </c>
      <c r="C3276" s="2" t="s">
        <v>573</v>
      </c>
      <c r="D3276" s="2" t="str">
        <f t="shared" ca="1" si="50"/>
        <v>Error?</v>
      </c>
    </row>
    <row r="3277" spans="1:4" x14ac:dyDescent="0.2">
      <c r="A3277" s="5">
        <v>3216</v>
      </c>
      <c r="B3277" s="138">
        <f ca="1">'Acct Summary 7-8'!E77</f>
        <v>4567944</v>
      </c>
      <c r="C3277" s="2" t="s">
        <v>573</v>
      </c>
      <c r="D3277" s="2" t="str">
        <f t="shared" ca="1" si="50"/>
        <v>Error?</v>
      </c>
    </row>
    <row r="3278" spans="1:4" x14ac:dyDescent="0.2">
      <c r="A3278" s="5">
        <v>3217</v>
      </c>
      <c r="B3278" s="138">
        <f ca="1">'Acct Summary 7-8'!E78</f>
        <v>-3834</v>
      </c>
      <c r="C3278" s="2" t="s">
        <v>573</v>
      </c>
      <c r="D3278" s="2" t="str">
        <f t="shared" ca="1"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 ca="1">'Acct Summary 7-8'!H43</f>
        <v>0</v>
      </c>
      <c r="D3295" s="2" t="str">
        <f t="shared" ca="1" si="50"/>
        <v>Error?</v>
      </c>
    </row>
    <row r="3296" spans="1:4" x14ac:dyDescent="0.2">
      <c r="A3296" s="5">
        <v>3235</v>
      </c>
      <c r="B3296" s="138">
        <f ca="1">'Acct Summary 7-8'!H44</f>
        <v>0</v>
      </c>
      <c r="C3296" s="2" t="s">
        <v>573</v>
      </c>
      <c r="D3296" s="2" t="str">
        <f t="shared" ca="1" si="50"/>
        <v>Error?</v>
      </c>
    </row>
    <row r="3297" spans="1:4" x14ac:dyDescent="0.2">
      <c r="A3297" s="5">
        <v>3236</v>
      </c>
      <c r="B3297" s="138">
        <f ca="1">'Acct Summary 7-8'!H75</f>
        <v>0</v>
      </c>
      <c r="D3297" s="2" t="str">
        <f t="shared" ca="1" si="50"/>
        <v>Error?</v>
      </c>
    </row>
    <row r="3298" spans="1:4" x14ac:dyDescent="0.2">
      <c r="A3298" s="5">
        <v>3237</v>
      </c>
      <c r="B3298" s="138">
        <f ca="1">'Acct Summary 7-8'!H76</f>
        <v>0</v>
      </c>
      <c r="C3298" s="2" t="s">
        <v>573</v>
      </c>
      <c r="D3298" s="2" t="str">
        <f t="shared" ca="1" si="50"/>
        <v>Error?</v>
      </c>
    </row>
    <row r="3299" spans="1:4" x14ac:dyDescent="0.2">
      <c r="A3299" s="5">
        <v>3238</v>
      </c>
      <c r="B3299" s="138">
        <f ca="1">'Acct Summary 7-8'!H77</f>
        <v>0</v>
      </c>
      <c r="C3299" s="2" t="s">
        <v>573</v>
      </c>
      <c r="D3299" s="2" t="str">
        <f t="shared" ca="1" si="50"/>
        <v>Error?</v>
      </c>
    </row>
    <row r="3300" spans="1:4" x14ac:dyDescent="0.2">
      <c r="A3300" s="5">
        <v>3239</v>
      </c>
      <c r="B3300" s="138">
        <f ca="1">'Acct Summary 7-8'!H78</f>
        <v>0</v>
      </c>
      <c r="C3300" s="2" t="s">
        <v>573</v>
      </c>
      <c r="D3300" s="2" t="str">
        <f t="shared" ca="1"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 ca="1">'Acct Summary 7-8'!I43</f>
        <v>0</v>
      </c>
      <c r="D3316" s="2" t="str">
        <f t="shared" ca="1" si="50"/>
        <v>Error?</v>
      </c>
    </row>
    <row r="3317" spans="1:4" x14ac:dyDescent="0.2">
      <c r="A3317" s="5">
        <v>3256</v>
      </c>
      <c r="B3317" s="138">
        <f ca="1">'Acct Summary 7-8'!I44</f>
        <v>0</v>
      </c>
      <c r="C3317" s="2" t="s">
        <v>573</v>
      </c>
      <c r="D3317" s="2" t="str">
        <f t="shared" ca="1" si="50"/>
        <v>Error?</v>
      </c>
    </row>
    <row r="3318" spans="1:4" x14ac:dyDescent="0.2">
      <c r="A3318" s="5">
        <v>3257</v>
      </c>
      <c r="B3318" s="138">
        <f ca="1">'Acct Summary 7-8'!I76</f>
        <v>750000</v>
      </c>
      <c r="C3318" s="2" t="s">
        <v>573</v>
      </c>
      <c r="D3318" s="2" t="str">
        <f t="shared" ca="1" si="50"/>
        <v>Error?</v>
      </c>
    </row>
    <row r="3319" spans="1:4" x14ac:dyDescent="0.2">
      <c r="A3319" s="5">
        <v>3258</v>
      </c>
      <c r="B3319" s="138">
        <f ca="1">'Acct Summary 7-8'!I77</f>
        <v>-750000</v>
      </c>
      <c r="C3319" s="2" t="s">
        <v>573</v>
      </c>
      <c r="D3319" s="2" t="str">
        <f t="shared" ca="1" si="50"/>
        <v>Error?</v>
      </c>
    </row>
    <row r="3320" spans="1:4" x14ac:dyDescent="0.2">
      <c r="A3320" s="5">
        <v>3259</v>
      </c>
      <c r="B3320" s="138">
        <f ca="1">'Acct Summary 7-8'!I78</f>
        <v>-482615</v>
      </c>
      <c r="C3320" s="2" t="s">
        <v>573</v>
      </c>
      <c r="D3320" s="2" t="str">
        <f t="shared" ca="1" si="50"/>
        <v>Error?</v>
      </c>
    </row>
    <row r="3321" spans="1:4" x14ac:dyDescent="0.2">
      <c r="A3321" s="5">
        <v>3260</v>
      </c>
      <c r="B3321" s="138">
        <f>'Acct Summary 7-8'!I79</f>
        <v>6312742</v>
      </c>
      <c r="D3321" s="2" t="str">
        <f t="shared" si="50"/>
        <v>Error?</v>
      </c>
    </row>
    <row r="3322" spans="1:4" x14ac:dyDescent="0.2">
      <c r="A3322" s="5">
        <v>3261</v>
      </c>
      <c r="B3322" s="138">
        <f>'Acct Summary 7-8'!I80</f>
        <v>0</v>
      </c>
      <c r="D3322" s="2" t="str">
        <f t="shared" si="50"/>
        <v>Error?</v>
      </c>
    </row>
    <row r="3323" spans="1:4" x14ac:dyDescent="0.2">
      <c r="A3323" s="5">
        <v>3262</v>
      </c>
      <c r="B3323" s="138">
        <f ca="1">'Acct Summary 7-8'!I81</f>
        <v>5830127</v>
      </c>
      <c r="C3323" s="2" t="s">
        <v>573</v>
      </c>
      <c r="D3323" s="2" t="str">
        <f t="shared" ca="1"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 ca="1">'Expenditures 15-22'!C8</f>
        <v>1609964</v>
      </c>
      <c r="D3366" s="2" t="str">
        <f t="shared" ca="1" si="51"/>
        <v>Error?</v>
      </c>
    </row>
    <row r="3367" spans="1:4" x14ac:dyDescent="0.2">
      <c r="A3367" s="5">
        <v>3306</v>
      </c>
      <c r="B3367" s="138">
        <f ca="1">'Expenditures 15-22'!C19</f>
        <v>0</v>
      </c>
      <c r="D3367" s="2" t="str">
        <f t="shared" ca="1" si="51"/>
        <v>Error?</v>
      </c>
    </row>
    <row r="3368" spans="1:4" x14ac:dyDescent="0.2">
      <c r="A3368" s="5">
        <v>3307</v>
      </c>
      <c r="B3368" s="138">
        <f ca="1">'Expenditures 15-22'!D8</f>
        <v>487280</v>
      </c>
      <c r="D3368" s="2" t="str">
        <f t="shared" ca="1" si="51"/>
        <v>Error?</v>
      </c>
    </row>
    <row r="3369" spans="1:4" x14ac:dyDescent="0.2">
      <c r="A3369" s="5">
        <v>3308</v>
      </c>
      <c r="B3369" s="138">
        <f ca="1">'Expenditures 15-22'!D19</f>
        <v>0</v>
      </c>
      <c r="D3369" s="2" t="str">
        <f t="shared" ca="1" si="51"/>
        <v>Error?</v>
      </c>
    </row>
    <row r="3370" spans="1:4" x14ac:dyDescent="0.2">
      <c r="A3370" s="5">
        <v>3309</v>
      </c>
      <c r="B3370" s="138">
        <f ca="1">'Expenditures 15-22'!E8</f>
        <v>3854</v>
      </c>
      <c r="D3370" s="2" t="str">
        <f t="shared" ca="1" si="51"/>
        <v>Error?</v>
      </c>
    </row>
    <row r="3371" spans="1:4" x14ac:dyDescent="0.2">
      <c r="A3371" s="5">
        <v>3310</v>
      </c>
      <c r="B3371" s="138">
        <f ca="1">'Expenditures 15-22'!E19</f>
        <v>0</v>
      </c>
      <c r="D3371" s="2" t="str">
        <f t="shared" ca="1" si="51"/>
        <v>Error?</v>
      </c>
    </row>
    <row r="3372" spans="1:4" x14ac:dyDescent="0.2">
      <c r="A3372" s="5">
        <v>3311</v>
      </c>
      <c r="B3372" s="138">
        <f ca="1">'Expenditures 15-22'!F8</f>
        <v>9247</v>
      </c>
      <c r="D3372" s="2" t="str">
        <f t="shared" ca="1" si="51"/>
        <v>Error?</v>
      </c>
    </row>
    <row r="3373" spans="1:4" x14ac:dyDescent="0.2">
      <c r="A3373" s="5">
        <v>3312</v>
      </c>
      <c r="B3373" s="138">
        <f ca="1">'Expenditures 15-22'!F19</f>
        <v>0</v>
      </c>
      <c r="D3373" s="2" t="str">
        <f t="shared" ca="1" si="51"/>
        <v>Error?</v>
      </c>
    </row>
    <row r="3374" spans="1:4" x14ac:dyDescent="0.2">
      <c r="A3374" s="5">
        <v>3313</v>
      </c>
      <c r="B3374" s="138">
        <f ca="1">'Expenditures 15-22'!G8</f>
        <v>0</v>
      </c>
      <c r="D3374" s="2" t="str">
        <f t="shared" ca="1" si="51"/>
        <v>Error?</v>
      </c>
    </row>
    <row r="3375" spans="1:4" x14ac:dyDescent="0.2">
      <c r="A3375" s="5">
        <v>3314</v>
      </c>
      <c r="B3375" s="138">
        <f ca="1">'Expenditures 15-22'!G19</f>
        <v>0</v>
      </c>
      <c r="D3375" s="2" t="str">
        <f t="shared" ca="1" si="51"/>
        <v>Error?</v>
      </c>
    </row>
    <row r="3376" spans="1:4" x14ac:dyDescent="0.2">
      <c r="A3376" s="5">
        <v>3315</v>
      </c>
      <c r="B3376" s="138">
        <f ca="1">'Expenditures 15-22'!H8</f>
        <v>236129</v>
      </c>
      <c r="D3376" s="2" t="str">
        <f t="shared" ca="1" si="51"/>
        <v>Error?</v>
      </c>
    </row>
    <row r="3377" spans="1:4" x14ac:dyDescent="0.2">
      <c r="A3377" s="5">
        <v>3316</v>
      </c>
      <c r="B3377" s="138">
        <f ca="1">'Expenditures 15-22'!H19</f>
        <v>0</v>
      </c>
      <c r="D3377" s="2" t="str">
        <f t="shared" ca="1"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 ca="1">'Expenditures 15-22'!K8</f>
        <v>2346474</v>
      </c>
      <c r="C3380" s="2" t="s">
        <v>573</v>
      </c>
      <c r="D3380" s="2" t="str">
        <f t="shared" ca="1" si="51"/>
        <v>Error?</v>
      </c>
    </row>
    <row r="3381" spans="1:4" x14ac:dyDescent="0.2">
      <c r="A3381" s="5">
        <v>3320</v>
      </c>
      <c r="B3381" s="138">
        <f ca="1">'Expenditures 15-22'!K19</f>
        <v>0</v>
      </c>
      <c r="C3381" s="2" t="s">
        <v>573</v>
      </c>
      <c r="D3381" s="2" t="str">
        <f t="shared" ca="1"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 ca="1">'Expenditures 15-22'!D215</f>
        <v>93476</v>
      </c>
      <c r="D3387" s="2" t="str">
        <f t="shared" ca="1" si="51"/>
        <v>Error?</v>
      </c>
    </row>
    <row r="3388" spans="1:4" x14ac:dyDescent="0.2">
      <c r="A3388" s="5">
        <v>3327</v>
      </c>
      <c r="B3388" s="138">
        <f ca="1">'Expenditures 15-22'!D217</f>
        <v>119730</v>
      </c>
      <c r="D3388" s="2" t="str">
        <f t="shared" ca="1" si="51"/>
        <v>Error?</v>
      </c>
    </row>
    <row r="3389" spans="1:4" x14ac:dyDescent="0.2">
      <c r="A3389" s="5">
        <v>3328</v>
      </c>
      <c r="B3389" s="138">
        <f ca="1">'Expenditures 15-22'!D228</f>
        <v>0</v>
      </c>
      <c r="D3389" s="2" t="str">
        <f t="shared" ca="1" si="51"/>
        <v>Error?</v>
      </c>
    </row>
    <row r="3390" spans="1:4" x14ac:dyDescent="0.2">
      <c r="A3390" s="5">
        <v>3329</v>
      </c>
      <c r="B3390" s="138">
        <f ca="1">'Expenditures 15-22'!K215</f>
        <v>93476</v>
      </c>
      <c r="C3390" s="2" t="s">
        <v>573</v>
      </c>
      <c r="D3390" s="2" t="str">
        <f t="shared" ca="1" si="51"/>
        <v>Error?</v>
      </c>
    </row>
    <row r="3391" spans="1:4" x14ac:dyDescent="0.2">
      <c r="A3391" s="5">
        <v>3330</v>
      </c>
      <c r="B3391" s="138">
        <f ca="1">'Expenditures 15-22'!K217</f>
        <v>119730</v>
      </c>
      <c r="C3391" s="2" t="s">
        <v>573</v>
      </c>
      <c r="D3391" s="2" t="str">
        <f t="shared" ref="D3391:D3454" ca="1" si="52">IF(ISBLANK(B3391),"OK",IF(A3391-B3391=0,"OK","Error?"))</f>
        <v>Error?</v>
      </c>
    </row>
    <row r="3392" spans="1:4" x14ac:dyDescent="0.2">
      <c r="A3392" s="5">
        <v>3331</v>
      </c>
      <c r="B3392" s="138">
        <f ca="1">'Expenditures 15-22'!K228</f>
        <v>0</v>
      </c>
      <c r="C3392" s="2" t="s">
        <v>573</v>
      </c>
      <c r="D3392" s="2" t="str">
        <f t="shared" ca="1"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 ca="1">'Acct Summary 7-8'!C5</f>
        <v>0</v>
      </c>
      <c r="C3405" s="2" t="s">
        <v>573</v>
      </c>
      <c r="D3405" s="2" t="str">
        <f t="shared" ca="1" si="52"/>
        <v>Error?</v>
      </c>
    </row>
    <row r="3406" spans="1:4" x14ac:dyDescent="0.2">
      <c r="A3406" s="5">
        <v>3345</v>
      </c>
      <c r="B3406" s="138">
        <f ca="1">'Acct Summary 7-8'!D5</f>
        <v>0</v>
      </c>
      <c r="C3406" s="2" t="s">
        <v>573</v>
      </c>
      <c r="D3406" s="2" t="str">
        <f t="shared" ca="1" si="52"/>
        <v>Error?</v>
      </c>
    </row>
    <row r="3407" spans="1:4" x14ac:dyDescent="0.2">
      <c r="A3407" s="10">
        <v>3346</v>
      </c>
      <c r="D3407" s="2" t="str">
        <f t="shared" si="52"/>
        <v>OK</v>
      </c>
    </row>
    <row r="3408" spans="1:4" x14ac:dyDescent="0.2">
      <c r="A3408" s="5">
        <v>3347</v>
      </c>
      <c r="B3408" s="138">
        <f ca="1">'Acct Summary 7-8'!F5</f>
        <v>0</v>
      </c>
      <c r="C3408" s="2" t="s">
        <v>573</v>
      </c>
      <c r="D3408" s="2" t="str">
        <f t="shared" ca="1" si="52"/>
        <v>Error?</v>
      </c>
    </row>
    <row r="3409" spans="1:4" x14ac:dyDescent="0.2">
      <c r="A3409" s="5">
        <v>3348</v>
      </c>
      <c r="B3409" s="138">
        <f ca="1">'Acct Summary 7-8'!G5</f>
        <v>0</v>
      </c>
      <c r="C3409" s="2" t="s">
        <v>573</v>
      </c>
      <c r="D3409" s="2" t="str">
        <f t="shared" ca="1" si="52"/>
        <v>Error?</v>
      </c>
    </row>
    <row r="3410" spans="1:4" x14ac:dyDescent="0.2">
      <c r="A3410" s="10">
        <v>3349</v>
      </c>
      <c r="D3410" s="2" t="str">
        <f t="shared" si="52"/>
        <v>OK</v>
      </c>
    </row>
    <row r="3411" spans="1:4" x14ac:dyDescent="0.2">
      <c r="A3411" s="5">
        <v>3350</v>
      </c>
      <c r="B3411" s="138">
        <f ca="1">'Assets-Liab 5-6'!C4</f>
        <v>2640707</v>
      </c>
      <c r="D3411" s="2" t="str">
        <f t="shared" ca="1"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 ca="1">'Assets-Liab 5-6'!D4</f>
        <v>168793</v>
      </c>
      <c r="D3414" s="2" t="str">
        <f t="shared" ca="1"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 ca="1">'Assets-Liab 5-6'!E4</f>
        <v>0</v>
      </c>
      <c r="D3417" s="2" t="str">
        <f t="shared" ca="1" si="52"/>
        <v>Error?</v>
      </c>
    </row>
    <row r="3418" spans="1:4" x14ac:dyDescent="0.2">
      <c r="A3418" s="10">
        <v>3357</v>
      </c>
      <c r="D3418" s="2" t="str">
        <f t="shared" si="52"/>
        <v>OK</v>
      </c>
    </row>
    <row r="3419" spans="1:4" x14ac:dyDescent="0.2">
      <c r="A3419" s="5">
        <v>3358</v>
      </c>
      <c r="B3419" s="138">
        <f ca="1">'Assets-Liab 5-6'!F4</f>
        <v>650738</v>
      </c>
      <c r="D3419" s="2" t="str">
        <f t="shared" ca="1"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 ca="1">'Assets-Liab 5-6'!G4</f>
        <v>159098</v>
      </c>
      <c r="D3422" s="2" t="str">
        <f t="shared" ca="1"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 ca="1">'Assets-Liab 5-6'!H4</f>
        <v>0</v>
      </c>
      <c r="D3425" s="2" t="str">
        <f t="shared" ca="1" si="52"/>
        <v>Error?</v>
      </c>
    </row>
    <row r="3426" spans="1:4" x14ac:dyDescent="0.2">
      <c r="A3426" s="10">
        <v>3365</v>
      </c>
      <c r="D3426" s="2" t="str">
        <f t="shared" si="52"/>
        <v>OK</v>
      </c>
    </row>
    <row r="3427" spans="1:4" x14ac:dyDescent="0.2">
      <c r="A3427" s="5">
        <v>3366</v>
      </c>
      <c r="B3427" s="138">
        <f ca="1">'Assets-Liab 5-6'!I4</f>
        <v>0</v>
      </c>
      <c r="D3427" s="2" t="str">
        <f t="shared" ca="1"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72715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 ca="1">'Tax Sched 23'!B16</f>
        <v>418616</v>
      </c>
      <c r="C3446" s="2" t="s">
        <v>573</v>
      </c>
      <c r="D3446" s="2" t="str">
        <f t="shared" ca="1" si="52"/>
        <v>Error?</v>
      </c>
    </row>
    <row r="3447" spans="1:4" x14ac:dyDescent="0.2">
      <c r="A3447" s="5">
        <v>3386</v>
      </c>
      <c r="B3447" s="138">
        <f ca="1">'Tax Sched 23'!D16</f>
        <v>418616</v>
      </c>
      <c r="C3447" s="2" t="s">
        <v>573</v>
      </c>
      <c r="D3447" s="2" t="str">
        <f t="shared" ca="1" si="52"/>
        <v>Error?</v>
      </c>
    </row>
    <row r="3448" spans="1:4" x14ac:dyDescent="0.2">
      <c r="A3448" s="5">
        <v>3387</v>
      </c>
      <c r="B3448" s="138">
        <f>'Tax Sched 23'!C16</f>
        <v>0</v>
      </c>
      <c r="D3448" s="2" t="str">
        <f t="shared" si="52"/>
        <v>Error?</v>
      </c>
    </row>
    <row r="3449" spans="1:4" x14ac:dyDescent="0.2">
      <c r="A3449" s="5">
        <v>3388</v>
      </c>
      <c r="B3449" s="138">
        <f>'Tax Sched 23'!F16</f>
        <v>420002</v>
      </c>
      <c r="C3449" s="2" t="s">
        <v>573</v>
      </c>
      <c r="D3449" s="2" t="str">
        <f t="shared" si="52"/>
        <v>Error?</v>
      </c>
    </row>
    <row r="3450" spans="1:4" x14ac:dyDescent="0.2">
      <c r="A3450" s="5">
        <v>3389</v>
      </c>
      <c r="B3450" s="138">
        <f>'Tax Sched 23'!E16</f>
        <v>420002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 ca="1">'Expenditures 15-22'!C125</f>
        <v>0</v>
      </c>
      <c r="D3482" s="2" t="str">
        <f t="shared" ca="1" si="53"/>
        <v>Error?</v>
      </c>
    </row>
    <row r="3483" spans="1:4" x14ac:dyDescent="0.2">
      <c r="A3483" s="5">
        <v>3422</v>
      </c>
      <c r="B3483" s="138">
        <f ca="1">'Expenditures 15-22'!D125</f>
        <v>0</v>
      </c>
      <c r="D3483" s="2" t="str">
        <f t="shared" ca="1" si="53"/>
        <v>Error?</v>
      </c>
    </row>
    <row r="3484" spans="1:4" x14ac:dyDescent="0.2">
      <c r="A3484" s="5">
        <v>3423</v>
      </c>
      <c r="B3484" s="138">
        <f ca="1">'Expenditures 15-22'!E125</f>
        <v>0</v>
      </c>
      <c r="D3484" s="2" t="str">
        <f t="shared" ca="1" si="53"/>
        <v>Error?</v>
      </c>
    </row>
    <row r="3485" spans="1:4" x14ac:dyDescent="0.2">
      <c r="A3485" s="5">
        <v>3424</v>
      </c>
      <c r="B3485" s="138">
        <f ca="1">'Expenditures 15-22'!F125</f>
        <v>0</v>
      </c>
      <c r="D3485" s="2" t="str">
        <f t="shared" ca="1" si="53"/>
        <v>Error?</v>
      </c>
    </row>
    <row r="3486" spans="1:4" x14ac:dyDescent="0.2">
      <c r="A3486" s="5">
        <v>3425</v>
      </c>
      <c r="B3486" s="138">
        <f ca="1">'Expenditures 15-22'!G125</f>
        <v>0</v>
      </c>
      <c r="D3486" s="2" t="str">
        <f t="shared" ca="1" si="53"/>
        <v>Error?</v>
      </c>
    </row>
    <row r="3487" spans="1:4" x14ac:dyDescent="0.2">
      <c r="A3487" s="5">
        <v>3426</v>
      </c>
      <c r="B3487" s="138">
        <f ca="1">'Expenditures 15-22'!H125</f>
        <v>0</v>
      </c>
      <c r="D3487" s="2" t="str">
        <f t="shared" ca="1" si="53"/>
        <v>Error?</v>
      </c>
    </row>
    <row r="3488" spans="1:4" x14ac:dyDescent="0.2">
      <c r="A3488" s="5">
        <v>3427</v>
      </c>
      <c r="B3488" s="138">
        <f ca="1">'Expenditures 15-22'!K125</f>
        <v>0</v>
      </c>
      <c r="C3488" s="2" t="s">
        <v>573</v>
      </c>
      <c r="D3488" s="2" t="str">
        <f t="shared" ca="1" si="53"/>
        <v>Error?</v>
      </c>
    </row>
    <row r="3489" spans="1:4" x14ac:dyDescent="0.2">
      <c r="A3489" s="10">
        <v>3428</v>
      </c>
      <c r="D3489" s="2" t="str">
        <f t="shared" si="53"/>
        <v>OK</v>
      </c>
    </row>
    <row r="3490" spans="1:4" x14ac:dyDescent="0.2">
      <c r="A3490" s="5">
        <v>3429</v>
      </c>
      <c r="B3490" s="138">
        <f ca="1">'Acct Summary 7-8'!E26</f>
        <v>0</v>
      </c>
      <c r="D3490" s="2" t="str">
        <f t="shared" ca="1" si="53"/>
        <v>Error?</v>
      </c>
    </row>
    <row r="3491" spans="1:4" x14ac:dyDescent="0.2">
      <c r="A3491" s="10">
        <v>3430</v>
      </c>
      <c r="D3491" s="2" t="str">
        <f t="shared" si="53"/>
        <v>OK</v>
      </c>
    </row>
    <row r="3492" spans="1:4" x14ac:dyDescent="0.2">
      <c r="A3492" s="5">
        <v>3431</v>
      </c>
      <c r="B3492" s="138">
        <f ca="1">'Acct Summary 7-8'!G26</f>
        <v>0</v>
      </c>
      <c r="D3492" s="2" t="str">
        <f t="shared" ca="1" si="53"/>
        <v>Error?</v>
      </c>
    </row>
    <row r="3493" spans="1:4" x14ac:dyDescent="0.2">
      <c r="A3493" s="5">
        <v>3432</v>
      </c>
      <c r="B3493" s="138">
        <f ca="1">'Acct Summary 7-8'!H26</f>
        <v>0</v>
      </c>
      <c r="D3493" s="2" t="str">
        <f t="shared" ca="1"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 ca="1">'Assets-Liab 5-6'!H6</f>
        <v>0</v>
      </c>
      <c r="D3519" s="2" t="str">
        <f t="shared" ref="D3519:D3582" ca="1"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 ca="1">'Acct Summary 7-8'!C36</f>
        <v>0</v>
      </c>
      <c r="D3530" s="2" t="str">
        <f t="shared" ca="1" si="54"/>
        <v>Error?</v>
      </c>
    </row>
    <row r="3531" spans="1:4" x14ac:dyDescent="0.2">
      <c r="A3531" s="5">
        <v>3470</v>
      </c>
      <c r="B3531" s="138">
        <f ca="1">'Acct Summary 7-8'!D36</f>
        <v>0</v>
      </c>
      <c r="D3531" s="2" t="str">
        <f t="shared" ca="1" si="54"/>
        <v>Error?</v>
      </c>
    </row>
    <row r="3532" spans="1:4" x14ac:dyDescent="0.2">
      <c r="A3532" s="5">
        <v>3471</v>
      </c>
      <c r="B3532" s="138">
        <f ca="1">'Acct Summary 7-8'!F36</f>
        <v>0</v>
      </c>
      <c r="D3532" s="2" t="str">
        <f t="shared" ca="1" si="54"/>
        <v>Error?</v>
      </c>
    </row>
    <row r="3533" spans="1:4" x14ac:dyDescent="0.2">
      <c r="A3533" s="5">
        <v>3472</v>
      </c>
      <c r="B3533" s="138">
        <f ca="1">'Acct Summary 7-8'!G36</f>
        <v>0</v>
      </c>
      <c r="D3533" s="2" t="str">
        <f t="shared" ca="1" si="54"/>
        <v>Error?</v>
      </c>
    </row>
    <row r="3534" spans="1:4" x14ac:dyDescent="0.2">
      <c r="A3534" s="5">
        <v>3473</v>
      </c>
      <c r="B3534" s="138">
        <f ca="1">'Acct Summary 7-8'!H36</f>
        <v>0</v>
      </c>
      <c r="D3534" s="2" t="str">
        <f t="shared" ca="1"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 ca="1">'Assets-Liab 5-6'!K4</f>
        <v>1282</v>
      </c>
      <c r="D3546" s="2" t="str">
        <f t="shared" ca="1" si="54"/>
        <v>Error?</v>
      </c>
    </row>
    <row r="3547" spans="1:4" x14ac:dyDescent="0.2">
      <c r="A3547" s="10">
        <v>3486</v>
      </c>
      <c r="D3547" s="2" t="str">
        <f t="shared" si="54"/>
        <v>OK</v>
      </c>
    </row>
    <row r="3548" spans="1:4" x14ac:dyDescent="0.2">
      <c r="A3548" s="5">
        <v>3487</v>
      </c>
      <c r="B3548" s="138">
        <f ca="1">'Assets-Liab 5-6'!K6</f>
        <v>0</v>
      </c>
      <c r="D3548" s="2" t="str">
        <f t="shared" ca="1" si="54"/>
        <v>Error?</v>
      </c>
    </row>
    <row r="3549" spans="1:4" x14ac:dyDescent="0.2">
      <c r="A3549" s="5">
        <v>3488</v>
      </c>
      <c r="B3549" s="138">
        <f ca="1">'Assets-Liab 5-6'!K10</f>
        <v>0</v>
      </c>
      <c r="D3549" s="2" t="str">
        <f t="shared" ca="1" si="54"/>
        <v>Error?</v>
      </c>
    </row>
    <row r="3550" spans="1:4" x14ac:dyDescent="0.2">
      <c r="A3550" s="5">
        <v>3489</v>
      </c>
      <c r="B3550" s="138">
        <f ca="1">'Assets-Liab 5-6'!K5</f>
        <v>460433</v>
      </c>
      <c r="D3550" s="2" t="str">
        <f t="shared" ca="1" si="54"/>
        <v>Error?</v>
      </c>
    </row>
    <row r="3551" spans="1:4" x14ac:dyDescent="0.2">
      <c r="A3551" s="5">
        <v>3490</v>
      </c>
      <c r="B3551" s="138">
        <f ca="1">'Assets-Liab 5-6'!K12</f>
        <v>0</v>
      </c>
      <c r="D3551" s="2" t="str">
        <f t="shared" ca="1" si="54"/>
        <v>Error?</v>
      </c>
    </row>
    <row r="3552" spans="1:4" x14ac:dyDescent="0.2">
      <c r="A3552" s="5">
        <v>3491</v>
      </c>
      <c r="B3552" s="138">
        <f ca="1">'Assets-Liab 5-6'!K13</f>
        <v>461715</v>
      </c>
      <c r="C3552" s="2" t="s">
        <v>573</v>
      </c>
      <c r="D3552" s="2" t="str">
        <f t="shared" ca="1"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 ca="1">'Assets-Liab 5-6'!K31</f>
        <v>0</v>
      </c>
      <c r="D3561" s="2" t="str">
        <f t="shared" ca="1" si="54"/>
        <v>Error?</v>
      </c>
    </row>
    <row r="3562" spans="1:4" x14ac:dyDescent="0.2">
      <c r="A3562" s="5">
        <v>3501</v>
      </c>
      <c r="B3562" s="138">
        <f ca="1">'Assets-Liab 5-6'!K32</f>
        <v>0</v>
      </c>
      <c r="D3562" s="2" t="str">
        <f t="shared" ca="1"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 ca="1">'Assets-Liab 5-6'!K34</f>
        <v>0</v>
      </c>
      <c r="C3565" s="2" t="s">
        <v>573</v>
      </c>
      <c r="D3565" s="2" t="str">
        <f t="shared" ca="1" si="54"/>
        <v>Error?</v>
      </c>
    </row>
    <row r="3566" spans="1:4" x14ac:dyDescent="0.2">
      <c r="A3566" s="5">
        <v>3505</v>
      </c>
      <c r="B3566" s="138">
        <f>'Assets-Liab 5-6'!K38</f>
        <v>0</v>
      </c>
      <c r="D3566" s="2" t="str">
        <f t="shared" si="54"/>
        <v>Error?</v>
      </c>
    </row>
    <row r="3567" spans="1:4" x14ac:dyDescent="0.2">
      <c r="A3567" s="5">
        <v>3506</v>
      </c>
      <c r="B3567" s="138">
        <f>'Assets-Liab 5-6'!K39</f>
        <v>461715</v>
      </c>
      <c r="D3567" s="2" t="str">
        <f t="shared" si="54"/>
        <v>Error?</v>
      </c>
    </row>
    <row r="3568" spans="1:4" x14ac:dyDescent="0.2">
      <c r="A3568" s="5">
        <v>3507</v>
      </c>
      <c r="B3568" s="138">
        <f ca="1">'Assets-Liab 5-6'!K41</f>
        <v>461715</v>
      </c>
      <c r="C3568" s="2" t="s">
        <v>573</v>
      </c>
      <c r="D3568" s="2" t="str">
        <f t="shared" ca="1" si="54"/>
        <v>Error?</v>
      </c>
    </row>
    <row r="3569" spans="1:4" x14ac:dyDescent="0.2">
      <c r="A3569" s="5">
        <v>3508</v>
      </c>
      <c r="B3569" s="138">
        <f ca="1">'Acct Summary 7-8'!K4</f>
        <v>10433</v>
      </c>
      <c r="C3569" s="2" t="s">
        <v>573</v>
      </c>
      <c r="D3569" s="2" t="str">
        <f t="shared" ca="1" si="54"/>
        <v>Error?</v>
      </c>
    </row>
    <row r="3570" spans="1:4" x14ac:dyDescent="0.2">
      <c r="A3570" s="5">
        <v>3509</v>
      </c>
      <c r="B3570" s="138">
        <f ca="1">'Acct Summary 7-8'!K6</f>
        <v>0</v>
      </c>
      <c r="C3570" s="2" t="s">
        <v>573</v>
      </c>
      <c r="D3570" s="2" t="str">
        <f t="shared" ca="1" si="54"/>
        <v>Error?</v>
      </c>
    </row>
    <row r="3571" spans="1:4" x14ac:dyDescent="0.2">
      <c r="A3571" s="5">
        <v>3510</v>
      </c>
      <c r="B3571" s="138">
        <f ca="1">'Acct Summary 7-8'!K8</f>
        <v>10433</v>
      </c>
      <c r="C3571" s="2" t="s">
        <v>573</v>
      </c>
      <c r="D3571" s="2" t="str">
        <f t="shared" ca="1" si="54"/>
        <v>Error?</v>
      </c>
    </row>
    <row r="3572" spans="1:4" x14ac:dyDescent="0.2">
      <c r="A3572" s="5">
        <v>3511</v>
      </c>
      <c r="B3572" s="138">
        <f ca="1">'Acct Summary 7-8'!K13</f>
        <v>0</v>
      </c>
      <c r="C3572" s="2" t="s">
        <v>573</v>
      </c>
      <c r="D3572" s="2" t="str">
        <f t="shared" ca="1" si="54"/>
        <v>Error?</v>
      </c>
    </row>
    <row r="3573" spans="1:4" x14ac:dyDescent="0.2">
      <c r="A3573" s="5">
        <v>3512</v>
      </c>
      <c r="B3573" s="138">
        <f ca="1">'Acct Summary 7-8'!K15</f>
        <v>0</v>
      </c>
      <c r="C3573" s="2" t="s">
        <v>573</v>
      </c>
      <c r="D3573" s="2" t="str">
        <f t="shared" ca="1" si="54"/>
        <v>Error?</v>
      </c>
    </row>
    <row r="3574" spans="1:4" x14ac:dyDescent="0.2">
      <c r="A3574" s="5">
        <v>3513</v>
      </c>
      <c r="B3574" s="138">
        <f ca="1">'Acct Summary 7-8'!K16</f>
        <v>0</v>
      </c>
      <c r="C3574" s="2" t="s">
        <v>573</v>
      </c>
      <c r="D3574" s="2" t="str">
        <f t="shared" ca="1" si="54"/>
        <v>Error?</v>
      </c>
    </row>
    <row r="3575" spans="1:4" x14ac:dyDescent="0.2">
      <c r="A3575" s="5">
        <v>3514</v>
      </c>
      <c r="B3575" s="138">
        <f ca="1">'Acct Summary 7-8'!K17</f>
        <v>0</v>
      </c>
      <c r="C3575" s="2" t="s">
        <v>573</v>
      </c>
      <c r="D3575" s="2" t="str">
        <f t="shared" ca="1" si="54"/>
        <v>Error?</v>
      </c>
    </row>
    <row r="3576" spans="1:4" x14ac:dyDescent="0.2">
      <c r="A3576" s="5">
        <v>3515</v>
      </c>
      <c r="B3576" s="138">
        <f ca="1">'Acct Summary 7-8'!K20</f>
        <v>10433</v>
      </c>
      <c r="C3576" s="2" t="s">
        <v>573</v>
      </c>
      <c r="D3576" s="2" t="str">
        <f t="shared" ca="1" si="54"/>
        <v>Error?</v>
      </c>
    </row>
    <row r="3577" spans="1:4" x14ac:dyDescent="0.2">
      <c r="A3577" s="5">
        <v>3516</v>
      </c>
      <c r="B3577" s="138">
        <f ca="1">'Acct Summary 7-8'!K26</f>
        <v>0</v>
      </c>
      <c r="D3577" s="2" t="str">
        <f t="shared" ca="1" si="54"/>
        <v>Error?</v>
      </c>
    </row>
    <row r="3578" spans="1:4" x14ac:dyDescent="0.2">
      <c r="A3578" s="5">
        <v>3517</v>
      </c>
      <c r="B3578" s="138">
        <f ca="1">'Acct Summary 7-8'!K28</f>
        <v>0</v>
      </c>
      <c r="D3578" s="2" t="str">
        <f t="shared" ca="1" si="54"/>
        <v>Error?</v>
      </c>
    </row>
    <row r="3579" spans="1:4" x14ac:dyDescent="0.2">
      <c r="A3579" s="5">
        <v>3518</v>
      </c>
      <c r="B3579" s="138">
        <f ca="1">'Acct Summary 7-8'!K33</f>
        <v>0</v>
      </c>
      <c r="D3579" s="2" t="str">
        <f t="shared" ca="1" si="54"/>
        <v>Error?</v>
      </c>
    </row>
    <row r="3580" spans="1:4" x14ac:dyDescent="0.2">
      <c r="A3580" s="5">
        <v>3519</v>
      </c>
      <c r="B3580" s="138">
        <f ca="1">'Acct Summary 7-8'!K34</f>
        <v>0</v>
      </c>
      <c r="D3580" s="2" t="str">
        <f t="shared" ca="1" si="54"/>
        <v>Error?</v>
      </c>
    </row>
    <row r="3581" spans="1:4" x14ac:dyDescent="0.2">
      <c r="A3581" s="5">
        <v>3520</v>
      </c>
      <c r="B3581" s="138">
        <f ca="1">'Acct Summary 7-8'!K35</f>
        <v>0</v>
      </c>
      <c r="D3581" s="2" t="str">
        <f t="shared" ca="1" si="54"/>
        <v>Error?</v>
      </c>
    </row>
    <row r="3582" spans="1:4" x14ac:dyDescent="0.2">
      <c r="A3582" s="5">
        <v>3521</v>
      </c>
      <c r="B3582" s="138">
        <f ca="1">'Acct Summary 7-8'!K36</f>
        <v>0</v>
      </c>
      <c r="D3582" s="2" t="str">
        <f t="shared" ca="1" si="54"/>
        <v>Error?</v>
      </c>
    </row>
    <row r="3583" spans="1:4" x14ac:dyDescent="0.2">
      <c r="A3583" s="5">
        <v>3522</v>
      </c>
      <c r="B3583" s="138">
        <f ca="1">'Acct Summary 7-8'!K43</f>
        <v>0</v>
      </c>
      <c r="D3583" s="2" t="str">
        <f t="shared" ref="D3583:D3646" ca="1" si="55">IF(ISBLANK(B3583),"OK",IF(A3583-B3583=0,"OK","Error?"))</f>
        <v>Error?</v>
      </c>
    </row>
    <row r="3584" spans="1:4" x14ac:dyDescent="0.2">
      <c r="A3584" s="5">
        <v>3523</v>
      </c>
      <c r="B3584" s="138">
        <f ca="1">'Acct Summary 7-8'!K44</f>
        <v>0</v>
      </c>
      <c r="C3584" s="2" t="s">
        <v>573</v>
      </c>
      <c r="D3584" s="2" t="str">
        <f t="shared" ca="1" si="55"/>
        <v>Error?</v>
      </c>
    </row>
    <row r="3585" spans="1:4" x14ac:dyDescent="0.2">
      <c r="A3585" s="12">
        <v>3524</v>
      </c>
      <c r="B3585" s="138">
        <f ca="1">'Acct Summary 7-8'!K75</f>
        <v>0</v>
      </c>
      <c r="D3585" s="2" t="str">
        <f t="shared" ca="1" si="55"/>
        <v>Error?</v>
      </c>
    </row>
    <row r="3586" spans="1:4" x14ac:dyDescent="0.2">
      <c r="A3586" s="5">
        <v>3525</v>
      </c>
      <c r="B3586" s="138">
        <f ca="1">'Acct Summary 7-8'!K76</f>
        <v>0</v>
      </c>
      <c r="C3586" s="2" t="s">
        <v>573</v>
      </c>
      <c r="D3586" s="2" t="str">
        <f t="shared" ca="1" si="55"/>
        <v>Error?</v>
      </c>
    </row>
    <row r="3587" spans="1:4" x14ac:dyDescent="0.2">
      <c r="A3587" s="5">
        <v>3526</v>
      </c>
      <c r="B3587" s="138">
        <f ca="1">'Acct Summary 7-8'!K77</f>
        <v>0</v>
      </c>
      <c r="C3587" s="2" t="s">
        <v>573</v>
      </c>
      <c r="D3587" s="2" t="str">
        <f t="shared" ca="1" si="55"/>
        <v>Error?</v>
      </c>
    </row>
    <row r="3588" spans="1:4" x14ac:dyDescent="0.2">
      <c r="A3588" s="5">
        <v>3527</v>
      </c>
      <c r="B3588" s="138">
        <f ca="1">'Acct Summary 7-8'!K78</f>
        <v>10433</v>
      </c>
      <c r="C3588" s="2" t="s">
        <v>573</v>
      </c>
      <c r="D3588" s="2" t="str">
        <f t="shared" ca="1" si="55"/>
        <v>Error?</v>
      </c>
    </row>
    <row r="3589" spans="1:4" x14ac:dyDescent="0.2">
      <c r="A3589" s="5">
        <v>3528</v>
      </c>
      <c r="B3589" s="138">
        <f>'Acct Summary 7-8'!K79</f>
        <v>451282</v>
      </c>
      <c r="D3589" s="2" t="str">
        <f t="shared" si="55"/>
        <v>Error?</v>
      </c>
    </row>
    <row r="3590" spans="1:4" x14ac:dyDescent="0.2">
      <c r="A3590" s="5">
        <v>3529</v>
      </c>
      <c r="B3590" s="138">
        <f>'Acct Summary 7-8'!K80</f>
        <v>0</v>
      </c>
      <c r="D3590" s="2" t="str">
        <f t="shared" si="55"/>
        <v>Error?</v>
      </c>
    </row>
    <row r="3591" spans="1:4" x14ac:dyDescent="0.2">
      <c r="A3591" s="5">
        <v>3530</v>
      </c>
      <c r="B3591" s="138">
        <f ca="1">'Acct Summary 7-8'!K81</f>
        <v>461715</v>
      </c>
      <c r="C3591" s="2" t="s">
        <v>573</v>
      </c>
      <c r="D3591" s="2" t="str">
        <f t="shared" ca="1"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 ca="1">'Expenditures 15-22'!C348</f>
        <v>0</v>
      </c>
      <c r="D3617" s="2" t="str">
        <f t="shared" ca="1" si="55"/>
        <v>Error?</v>
      </c>
    </row>
    <row r="3618" spans="1:4" x14ac:dyDescent="0.2">
      <c r="A3618" s="5">
        <v>3557</v>
      </c>
      <c r="B3618" s="138">
        <f ca="1">'Expenditures 15-22'!C349</f>
        <v>0</v>
      </c>
      <c r="D3618" s="2" t="str">
        <f t="shared" ca="1" si="55"/>
        <v>Error?</v>
      </c>
    </row>
    <row r="3619" spans="1:4" x14ac:dyDescent="0.2">
      <c r="A3619" s="5">
        <v>3558</v>
      </c>
      <c r="B3619" s="138">
        <f ca="1">'Expenditures 15-22'!C350</f>
        <v>0</v>
      </c>
      <c r="C3619" s="2" t="s">
        <v>573</v>
      </c>
      <c r="D3619" s="2" t="str">
        <f t="shared" ca="1" si="55"/>
        <v>Error?</v>
      </c>
    </row>
    <row r="3620" spans="1:4" x14ac:dyDescent="0.2">
      <c r="A3620" s="5">
        <v>3559</v>
      </c>
      <c r="B3620" s="138">
        <f ca="1">'Expenditures 15-22'!C351</f>
        <v>0</v>
      </c>
      <c r="D3620" s="2" t="str">
        <f t="shared" ca="1" si="55"/>
        <v>Error?</v>
      </c>
    </row>
    <row r="3621" spans="1:4" x14ac:dyDescent="0.2">
      <c r="A3621" s="5">
        <v>3560</v>
      </c>
      <c r="B3621" s="138">
        <f ca="1">'Expenditures 15-22'!C352</f>
        <v>0</v>
      </c>
      <c r="C3621" s="2" t="s">
        <v>573</v>
      </c>
      <c r="D3621" s="2" t="str">
        <f t="shared" ca="1" si="55"/>
        <v>Error?</v>
      </c>
    </row>
    <row r="3622" spans="1:4" x14ac:dyDescent="0.2">
      <c r="A3622" s="5">
        <v>3561</v>
      </c>
      <c r="B3622" s="138">
        <f ca="1">'Expenditures 15-22'!C367</f>
        <v>0</v>
      </c>
      <c r="C3622" s="2" t="s">
        <v>573</v>
      </c>
      <c r="D3622" s="2" t="str">
        <f t="shared" ca="1" si="55"/>
        <v>Error?</v>
      </c>
    </row>
    <row r="3623" spans="1:4" x14ac:dyDescent="0.2">
      <c r="A3623" s="10">
        <v>3562</v>
      </c>
      <c r="D3623" s="2" t="str">
        <f t="shared" si="55"/>
        <v>OK</v>
      </c>
    </row>
    <row r="3624" spans="1:4" x14ac:dyDescent="0.2">
      <c r="A3624" s="5">
        <v>3563</v>
      </c>
      <c r="B3624" s="138">
        <f ca="1">'Expenditures 15-22'!D348</f>
        <v>0</v>
      </c>
      <c r="D3624" s="2" t="str">
        <f t="shared" ca="1" si="55"/>
        <v>Error?</v>
      </c>
    </row>
    <row r="3625" spans="1:4" x14ac:dyDescent="0.2">
      <c r="A3625" s="5">
        <v>3564</v>
      </c>
      <c r="B3625" s="138">
        <f ca="1">'Expenditures 15-22'!D349</f>
        <v>0</v>
      </c>
      <c r="D3625" s="2" t="str">
        <f t="shared" ca="1" si="55"/>
        <v>Error?</v>
      </c>
    </row>
    <row r="3626" spans="1:4" x14ac:dyDescent="0.2">
      <c r="A3626" s="5">
        <v>3565</v>
      </c>
      <c r="B3626" s="138">
        <f ca="1">'Expenditures 15-22'!D350</f>
        <v>0</v>
      </c>
      <c r="C3626" s="2" t="s">
        <v>573</v>
      </c>
      <c r="D3626" s="2" t="str">
        <f t="shared" ca="1" si="55"/>
        <v>Error?</v>
      </c>
    </row>
    <row r="3627" spans="1:4" x14ac:dyDescent="0.2">
      <c r="A3627" s="5">
        <v>3566</v>
      </c>
      <c r="B3627" s="138">
        <f ca="1">'Expenditures 15-22'!D351</f>
        <v>0</v>
      </c>
      <c r="D3627" s="2" t="str">
        <f t="shared" ca="1" si="55"/>
        <v>Error?</v>
      </c>
    </row>
    <row r="3628" spans="1:4" x14ac:dyDescent="0.2">
      <c r="A3628" s="5">
        <v>3567</v>
      </c>
      <c r="B3628" s="138">
        <f ca="1">'Expenditures 15-22'!D352</f>
        <v>0</v>
      </c>
      <c r="C3628" s="2" t="s">
        <v>573</v>
      </c>
      <c r="D3628" s="2" t="str">
        <f t="shared" ca="1" si="55"/>
        <v>Error?</v>
      </c>
    </row>
    <row r="3629" spans="1:4" x14ac:dyDescent="0.2">
      <c r="A3629" s="5">
        <v>3568</v>
      </c>
      <c r="B3629" s="138">
        <f ca="1">'Expenditures 15-22'!D367</f>
        <v>0</v>
      </c>
      <c r="C3629" s="2" t="s">
        <v>573</v>
      </c>
      <c r="D3629" s="2" t="str">
        <f t="shared" ca="1" si="55"/>
        <v>Error?</v>
      </c>
    </row>
    <row r="3630" spans="1:4" x14ac:dyDescent="0.2">
      <c r="A3630" s="10">
        <v>3569</v>
      </c>
      <c r="D3630" s="2" t="str">
        <f t="shared" si="55"/>
        <v>OK</v>
      </c>
    </row>
    <row r="3631" spans="1:4" x14ac:dyDescent="0.2">
      <c r="A3631" s="5">
        <v>3570</v>
      </c>
      <c r="B3631" s="138">
        <f ca="1">'Expenditures 15-22'!E348</f>
        <v>0</v>
      </c>
      <c r="D3631" s="2" t="str">
        <f t="shared" ca="1" si="55"/>
        <v>Error?</v>
      </c>
    </row>
    <row r="3632" spans="1:4" x14ac:dyDescent="0.2">
      <c r="A3632" s="5">
        <v>3571</v>
      </c>
      <c r="B3632" s="138">
        <f ca="1">'Expenditures 15-22'!E349</f>
        <v>0</v>
      </c>
      <c r="D3632" s="2" t="str">
        <f t="shared" ca="1" si="55"/>
        <v>Error?</v>
      </c>
    </row>
    <row r="3633" spans="1:4" x14ac:dyDescent="0.2">
      <c r="A3633" s="5">
        <v>3572</v>
      </c>
      <c r="B3633" s="138">
        <f ca="1">'Expenditures 15-22'!E350</f>
        <v>0</v>
      </c>
      <c r="C3633" s="2" t="s">
        <v>573</v>
      </c>
      <c r="D3633" s="2" t="str">
        <f t="shared" ca="1" si="55"/>
        <v>Error?</v>
      </c>
    </row>
    <row r="3634" spans="1:4" x14ac:dyDescent="0.2">
      <c r="A3634" s="5">
        <v>3573</v>
      </c>
      <c r="B3634" s="138">
        <f ca="1">'Expenditures 15-22'!E351</f>
        <v>0</v>
      </c>
      <c r="D3634" s="2" t="str">
        <f t="shared" ca="1" si="55"/>
        <v>Error?</v>
      </c>
    </row>
    <row r="3635" spans="1:4" x14ac:dyDescent="0.2">
      <c r="A3635" s="5">
        <v>3574</v>
      </c>
      <c r="B3635" s="138">
        <f ca="1">B3583</f>
        <v>0</v>
      </c>
      <c r="C3635" s="2" t="s">
        <v>573</v>
      </c>
      <c r="D3635" s="2" t="str">
        <f t="shared" ca="1" si="55"/>
        <v>Error?</v>
      </c>
    </row>
    <row r="3636" spans="1:4" x14ac:dyDescent="0.2">
      <c r="A3636" s="5">
        <v>3575</v>
      </c>
      <c r="B3636" s="138">
        <f ca="1">'Expenditures 15-22'!E367</f>
        <v>0</v>
      </c>
      <c r="C3636" s="2" t="s">
        <v>573</v>
      </c>
      <c r="D3636" s="2" t="str">
        <f t="shared" ca="1" si="55"/>
        <v>Error?</v>
      </c>
    </row>
    <row r="3637" spans="1:4" x14ac:dyDescent="0.2">
      <c r="A3637" s="10">
        <v>3576</v>
      </c>
      <c r="D3637" s="2" t="str">
        <f t="shared" si="55"/>
        <v>OK</v>
      </c>
    </row>
    <row r="3638" spans="1:4" x14ac:dyDescent="0.2">
      <c r="A3638" s="5">
        <v>3577</v>
      </c>
      <c r="B3638" s="138">
        <f ca="1">'Expenditures 15-22'!F348</f>
        <v>0</v>
      </c>
      <c r="D3638" s="2" t="str">
        <f t="shared" ca="1" si="55"/>
        <v>Error?</v>
      </c>
    </row>
    <row r="3639" spans="1:4" x14ac:dyDescent="0.2">
      <c r="A3639" s="5">
        <v>3578</v>
      </c>
      <c r="B3639" s="138">
        <f ca="1">'Expenditures 15-22'!F349</f>
        <v>0</v>
      </c>
      <c r="D3639" s="2" t="str">
        <f t="shared" ca="1" si="55"/>
        <v>Error?</v>
      </c>
    </row>
    <row r="3640" spans="1:4" x14ac:dyDescent="0.2">
      <c r="A3640" s="5">
        <v>3579</v>
      </c>
      <c r="B3640" s="138">
        <f ca="1">'Expenditures 15-22'!F350</f>
        <v>0</v>
      </c>
      <c r="C3640" s="2" t="s">
        <v>573</v>
      </c>
      <c r="D3640" s="2" t="str">
        <f t="shared" ca="1" si="55"/>
        <v>Error?</v>
      </c>
    </row>
    <row r="3641" spans="1:4" x14ac:dyDescent="0.2">
      <c r="A3641" s="5">
        <v>3580</v>
      </c>
      <c r="B3641" s="138">
        <f ca="1">'Expenditures 15-22'!F351</f>
        <v>0</v>
      </c>
      <c r="D3641" s="2" t="str">
        <f t="shared" ca="1" si="55"/>
        <v>Error?</v>
      </c>
    </row>
    <row r="3642" spans="1:4" x14ac:dyDescent="0.2">
      <c r="A3642" s="5">
        <v>3581</v>
      </c>
      <c r="B3642" s="138">
        <f ca="1">'Expenditures 15-22'!F352</f>
        <v>0</v>
      </c>
      <c r="C3642" s="2" t="s">
        <v>573</v>
      </c>
      <c r="D3642" s="2" t="str">
        <f t="shared" ca="1" si="55"/>
        <v>Error?</v>
      </c>
    </row>
    <row r="3643" spans="1:4" x14ac:dyDescent="0.2">
      <c r="A3643" s="5">
        <v>3582</v>
      </c>
      <c r="B3643" s="138">
        <f ca="1">'Expenditures 15-22'!F367</f>
        <v>0</v>
      </c>
      <c r="C3643" s="2" t="s">
        <v>573</v>
      </c>
      <c r="D3643" s="2" t="str">
        <f t="shared" ca="1" si="55"/>
        <v>Error?</v>
      </c>
    </row>
    <row r="3644" spans="1:4" x14ac:dyDescent="0.2">
      <c r="A3644" s="10">
        <v>3583</v>
      </c>
      <c r="D3644" s="2" t="str">
        <f t="shared" si="55"/>
        <v>OK</v>
      </c>
    </row>
    <row r="3645" spans="1:4" x14ac:dyDescent="0.2">
      <c r="A3645" s="5">
        <v>3584</v>
      </c>
      <c r="B3645" s="138">
        <f ca="1">'Expenditures 15-22'!G348</f>
        <v>0</v>
      </c>
      <c r="D3645" s="2" t="str">
        <f t="shared" ca="1" si="55"/>
        <v>Error?</v>
      </c>
    </row>
    <row r="3646" spans="1:4" x14ac:dyDescent="0.2">
      <c r="A3646" s="5">
        <v>3585</v>
      </c>
      <c r="B3646" s="138">
        <f ca="1">'Expenditures 15-22'!G349</f>
        <v>0</v>
      </c>
      <c r="D3646" s="2" t="str">
        <f t="shared" ca="1" si="55"/>
        <v>Error?</v>
      </c>
    </row>
    <row r="3647" spans="1:4" x14ac:dyDescent="0.2">
      <c r="A3647" s="5">
        <v>3586</v>
      </c>
      <c r="B3647" s="138">
        <f ca="1">'Expenditures 15-22'!G350</f>
        <v>0</v>
      </c>
      <c r="C3647" s="2" t="s">
        <v>573</v>
      </c>
      <c r="D3647" s="2" t="str">
        <f t="shared" ref="D3647:D3710" ca="1" si="56">IF(ISBLANK(B3647),"OK",IF(A3647-B3647=0,"OK","Error?"))</f>
        <v>Error?</v>
      </c>
    </row>
    <row r="3648" spans="1:4" x14ac:dyDescent="0.2">
      <c r="A3648" s="5">
        <v>3587</v>
      </c>
      <c r="B3648" s="138">
        <f ca="1">'Expenditures 15-22'!G351</f>
        <v>0</v>
      </c>
      <c r="D3648" s="2" t="str">
        <f t="shared" ca="1" si="56"/>
        <v>Error?</v>
      </c>
    </row>
    <row r="3649" spans="1:4" x14ac:dyDescent="0.2">
      <c r="A3649" s="5">
        <v>3588</v>
      </c>
      <c r="B3649" s="138">
        <f ca="1">'Expenditures 15-22'!G352</f>
        <v>0</v>
      </c>
      <c r="C3649" s="2" t="s">
        <v>573</v>
      </c>
      <c r="D3649" s="2" t="str">
        <f t="shared" ca="1" si="56"/>
        <v>Error?</v>
      </c>
    </row>
    <row r="3650" spans="1:4" x14ac:dyDescent="0.2">
      <c r="A3650" s="5">
        <v>3589</v>
      </c>
      <c r="B3650" s="138">
        <f ca="1">'Expenditures 15-22'!G367</f>
        <v>0</v>
      </c>
      <c r="C3650" s="2" t="s">
        <v>573</v>
      </c>
      <c r="D3650" s="2" t="str">
        <f t="shared" ca="1" si="56"/>
        <v>Error?</v>
      </c>
    </row>
    <row r="3651" spans="1:4" x14ac:dyDescent="0.2">
      <c r="A3651" s="10">
        <v>3590</v>
      </c>
      <c r="D3651" s="2" t="str">
        <f t="shared" si="56"/>
        <v>OK</v>
      </c>
    </row>
    <row r="3652" spans="1:4" x14ac:dyDescent="0.2">
      <c r="A3652" s="5">
        <v>3591</v>
      </c>
      <c r="B3652" s="138">
        <f ca="1">'Expenditures 15-22'!H348</f>
        <v>0</v>
      </c>
      <c r="D3652" s="2" t="str">
        <f t="shared" ca="1" si="56"/>
        <v>Error?</v>
      </c>
    </row>
    <row r="3653" spans="1:4" x14ac:dyDescent="0.2">
      <c r="A3653" s="5">
        <v>3592</v>
      </c>
      <c r="B3653" s="138">
        <f ca="1">'Expenditures 15-22'!H349</f>
        <v>0</v>
      </c>
      <c r="D3653" s="2" t="str">
        <f t="shared" ca="1" si="56"/>
        <v>Error?</v>
      </c>
    </row>
    <row r="3654" spans="1:4" x14ac:dyDescent="0.2">
      <c r="A3654" s="5">
        <v>3593</v>
      </c>
      <c r="B3654" s="138">
        <f ca="1">'Expenditures 15-22'!H350</f>
        <v>0</v>
      </c>
      <c r="C3654" s="2" t="s">
        <v>573</v>
      </c>
      <c r="D3654" s="2" t="str">
        <f t="shared" ca="1" si="56"/>
        <v>Error?</v>
      </c>
    </row>
    <row r="3655" spans="1:4" x14ac:dyDescent="0.2">
      <c r="A3655" s="5">
        <v>3594</v>
      </c>
      <c r="B3655" s="138">
        <f ca="1">'Expenditures 15-22'!H351</f>
        <v>0</v>
      </c>
      <c r="D3655" s="2" t="str">
        <f t="shared" ca="1" si="56"/>
        <v>Error?</v>
      </c>
    </row>
    <row r="3656" spans="1:4" x14ac:dyDescent="0.2">
      <c r="A3656" s="5">
        <v>3595</v>
      </c>
      <c r="B3656" s="138">
        <f ca="1">'Expenditures 15-22'!H352</f>
        <v>0</v>
      </c>
      <c r="C3656" s="2" t="s">
        <v>573</v>
      </c>
      <c r="D3656" s="2" t="str">
        <f t="shared" ca="1" si="56"/>
        <v>Error?</v>
      </c>
    </row>
    <row r="3657" spans="1:4" x14ac:dyDescent="0.2">
      <c r="A3657" s="5">
        <v>3596</v>
      </c>
      <c r="B3657" s="138">
        <f ca="1">'Expenditures 15-22'!H360</f>
        <v>0</v>
      </c>
      <c r="D3657" s="2" t="str">
        <f t="shared" ca="1" si="56"/>
        <v>Error?</v>
      </c>
    </row>
    <row r="3658" spans="1:4" x14ac:dyDescent="0.2">
      <c r="A3658" s="12">
        <v>3597</v>
      </c>
      <c r="B3658" s="138">
        <f ca="1">'Expenditures 15-22'!H362</f>
        <v>0</v>
      </c>
      <c r="D3658" s="2" t="str">
        <f t="shared" ca="1" si="56"/>
        <v>Error?</v>
      </c>
    </row>
    <row r="3659" spans="1:4" x14ac:dyDescent="0.2">
      <c r="A3659" s="10">
        <v>3598</v>
      </c>
      <c r="D3659" s="2" t="str">
        <f t="shared" si="56"/>
        <v>OK</v>
      </c>
    </row>
    <row r="3660" spans="1:4" x14ac:dyDescent="0.2">
      <c r="A3660" s="5">
        <v>3599</v>
      </c>
      <c r="B3660" s="138">
        <f ca="1">'Expenditures 15-22'!H367</f>
        <v>0</v>
      </c>
      <c r="C3660" s="2" t="s">
        <v>573</v>
      </c>
      <c r="D3660" s="2" t="str">
        <f t="shared" ca="1"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 ca="1">'Expenditures 15-22'!K348</f>
        <v>0</v>
      </c>
      <c r="C3668" s="2" t="s">
        <v>573</v>
      </c>
      <c r="D3668" s="2" t="str">
        <f t="shared" ca="1" si="56"/>
        <v>Error?</v>
      </c>
    </row>
    <row r="3669" spans="1:4" x14ac:dyDescent="0.2">
      <c r="A3669" s="5">
        <v>3608</v>
      </c>
      <c r="B3669" s="138">
        <f ca="1">'Expenditures 15-22'!K349</f>
        <v>0</v>
      </c>
      <c r="C3669" s="2" t="s">
        <v>573</v>
      </c>
      <c r="D3669" s="2" t="str">
        <f t="shared" ca="1" si="56"/>
        <v>Error?</v>
      </c>
    </row>
    <row r="3670" spans="1:4" x14ac:dyDescent="0.2">
      <c r="A3670" s="5">
        <v>3609</v>
      </c>
      <c r="B3670" s="138">
        <f ca="1">'Expenditures 15-22'!K350</f>
        <v>0</v>
      </c>
      <c r="C3670" s="2" t="s">
        <v>573</v>
      </c>
      <c r="D3670" s="2" t="str">
        <f t="shared" ca="1" si="56"/>
        <v>Error?</v>
      </c>
    </row>
    <row r="3671" spans="1:4" x14ac:dyDescent="0.2">
      <c r="A3671" s="5">
        <v>3610</v>
      </c>
      <c r="B3671" s="138">
        <f ca="1">'Expenditures 15-22'!K351</f>
        <v>0</v>
      </c>
      <c r="C3671" s="2" t="s">
        <v>573</v>
      </c>
      <c r="D3671" s="2" t="str">
        <f t="shared" ca="1" si="56"/>
        <v>Error?</v>
      </c>
    </row>
    <row r="3672" spans="1:4" x14ac:dyDescent="0.2">
      <c r="A3672" s="5">
        <v>3611</v>
      </c>
      <c r="B3672" s="138">
        <f ca="1">'Expenditures 15-22'!K352</f>
        <v>0</v>
      </c>
      <c r="C3672" s="2" t="s">
        <v>573</v>
      </c>
      <c r="D3672" s="2" t="str">
        <f t="shared" ca="1" si="56"/>
        <v>Error?</v>
      </c>
    </row>
    <row r="3673" spans="1:4" x14ac:dyDescent="0.2">
      <c r="A3673" s="5">
        <v>3612</v>
      </c>
      <c r="B3673" s="138">
        <f ca="1">'Expenditures 15-22'!K354</f>
        <v>0</v>
      </c>
      <c r="C3673" s="2" t="s">
        <v>573</v>
      </c>
      <c r="D3673" s="2" t="str">
        <f t="shared" ca="1" si="56"/>
        <v>Error?</v>
      </c>
    </row>
    <row r="3674" spans="1:4" x14ac:dyDescent="0.2">
      <c r="A3674" s="12">
        <v>3613</v>
      </c>
      <c r="B3674" s="138">
        <f ca="1">'Expenditures 15-22'!K355</f>
        <v>0</v>
      </c>
      <c r="D3674" s="2" t="str">
        <f t="shared" ca="1" si="56"/>
        <v>Error?</v>
      </c>
    </row>
    <row r="3675" spans="1:4" x14ac:dyDescent="0.2">
      <c r="A3675" s="5">
        <v>3614</v>
      </c>
      <c r="B3675" s="138">
        <f ca="1">'Expenditures 15-22'!K360</f>
        <v>0</v>
      </c>
      <c r="C3675" s="2" t="s">
        <v>573</v>
      </c>
      <c r="D3675" s="2" t="str">
        <f t="shared" ca="1" si="56"/>
        <v>Error?</v>
      </c>
    </row>
    <row r="3676" spans="1:4" x14ac:dyDescent="0.2">
      <c r="A3676" s="12">
        <v>3615</v>
      </c>
      <c r="B3676" s="138">
        <f ca="1">'Expenditures 15-22'!K362</f>
        <v>0</v>
      </c>
      <c r="D3676" s="2" t="str">
        <f t="shared" ca="1" si="56"/>
        <v>Error?</v>
      </c>
    </row>
    <row r="3677" spans="1:4" x14ac:dyDescent="0.2">
      <c r="A3677" s="10">
        <v>3616</v>
      </c>
      <c r="D3677" s="2" t="str">
        <f t="shared" si="56"/>
        <v>OK</v>
      </c>
    </row>
    <row r="3678" spans="1:4" x14ac:dyDescent="0.2">
      <c r="A3678" s="5">
        <v>3617</v>
      </c>
      <c r="B3678" s="138">
        <f ca="1">'Expenditures 15-22'!K367</f>
        <v>0</v>
      </c>
      <c r="C3678" s="2" t="s">
        <v>573</v>
      </c>
      <c r="D3678" s="2" t="str">
        <f t="shared" ca="1"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 ca="1">'Expenditures 15-22'!K368</f>
        <v>10433</v>
      </c>
      <c r="C3681" s="2" t="s">
        <v>573</v>
      </c>
      <c r="D3681" s="2" t="str">
        <f t="shared" ca="1"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 ca="1">'Acct Summary 7-8'!D30</f>
        <v>0</v>
      </c>
      <c r="D3698" s="2" t="str">
        <f t="shared" ca="1" si="56"/>
        <v>Error?</v>
      </c>
    </row>
    <row r="3699" spans="1:4" x14ac:dyDescent="0.2">
      <c r="A3699" s="5">
        <v>3638</v>
      </c>
      <c r="B3699" s="138">
        <f ca="1">'Acct Summary 7-8'!E31</f>
        <v>0</v>
      </c>
      <c r="D3699" s="2" t="str">
        <f t="shared" ca="1"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 ca="1">'Acct Summary 7-8'!K52</f>
        <v>0</v>
      </c>
      <c r="C3702" s="2" t="s">
        <v>573</v>
      </c>
      <c r="D3702" s="2" t="str">
        <f t="shared" ca="1" si="56"/>
        <v>Error?</v>
      </c>
    </row>
    <row r="3703" spans="1:4" x14ac:dyDescent="0.2">
      <c r="A3703" s="5">
        <v>3642</v>
      </c>
      <c r="B3703" s="138">
        <f ca="1">'Acct Summary 7-8'!K53</f>
        <v>0</v>
      </c>
      <c r="C3703" s="2" t="s">
        <v>573</v>
      </c>
      <c r="D3703" s="2" t="str">
        <f t="shared" ca="1"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 ca="1">'Expenditures 15-22'!K309</f>
        <v>0</v>
      </c>
      <c r="C3717" s="2" t="s">
        <v>573</v>
      </c>
      <c r="D3717" s="2" t="str">
        <f t="shared" ca="1" si="57"/>
        <v>Error?</v>
      </c>
    </row>
    <row r="3718" spans="1:4" x14ac:dyDescent="0.2">
      <c r="A3718" s="5">
        <v>3657</v>
      </c>
      <c r="B3718" s="138">
        <f ca="1">'Acct Summary 7-8'!K7</f>
        <v>0</v>
      </c>
      <c r="C3718" s="2" t="s">
        <v>573</v>
      </c>
      <c r="D3718" s="2" t="str">
        <f t="shared" ca="1"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 ca="1">'Expenditures 15-22'!D283</f>
        <v>0</v>
      </c>
      <c r="D3721" s="2" t="str">
        <f t="shared" ca="1" si="57"/>
        <v>Error?</v>
      </c>
    </row>
    <row r="3722" spans="1:4" x14ac:dyDescent="0.2">
      <c r="A3722" s="5">
        <v>3661</v>
      </c>
      <c r="B3722" s="138">
        <f ca="1">'Expenditures 15-22'!D285</f>
        <v>0</v>
      </c>
      <c r="C3722" s="2" t="s">
        <v>573</v>
      </c>
      <c r="D3722" s="2" t="str">
        <f t="shared" ca="1" si="57"/>
        <v>Error?</v>
      </c>
    </row>
    <row r="3723" spans="1:4" x14ac:dyDescent="0.2">
      <c r="A3723" s="5">
        <v>3662</v>
      </c>
      <c r="B3723" s="138">
        <f ca="1">'Expenditures 15-22'!K283</f>
        <v>0</v>
      </c>
      <c r="C3723" s="2" t="s">
        <v>573</v>
      </c>
      <c r="D3723" s="2" t="str">
        <f t="shared" ca="1" si="57"/>
        <v>Error?</v>
      </c>
    </row>
    <row r="3724" spans="1:4" x14ac:dyDescent="0.2">
      <c r="A3724" s="5">
        <v>3663</v>
      </c>
      <c r="B3724" s="138">
        <f ca="1">'Expenditures 15-22'!K285</f>
        <v>0</v>
      </c>
      <c r="C3724" s="2" t="s">
        <v>573</v>
      </c>
      <c r="D3724" s="2" t="str">
        <f t="shared" ca="1" si="57"/>
        <v>Error?</v>
      </c>
    </row>
    <row r="3725" spans="1:4" x14ac:dyDescent="0.2">
      <c r="A3725" s="5">
        <v>3664</v>
      </c>
      <c r="B3725" s="138">
        <f ca="1">'Tax Sched 23'!B13</f>
        <v>141133</v>
      </c>
      <c r="C3725" s="2" t="s">
        <v>573</v>
      </c>
      <c r="D3725" s="2" t="str">
        <f t="shared" ca="1" si="57"/>
        <v>Error?</v>
      </c>
    </row>
    <row r="3726" spans="1:4" x14ac:dyDescent="0.2">
      <c r="A3726" s="5">
        <v>3665</v>
      </c>
      <c r="B3726" s="138">
        <f ca="1">'Tax Sched 23'!D13</f>
        <v>141133</v>
      </c>
      <c r="C3726" s="2" t="s">
        <v>573</v>
      </c>
      <c r="D3726" s="2" t="str">
        <f t="shared" ca="1" si="57"/>
        <v>Error?</v>
      </c>
    </row>
    <row r="3727" spans="1:4" x14ac:dyDescent="0.2">
      <c r="A3727" s="5">
        <v>3666</v>
      </c>
      <c r="B3727" s="138">
        <f>'Tax Sched 23'!C13</f>
        <v>0</v>
      </c>
      <c r="D3727" s="2" t="str">
        <f t="shared" si="57"/>
        <v>Error?</v>
      </c>
    </row>
    <row r="3728" spans="1:4" x14ac:dyDescent="0.2">
      <c r="A3728" s="5">
        <v>3667</v>
      </c>
      <c r="B3728" s="138">
        <f>'Tax Sched 23'!F13</f>
        <v>146721</v>
      </c>
      <c r="C3728" s="2" t="s">
        <v>573</v>
      </c>
      <c r="D3728" s="2" t="str">
        <f t="shared" si="57"/>
        <v>Error?</v>
      </c>
    </row>
    <row r="3729" spans="1:4" x14ac:dyDescent="0.2">
      <c r="A3729" s="5">
        <v>3668</v>
      </c>
      <c r="B3729" s="138">
        <f>'Tax Sched 23'!E13</f>
        <v>146721</v>
      </c>
      <c r="D3729" s="2" t="str">
        <f t="shared" si="57"/>
        <v>Error?</v>
      </c>
    </row>
    <row r="3730" spans="1:4" x14ac:dyDescent="0.2">
      <c r="A3730" s="5">
        <v>3669</v>
      </c>
      <c r="B3730" s="138">
        <f>'ICR Computation 30'!E10</f>
        <v>279400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 ca="1">'Expenditures 15-22'!C120</f>
        <v>0</v>
      </c>
      <c r="D4074" s="2" t="str">
        <f t="shared" ca="1" si="62"/>
        <v>Error?</v>
      </c>
    </row>
    <row r="4075" spans="1:4" x14ac:dyDescent="0.2">
      <c r="A4075" s="5">
        <v>4014</v>
      </c>
      <c r="B4075" s="138">
        <f ca="1">'Expenditures 15-22'!D120</f>
        <v>0</v>
      </c>
      <c r="D4075" s="2" t="str">
        <f t="shared" ca="1" si="62"/>
        <v>Error?</v>
      </c>
    </row>
    <row r="4076" spans="1:4" x14ac:dyDescent="0.2">
      <c r="A4076" s="5">
        <v>4015</v>
      </c>
      <c r="B4076" s="138">
        <f ca="1">'Expenditures 15-22'!E120</f>
        <v>0</v>
      </c>
      <c r="D4076" s="2" t="str">
        <f t="shared" ca="1" si="62"/>
        <v>Error?</v>
      </c>
    </row>
    <row r="4077" spans="1:4" x14ac:dyDescent="0.2">
      <c r="A4077" s="5">
        <v>4016</v>
      </c>
      <c r="B4077" s="138">
        <f ca="1">'Expenditures 15-22'!F120</f>
        <v>0</v>
      </c>
      <c r="D4077" s="2" t="str">
        <f t="shared" ca="1" si="62"/>
        <v>Error?</v>
      </c>
    </row>
    <row r="4078" spans="1:4" x14ac:dyDescent="0.2">
      <c r="A4078" s="5">
        <v>4017</v>
      </c>
      <c r="B4078" s="138">
        <f ca="1">'Expenditures 15-22'!G120</f>
        <v>0</v>
      </c>
      <c r="D4078" s="2" t="str">
        <f t="shared" ca="1" si="62"/>
        <v>Error?</v>
      </c>
    </row>
    <row r="4079" spans="1:4" x14ac:dyDescent="0.2">
      <c r="A4079" s="5">
        <v>4018</v>
      </c>
      <c r="B4079" s="138">
        <f ca="1">'Expenditures 15-22'!H120</f>
        <v>0</v>
      </c>
      <c r="D4079" s="2" t="str">
        <f t="shared" ca="1" si="62"/>
        <v>Error?</v>
      </c>
    </row>
    <row r="4080" spans="1:4" x14ac:dyDescent="0.2">
      <c r="A4080" s="5">
        <v>4019</v>
      </c>
      <c r="B4080" s="138">
        <f ca="1">'Expenditures 15-22'!K120</f>
        <v>0</v>
      </c>
      <c r="C4080" s="2" t="s">
        <v>573</v>
      </c>
      <c r="D4080" s="2" t="str">
        <f t="shared" ca="1" si="62"/>
        <v>Error?</v>
      </c>
    </row>
    <row r="4081" spans="1:4" x14ac:dyDescent="0.2">
      <c r="A4081" s="5">
        <v>4020</v>
      </c>
      <c r="B4081" s="138">
        <f ca="1">'Expenditures 15-22'!C180</f>
        <v>0</v>
      </c>
      <c r="D4081" s="2" t="str">
        <f t="shared" ca="1" si="62"/>
        <v>Error?</v>
      </c>
    </row>
    <row r="4082" spans="1:4" x14ac:dyDescent="0.2">
      <c r="A4082" s="5">
        <v>4021</v>
      </c>
      <c r="B4082" s="138">
        <f ca="1">'Expenditures 15-22'!D180</f>
        <v>0</v>
      </c>
      <c r="D4082" s="2" t="str">
        <f t="shared" ca="1" si="62"/>
        <v>Error?</v>
      </c>
    </row>
    <row r="4083" spans="1:4" x14ac:dyDescent="0.2">
      <c r="A4083" s="5">
        <v>4022</v>
      </c>
      <c r="B4083" s="138">
        <f ca="1">'Expenditures 15-22'!E180</f>
        <v>0</v>
      </c>
      <c r="D4083" s="2" t="str">
        <f t="shared" ca="1" si="62"/>
        <v>Error?</v>
      </c>
    </row>
    <row r="4084" spans="1:4" x14ac:dyDescent="0.2">
      <c r="A4084" s="5">
        <v>4023</v>
      </c>
      <c r="B4084" s="138">
        <f ca="1">'Expenditures 15-22'!F180</f>
        <v>0</v>
      </c>
      <c r="D4084" s="2" t="str">
        <f t="shared" ca="1" si="62"/>
        <v>Error?</v>
      </c>
    </row>
    <row r="4085" spans="1:4" x14ac:dyDescent="0.2">
      <c r="A4085" s="5">
        <v>4024</v>
      </c>
      <c r="B4085" s="138">
        <f ca="1">'Expenditures 15-22'!G180</f>
        <v>0</v>
      </c>
      <c r="D4085" s="2" t="str">
        <f t="shared" ca="1" si="62"/>
        <v>Error?</v>
      </c>
    </row>
    <row r="4086" spans="1:4" x14ac:dyDescent="0.2">
      <c r="A4086" s="5">
        <v>4025</v>
      </c>
      <c r="B4086" s="138">
        <f ca="1">'Expenditures 15-22'!H180</f>
        <v>0</v>
      </c>
      <c r="D4086" s="2" t="str">
        <f t="shared" ca="1" si="62"/>
        <v>Error?</v>
      </c>
    </row>
    <row r="4087" spans="1:4" x14ac:dyDescent="0.2">
      <c r="A4087" s="5">
        <v>4026</v>
      </c>
      <c r="B4087" s="138">
        <f ca="1">'Expenditures 15-22'!K180</f>
        <v>0</v>
      </c>
      <c r="C4087" s="2" t="s">
        <v>573</v>
      </c>
      <c r="D4087" s="2" t="str">
        <f t="shared" ca="1"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 ca="1">'Expenditures 15-22'!K307</f>
        <v>0</v>
      </c>
      <c r="C4099" s="2" t="s">
        <v>573</v>
      </c>
      <c r="D4099" s="2" t="str">
        <f t="shared" ca="1" si="63"/>
        <v>Error?</v>
      </c>
    </row>
    <row r="4100" spans="1:4" x14ac:dyDescent="0.2">
      <c r="A4100" s="5">
        <v>4039</v>
      </c>
      <c r="B4100" s="138">
        <f ca="1">'Expenditures 15-22'!K308</f>
        <v>0</v>
      </c>
      <c r="C4100" s="2" t="s">
        <v>573</v>
      </c>
      <c r="D4100" s="2" t="str">
        <f t="shared" ca="1" si="63"/>
        <v>Error?</v>
      </c>
    </row>
    <row r="4101" spans="1:4" x14ac:dyDescent="0.2">
      <c r="A4101" s="10">
        <v>4040</v>
      </c>
      <c r="C4101" s="2" t="s">
        <v>573</v>
      </c>
      <c r="D4101" s="2" t="str">
        <f t="shared" si="63"/>
        <v>OK</v>
      </c>
    </row>
    <row r="4102" spans="1:4" x14ac:dyDescent="0.2">
      <c r="A4102" s="5">
        <v>4041</v>
      </c>
      <c r="B4102" s="138">
        <f ca="1">'Tax Sched 23'!B17</f>
        <v>0</v>
      </c>
      <c r="C4102" s="2" t="s">
        <v>573</v>
      </c>
      <c r="D4102" s="2" t="str">
        <f t="shared" ca="1" si="63"/>
        <v>Error?</v>
      </c>
    </row>
    <row r="4103" spans="1:4" x14ac:dyDescent="0.2">
      <c r="A4103" s="5">
        <v>4042</v>
      </c>
      <c r="B4103" s="138">
        <f ca="1">'Tax Sched 23'!B18</f>
        <v>0</v>
      </c>
      <c r="C4103" s="2" t="s">
        <v>573</v>
      </c>
      <c r="D4103" s="2" t="str">
        <f t="shared" ca="1" si="63"/>
        <v>Error?</v>
      </c>
    </row>
    <row r="4104" spans="1:4" x14ac:dyDescent="0.2">
      <c r="A4104" s="5">
        <v>4043</v>
      </c>
      <c r="B4104" s="138">
        <f ca="1">'Tax Sched 23'!D17</f>
        <v>0</v>
      </c>
      <c r="C4104" s="2" t="s">
        <v>573</v>
      </c>
      <c r="D4104" s="2" t="str">
        <f t="shared" ca="1" si="63"/>
        <v>Error?</v>
      </c>
    </row>
    <row r="4105" spans="1:4" x14ac:dyDescent="0.2">
      <c r="A4105" s="5">
        <v>4044</v>
      </c>
      <c r="B4105" s="138">
        <f ca="1">'Tax Sched 23'!D18</f>
        <v>0</v>
      </c>
      <c r="C4105" s="2" t="s">
        <v>573</v>
      </c>
      <c r="D4105" s="2" t="str">
        <f t="shared" ca="1"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6953924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 ca="1">'Acct Summary 7-8'!C10</f>
        <v>24428969</v>
      </c>
      <c r="C4122" s="2" t="s">
        <v>573</v>
      </c>
      <c r="D4122" s="2" t="str">
        <f t="shared" ca="1" si="63"/>
        <v>Error?</v>
      </c>
    </row>
    <row r="4123" spans="1:4" x14ac:dyDescent="0.2">
      <c r="A4123" s="5">
        <v>4062</v>
      </c>
      <c r="B4123" s="138">
        <f ca="1">'Acct Summary 7-8'!D10</f>
        <v>1010637</v>
      </c>
      <c r="C4123" s="2" t="s">
        <v>573</v>
      </c>
      <c r="D4123" s="2" t="str">
        <f t="shared" ca="1" si="63"/>
        <v>Error?</v>
      </c>
    </row>
    <row r="4124" spans="1:4" x14ac:dyDescent="0.2">
      <c r="A4124" s="5">
        <v>4063</v>
      </c>
      <c r="B4124" s="138">
        <f ca="1">'Acct Summary 7-8'!E10</f>
        <v>2999684</v>
      </c>
      <c r="C4124" s="2" t="s">
        <v>573</v>
      </c>
      <c r="D4124" s="2" t="str">
        <f t="shared" ca="1" si="63"/>
        <v>Error?</v>
      </c>
    </row>
    <row r="4125" spans="1:4" x14ac:dyDescent="0.2">
      <c r="A4125" s="5">
        <v>4064</v>
      </c>
      <c r="B4125" s="138">
        <f ca="1">'Acct Summary 7-8'!F10</f>
        <v>1529878</v>
      </c>
      <c r="C4125" s="2" t="s">
        <v>573</v>
      </c>
      <c r="D4125" s="2" t="str">
        <f t="shared" ca="1" si="63"/>
        <v>Error?</v>
      </c>
    </row>
    <row r="4126" spans="1:4" x14ac:dyDescent="0.2">
      <c r="A4126" s="5">
        <v>4065</v>
      </c>
      <c r="B4126" s="138">
        <f ca="1">'Acct Summary 7-8'!G10</f>
        <v>919956</v>
      </c>
      <c r="C4126" s="2" t="s">
        <v>573</v>
      </c>
      <c r="D4126" s="2" t="str">
        <f t="shared" ca="1" si="63"/>
        <v>Error?</v>
      </c>
    </row>
    <row r="4127" spans="1:4" x14ac:dyDescent="0.2">
      <c r="A4127" s="5">
        <v>4066</v>
      </c>
      <c r="B4127" s="138">
        <f ca="1">'Acct Summary 7-8'!H10</f>
        <v>0</v>
      </c>
      <c r="C4127" s="2" t="s">
        <v>573</v>
      </c>
      <c r="D4127" s="2" t="str">
        <f t="shared" ca="1" si="63"/>
        <v>Error?</v>
      </c>
    </row>
    <row r="4128" spans="1:4" x14ac:dyDescent="0.2">
      <c r="A4128" s="5">
        <v>4067</v>
      </c>
      <c r="B4128" s="138">
        <f ca="1">'Acct Summary 7-8'!I10</f>
        <v>267385</v>
      </c>
      <c r="C4128" s="2" t="s">
        <v>573</v>
      </c>
      <c r="D4128" s="2" t="str">
        <f t="shared" ca="1" si="63"/>
        <v>Error?</v>
      </c>
    </row>
    <row r="4129" spans="1:4" x14ac:dyDescent="0.2">
      <c r="A4129" s="10">
        <v>4068</v>
      </c>
      <c r="C4129" s="2" t="s">
        <v>573</v>
      </c>
      <c r="D4129" s="2" t="str">
        <f t="shared" si="63"/>
        <v>OK</v>
      </c>
    </row>
    <row r="4130" spans="1:4" x14ac:dyDescent="0.2">
      <c r="A4130" s="5">
        <v>4069</v>
      </c>
      <c r="B4130" s="138">
        <f ca="1">'Acct Summary 7-8'!K10</f>
        <v>10433</v>
      </c>
      <c r="C4130" s="2" t="s">
        <v>573</v>
      </c>
      <c r="D4130" s="2" t="str">
        <f t="shared" ca="1" si="63"/>
        <v>Error?</v>
      </c>
    </row>
    <row r="4131" spans="1:4" x14ac:dyDescent="0.2">
      <c r="A4131" s="5">
        <v>4070</v>
      </c>
      <c r="B4131" s="138">
        <f>'Acct Summary 7-8'!C18</f>
        <v>6953924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 ca="1">'Acct Summary 7-8'!C19</f>
        <v>24129627</v>
      </c>
      <c r="C4136" s="2" t="s">
        <v>573</v>
      </c>
      <c r="D4136" s="2" t="str">
        <f t="shared" ca="1" si="63"/>
        <v>Error?</v>
      </c>
    </row>
    <row r="4137" spans="1:4" x14ac:dyDescent="0.2">
      <c r="A4137" s="5">
        <v>4076</v>
      </c>
      <c r="B4137" s="138">
        <f ca="1">'Acct Summary 7-8'!D19</f>
        <v>2084602</v>
      </c>
      <c r="C4137" s="2" t="s">
        <v>573</v>
      </c>
      <c r="D4137" s="2" t="str">
        <f t="shared" ca="1" si="63"/>
        <v>Error?</v>
      </c>
    </row>
    <row r="4138" spans="1:4" x14ac:dyDescent="0.2">
      <c r="A4138" s="5">
        <v>4077</v>
      </c>
      <c r="B4138" s="138">
        <f ca="1">'Acct Summary 7-8'!E19</f>
        <v>7571462</v>
      </c>
      <c r="C4138" s="2" t="s">
        <v>573</v>
      </c>
      <c r="D4138" s="2" t="str">
        <f t="shared" ca="1" si="63"/>
        <v>Error?</v>
      </c>
    </row>
    <row r="4139" spans="1:4" x14ac:dyDescent="0.2">
      <c r="A4139" s="5">
        <v>4078</v>
      </c>
      <c r="B4139" s="138">
        <f ca="1">'Acct Summary 7-8'!F19</f>
        <v>1441768</v>
      </c>
      <c r="C4139" s="2" t="s">
        <v>573</v>
      </c>
      <c r="D4139" s="2" t="str">
        <f t="shared" ca="1" si="63"/>
        <v>Error?</v>
      </c>
    </row>
    <row r="4140" spans="1:4" x14ac:dyDescent="0.2">
      <c r="A4140" s="5">
        <v>4079</v>
      </c>
      <c r="B4140" s="138">
        <f ca="1">'Acct Summary 7-8'!G19</f>
        <v>868258</v>
      </c>
      <c r="C4140" s="2" t="s">
        <v>573</v>
      </c>
      <c r="D4140" s="2" t="str">
        <f t="shared" ca="1" si="63"/>
        <v>Error?</v>
      </c>
    </row>
    <row r="4141" spans="1:4" x14ac:dyDescent="0.2">
      <c r="A4141" s="5">
        <v>4080</v>
      </c>
      <c r="B4141" s="138">
        <f ca="1">'Acct Summary 7-8'!H19</f>
        <v>0</v>
      </c>
      <c r="C4141" s="2" t="s">
        <v>573</v>
      </c>
      <c r="D4141" s="2" t="str">
        <f t="shared" ca="1"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 ca="1">'Acct Summary 7-8'!K19</f>
        <v>0</v>
      </c>
      <c r="C4144" s="2" t="s">
        <v>573</v>
      </c>
      <c r="D4144" s="2" t="str">
        <f t="shared" ca="1"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 ca="1">'Expenditures 15-22'!H204</f>
        <v>0</v>
      </c>
      <c r="C4156" s="2" t="s">
        <v>573</v>
      </c>
      <c r="D4156" s="2" t="str">
        <f t="shared" ca="1" si="63"/>
        <v>Error?</v>
      </c>
    </row>
    <row r="4157" spans="1:4" x14ac:dyDescent="0.2">
      <c r="A4157" s="5">
        <v>4096</v>
      </c>
      <c r="B4157" s="138">
        <f ca="1">'Expenditures 15-22'!K204</f>
        <v>0</v>
      </c>
      <c r="C4157" s="2" t="s">
        <v>573</v>
      </c>
      <c r="D4157" s="2" t="str">
        <f t="shared" ca="1"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 ca="1">'Expenditures 15-22'!D284</f>
        <v>0</v>
      </c>
      <c r="D4165" s="2" t="str">
        <f t="shared" ca="1" si="64"/>
        <v>Error?</v>
      </c>
    </row>
    <row r="4166" spans="1:4" x14ac:dyDescent="0.2">
      <c r="A4166" s="5">
        <v>4105</v>
      </c>
      <c r="B4166" s="138">
        <f ca="1">'Expenditures 15-22'!K284</f>
        <v>0</v>
      </c>
      <c r="C4166" s="2" t="s">
        <v>573</v>
      </c>
      <c r="D4166" s="2" t="str">
        <f t="shared" ca="1"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9936525</v>
      </c>
      <c r="C4171" s="2" t="s">
        <v>573</v>
      </c>
      <c r="D4171" s="2" t="str">
        <f t="shared" si="64"/>
        <v>Error?</v>
      </c>
    </row>
    <row r="4172" spans="1:4" x14ac:dyDescent="0.2">
      <c r="A4172" s="5">
        <v>4111</v>
      </c>
      <c r="B4172" s="138">
        <f>'Short-Term Long-Term Debt 24'!J49</f>
        <v>9981271</v>
      </c>
      <c r="C4172" s="2" t="s">
        <v>573</v>
      </c>
      <c r="D4172" s="2" t="str">
        <f t="shared" si="64"/>
        <v>Error?</v>
      </c>
    </row>
    <row r="4173" spans="1:4" x14ac:dyDescent="0.2">
      <c r="A4173" s="5">
        <v>4112</v>
      </c>
      <c r="B4173" s="138">
        <f>'Short-Term Long-Term Debt 24'!H49</f>
        <v>7045486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157334</v>
      </c>
      <c r="D4177" s="2" t="str">
        <f t="shared" si="64"/>
        <v>Error?</v>
      </c>
    </row>
    <row r="4178" spans="1:4" x14ac:dyDescent="0.2">
      <c r="A4178" s="10">
        <v>4117</v>
      </c>
      <c r="C4178" s="2" t="s">
        <v>573</v>
      </c>
      <c r="D4178" s="2" t="str">
        <f t="shared" si="64"/>
        <v>OK</v>
      </c>
    </row>
    <row r="4179" spans="1:4" x14ac:dyDescent="0.2">
      <c r="A4179" s="5">
        <v>4118</v>
      </c>
      <c r="B4179" s="138">
        <f ca="1">'Revenues 9-14'!D161</f>
        <v>0</v>
      </c>
      <c r="D4179" s="2" t="str">
        <f t="shared" ca="1" si="64"/>
        <v>Error?</v>
      </c>
    </row>
    <row r="4180" spans="1:4" x14ac:dyDescent="0.2">
      <c r="A4180" s="5">
        <v>4119</v>
      </c>
      <c r="B4180" s="138">
        <f ca="1">'Revenues 9-14'!F161</f>
        <v>0</v>
      </c>
      <c r="D4180" s="2" t="str">
        <f t="shared" ca="1" si="64"/>
        <v>Error?</v>
      </c>
    </row>
    <row r="4181" spans="1:4" x14ac:dyDescent="0.2">
      <c r="A4181" s="5">
        <v>4120</v>
      </c>
      <c r="B4181" s="138">
        <f ca="1">'Revenues 9-14'!G161</f>
        <v>0</v>
      </c>
      <c r="D4181" s="2" t="str">
        <f t="shared" ca="1"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 ca="1">'Revenues 9-14'!C260</f>
        <v>0</v>
      </c>
      <c r="D4189" s="2" t="str">
        <f t="shared" ca="1" si="64"/>
        <v>Error?</v>
      </c>
    </row>
    <row r="4190" spans="1:4" x14ac:dyDescent="0.2">
      <c r="A4190" s="5">
        <v>4129</v>
      </c>
      <c r="B4190" s="138">
        <f ca="1">'Revenues 9-14'!D260</f>
        <v>0</v>
      </c>
      <c r="D4190" s="2" t="str">
        <f t="shared" ca="1" si="64"/>
        <v>Error?</v>
      </c>
    </row>
    <row r="4191" spans="1:4" x14ac:dyDescent="0.2">
      <c r="A4191" s="5">
        <v>4130</v>
      </c>
      <c r="B4191" s="138">
        <f ca="1">'Revenues 9-14'!F260</f>
        <v>0</v>
      </c>
      <c r="D4191" s="2" t="str">
        <f t="shared" ca="1" si="64"/>
        <v>Error?</v>
      </c>
    </row>
    <row r="4192" spans="1:4" x14ac:dyDescent="0.2">
      <c r="A4192" s="5">
        <v>4131</v>
      </c>
      <c r="B4192" s="138">
        <f ca="1">'Revenues 9-14'!G260</f>
        <v>0</v>
      </c>
      <c r="D4192" s="2" t="str">
        <f t="shared" ca="1"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 ca="1">'Expenditures 15-22'!E134</f>
        <v>0</v>
      </c>
      <c r="D4199" s="2" t="str">
        <f t="shared" ca="1" si="64"/>
        <v>Error?</v>
      </c>
    </row>
    <row r="4200" spans="1:4" x14ac:dyDescent="0.2">
      <c r="A4200" s="5">
        <v>4139</v>
      </c>
      <c r="B4200" s="138">
        <f ca="1">'Expenditures 15-22'!E135</f>
        <v>0</v>
      </c>
      <c r="D4200" s="2" t="str">
        <f t="shared" ca="1" si="64"/>
        <v>Error?</v>
      </c>
    </row>
    <row r="4201" spans="1:4" x14ac:dyDescent="0.2">
      <c r="A4201" s="5">
        <v>4140</v>
      </c>
      <c r="B4201" s="138">
        <f ca="1">'Expenditures 15-22'!E136</f>
        <v>0</v>
      </c>
      <c r="D4201" s="2" t="str">
        <f t="shared" ca="1" si="64"/>
        <v>Error?</v>
      </c>
    </row>
    <row r="4202" spans="1:4" x14ac:dyDescent="0.2">
      <c r="A4202" s="5">
        <v>4141</v>
      </c>
      <c r="B4202" s="138">
        <f ca="1">'Expenditures 15-22'!E137</f>
        <v>0</v>
      </c>
      <c r="C4202" s="2" t="s">
        <v>573</v>
      </c>
      <c r="D4202" s="2" t="str">
        <f t="shared" ca="1" si="64"/>
        <v>Error?</v>
      </c>
    </row>
    <row r="4203" spans="1:4" x14ac:dyDescent="0.2">
      <c r="A4203" s="5">
        <v>4142</v>
      </c>
      <c r="B4203" s="138">
        <f ca="1">'Expenditures 15-22'!E139</f>
        <v>0</v>
      </c>
      <c r="C4203" s="2" t="s">
        <v>573</v>
      </c>
      <c r="D4203" s="2" t="str">
        <f t="shared" ca="1"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 ca="1">'Expenditures 15-22'!H206</f>
        <v>135348</v>
      </c>
      <c r="D4210" s="2" t="str">
        <f t="shared" ca="1" si="64"/>
        <v>Error?</v>
      </c>
    </row>
    <row r="4211" spans="1:4" x14ac:dyDescent="0.2">
      <c r="A4211" s="5">
        <v>4150</v>
      </c>
      <c r="B4211" s="138">
        <f ca="1">'Expenditures 15-22'!K206</f>
        <v>135348</v>
      </c>
      <c r="C4211" s="2" t="s">
        <v>573</v>
      </c>
      <c r="D4211" s="2" t="str">
        <f t="shared" ca="1"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 ca="1">'Revenues 9-14'!I168</f>
        <v>0</v>
      </c>
      <c r="D4215" s="2" t="str">
        <f t="shared" ca="1" si="64"/>
        <v>Error?</v>
      </c>
    </row>
    <row r="4216" spans="1:4" x14ac:dyDescent="0.2">
      <c r="A4216" s="5">
        <v>4155</v>
      </c>
      <c r="B4216" s="138">
        <f ca="1">'Revenues 9-14'!I170</f>
        <v>0</v>
      </c>
      <c r="C4216" s="2" t="s">
        <v>573</v>
      </c>
      <c r="D4216" s="2" t="str">
        <f t="shared" ca="1" si="64"/>
        <v>Error?</v>
      </c>
    </row>
    <row r="4217" spans="1:4" x14ac:dyDescent="0.2">
      <c r="A4217" s="5">
        <v>4156</v>
      </c>
      <c r="B4217" s="138">
        <f ca="1">'Acct Summary 7-8'!E36</f>
        <v>0</v>
      </c>
      <c r="D4217" s="2" t="str">
        <f t="shared" ca="1"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 ca="1">'Revenues 9-14'!C140</f>
        <v>0</v>
      </c>
      <c r="D4227" s="2" t="str">
        <f t="shared" ca="1" si="65"/>
        <v>Error?</v>
      </c>
    </row>
    <row r="4228" spans="1:5" x14ac:dyDescent="0.2">
      <c r="A4228" s="5">
        <v>4167</v>
      </c>
      <c r="B4228" s="138">
        <f ca="1">'Revenues 9-14'!D140</f>
        <v>0</v>
      </c>
      <c r="D4228" s="2" t="str">
        <f t="shared" ca="1" si="65"/>
        <v>Error?</v>
      </c>
    </row>
    <row r="4229" spans="1:5" x14ac:dyDescent="0.2">
      <c r="A4229" s="10">
        <v>4168</v>
      </c>
      <c r="D4229" s="2" t="str">
        <f t="shared" si="65"/>
        <v>OK</v>
      </c>
    </row>
    <row r="4230" spans="1:5" x14ac:dyDescent="0.2">
      <c r="A4230" s="5">
        <v>4169</v>
      </c>
      <c r="B4230" s="138">
        <f ca="1">'Revenues 9-14'!G140</f>
        <v>0</v>
      </c>
      <c r="D4230" s="2" t="str">
        <f t="shared" ca="1"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2240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2610</v>
      </c>
      <c r="C4268" s="2" t="s">
        <v>573</v>
      </c>
      <c r="D4268" s="2" t="str">
        <f t="shared" si="65"/>
        <v>Error?</v>
      </c>
    </row>
    <row r="4269" spans="1:5" x14ac:dyDescent="0.2">
      <c r="A4269" s="12">
        <v>4208</v>
      </c>
      <c r="B4269" s="138">
        <f ca="1">'FP Info 3'!J16</f>
        <v>9302815</v>
      </c>
      <c r="C4269" s="2" t="s">
        <v>573</v>
      </c>
      <c r="D4269" s="2" t="str">
        <f t="shared" ca="1"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 ca="1">'Revenues 9-14'!C131</f>
        <v>0</v>
      </c>
      <c r="D4309" s="2" t="str">
        <f t="shared" ca="1" si="66"/>
        <v>Error?</v>
      </c>
    </row>
    <row r="4310" spans="1:4" x14ac:dyDescent="0.2">
      <c r="A4310" s="5">
        <v>4249</v>
      </c>
      <c r="B4310" s="138">
        <f ca="1">'Revenues 9-14'!D131</f>
        <v>0</v>
      </c>
      <c r="D4310" s="2" t="str">
        <f t="shared" ca="1" si="66"/>
        <v>Error?</v>
      </c>
    </row>
    <row r="4311" spans="1:4" x14ac:dyDescent="0.2">
      <c r="A4311" s="5">
        <v>4250</v>
      </c>
      <c r="B4311" s="138">
        <f ca="1">'Revenues 9-14'!F131</f>
        <v>0</v>
      </c>
      <c r="D4311" s="2" t="str">
        <f t="shared" ca="1" si="66"/>
        <v>Error?</v>
      </c>
    </row>
    <row r="4312" spans="1:4" x14ac:dyDescent="0.2">
      <c r="A4312" s="5">
        <v>4251</v>
      </c>
      <c r="B4312" s="138">
        <f ca="1">'Revenues 9-14'!C150</f>
        <v>0</v>
      </c>
      <c r="D4312" s="2" t="str">
        <f t="shared" ca="1" si="66"/>
        <v>Error?</v>
      </c>
    </row>
    <row r="4313" spans="1:4" x14ac:dyDescent="0.2">
      <c r="A4313" s="5">
        <v>4252</v>
      </c>
      <c r="B4313" s="138">
        <f ca="1">'Revenues 9-14'!D150</f>
        <v>0</v>
      </c>
      <c r="D4313" s="2" t="str">
        <f t="shared" ca="1" si="66"/>
        <v>Error?</v>
      </c>
    </row>
    <row r="4314" spans="1:4" x14ac:dyDescent="0.2">
      <c r="A4314" s="5">
        <v>4253</v>
      </c>
      <c r="B4314" s="138">
        <f ca="1">'Revenues 9-14'!C154</f>
        <v>0</v>
      </c>
      <c r="D4314" s="2" t="str">
        <f t="shared" ca="1" si="66"/>
        <v>Error?</v>
      </c>
    </row>
    <row r="4315" spans="1:4" x14ac:dyDescent="0.2">
      <c r="A4315" s="5">
        <v>4254</v>
      </c>
      <c r="B4315" s="138">
        <f ca="1">'Revenues 9-14'!D154</f>
        <v>0</v>
      </c>
      <c r="D4315" s="2" t="str">
        <f t="shared" ca="1" si="66"/>
        <v>Error?</v>
      </c>
    </row>
    <row r="4316" spans="1:4" x14ac:dyDescent="0.2">
      <c r="A4316" s="5">
        <v>4255</v>
      </c>
      <c r="B4316" s="138">
        <f ca="1">'Revenues 9-14'!F154</f>
        <v>0</v>
      </c>
      <c r="D4316" s="2" t="str">
        <f t="shared" ca="1" si="66"/>
        <v>Error?</v>
      </c>
    </row>
    <row r="4317" spans="1:4" x14ac:dyDescent="0.2">
      <c r="A4317" s="5">
        <v>4256</v>
      </c>
      <c r="B4317" s="138">
        <f ca="1">'Revenues 9-14'!C164</f>
        <v>0</v>
      </c>
      <c r="D4317" s="2" t="str">
        <f t="shared" ca="1" si="66"/>
        <v>Error?</v>
      </c>
    </row>
    <row r="4318" spans="1:4" x14ac:dyDescent="0.2">
      <c r="A4318" s="5">
        <v>4257</v>
      </c>
      <c r="B4318" s="138">
        <f ca="1">'Revenues 9-14'!F164</f>
        <v>0</v>
      </c>
      <c r="D4318" s="2" t="str">
        <f t="shared" ca="1"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 ca="1">'Revenues 9-14'!C165</f>
        <v>0</v>
      </c>
      <c r="D4321" s="2" t="str">
        <f t="shared" ca="1" si="66"/>
        <v>Error?</v>
      </c>
    </row>
    <row r="4322" spans="1:4" x14ac:dyDescent="0.2">
      <c r="A4322" s="5">
        <v>4261</v>
      </c>
      <c r="B4322" s="138">
        <f ca="1">'Revenues 9-14'!F165</f>
        <v>0</v>
      </c>
      <c r="D4322" s="2" t="str">
        <f t="shared" ca="1"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 ca="1">'Revenues 9-14'!D166</f>
        <v>0</v>
      </c>
      <c r="D4327" s="2" t="str">
        <f t="shared" ca="1" si="66"/>
        <v>Error?</v>
      </c>
    </row>
    <row r="4328" spans="1:4" x14ac:dyDescent="0.2">
      <c r="A4328" s="5">
        <v>4267</v>
      </c>
      <c r="B4328" s="138">
        <f ca="1">'Revenues 9-14'!H166</f>
        <v>0</v>
      </c>
      <c r="D4328" s="2" t="str">
        <f t="shared" ca="1" si="66"/>
        <v>Error?</v>
      </c>
    </row>
    <row r="4329" spans="1:4" x14ac:dyDescent="0.2">
      <c r="A4329" s="5">
        <v>4268</v>
      </c>
      <c r="B4329" s="138">
        <f ca="1">'Revenues 9-14'!D167</f>
        <v>0</v>
      </c>
      <c r="D4329" s="2" t="str">
        <f t="shared" ca="1" si="66"/>
        <v>Error?</v>
      </c>
    </row>
    <row r="4330" spans="1:4" x14ac:dyDescent="0.2">
      <c r="A4330" s="5">
        <v>4269</v>
      </c>
      <c r="B4330" s="138">
        <f ca="1">'Revenues 9-14'!K167</f>
        <v>0</v>
      </c>
      <c r="D4330" s="2" t="str">
        <f t="shared" ca="1" si="66"/>
        <v>Error?</v>
      </c>
    </row>
    <row r="4331" spans="1:4" x14ac:dyDescent="0.2">
      <c r="A4331" s="5">
        <v>4270</v>
      </c>
      <c r="B4331" s="138">
        <f ca="1">'Revenues 9-14'!C197</f>
        <v>0</v>
      </c>
      <c r="D4331" s="2" t="str">
        <f t="shared" ca="1" si="66"/>
        <v>Error?</v>
      </c>
    </row>
    <row r="4332" spans="1:4" x14ac:dyDescent="0.2">
      <c r="A4332" s="5">
        <v>4271</v>
      </c>
      <c r="B4332" s="138">
        <f ca="1">'Revenues 9-14'!C203</f>
        <v>61110</v>
      </c>
      <c r="D4332" s="2" t="str">
        <f t="shared" ca="1" si="66"/>
        <v>Error?</v>
      </c>
    </row>
    <row r="4333" spans="1:4" x14ac:dyDescent="0.2">
      <c r="A4333" s="5">
        <v>4272</v>
      </c>
      <c r="B4333" s="138">
        <f ca="1">'Revenues 9-14'!D203</f>
        <v>0</v>
      </c>
      <c r="D4333" s="2" t="str">
        <f t="shared" ca="1" si="66"/>
        <v>Error?</v>
      </c>
    </row>
    <row r="4334" spans="1:4" x14ac:dyDescent="0.2">
      <c r="A4334" s="5">
        <v>4273</v>
      </c>
      <c r="B4334" s="138">
        <f ca="1">'Revenues 9-14'!F203</f>
        <v>0</v>
      </c>
      <c r="D4334" s="2" t="str">
        <f t="shared" ca="1" si="66"/>
        <v>Error?</v>
      </c>
    </row>
    <row r="4335" spans="1:4" x14ac:dyDescent="0.2">
      <c r="A4335" s="5">
        <v>4274</v>
      </c>
      <c r="B4335" s="138">
        <f ca="1">'Revenues 9-14'!G203</f>
        <v>0</v>
      </c>
      <c r="D4335" s="2" t="str">
        <f t="shared" ca="1" si="66"/>
        <v>Error?</v>
      </c>
    </row>
    <row r="4336" spans="1:4" x14ac:dyDescent="0.2">
      <c r="A4336" s="5">
        <v>4275</v>
      </c>
      <c r="B4336" s="138">
        <f ca="1">'Revenues 9-14'!C208</f>
        <v>0</v>
      </c>
      <c r="D4336" s="2" t="str">
        <f t="shared" ca="1" si="66"/>
        <v>Error?</v>
      </c>
    </row>
    <row r="4337" spans="1:4" x14ac:dyDescent="0.2">
      <c r="A4337" s="5">
        <v>4276</v>
      </c>
      <c r="B4337" s="138">
        <f ca="1">'Revenues 9-14'!D208</f>
        <v>0</v>
      </c>
      <c r="D4337" s="2" t="str">
        <f t="shared" ca="1" si="66"/>
        <v>Error?</v>
      </c>
    </row>
    <row r="4338" spans="1:4" x14ac:dyDescent="0.2">
      <c r="A4338" s="5">
        <v>4277</v>
      </c>
      <c r="B4338" s="138">
        <f ca="1">'Revenues 9-14'!F208</f>
        <v>0</v>
      </c>
      <c r="D4338" s="2" t="str">
        <f t="shared" ca="1" si="66"/>
        <v>Error?</v>
      </c>
    </row>
    <row r="4339" spans="1:4" x14ac:dyDescent="0.2">
      <c r="A4339" s="5">
        <v>4278</v>
      </c>
      <c r="B4339" s="138">
        <f ca="1">'Revenues 9-14'!G208</f>
        <v>0</v>
      </c>
      <c r="D4339" s="2" t="str">
        <f t="shared" ca="1" si="66"/>
        <v>Error?</v>
      </c>
    </row>
    <row r="4340" spans="1:4" x14ac:dyDescent="0.2">
      <c r="A4340" s="5">
        <v>4279</v>
      </c>
      <c r="B4340" s="138">
        <f ca="1">'Revenues 9-14'!C216</f>
        <v>0</v>
      </c>
      <c r="D4340" s="2" t="str">
        <f t="shared" ca="1" si="66"/>
        <v>Error?</v>
      </c>
    </row>
    <row r="4341" spans="1:4" x14ac:dyDescent="0.2">
      <c r="A4341" s="5">
        <v>4280</v>
      </c>
      <c r="B4341" s="138">
        <f ca="1">'Revenues 9-14'!D216</f>
        <v>0</v>
      </c>
      <c r="D4341" s="2" t="str">
        <f t="shared" ca="1" si="66"/>
        <v>Error?</v>
      </c>
    </row>
    <row r="4342" spans="1:4" x14ac:dyDescent="0.2">
      <c r="A4342" s="5">
        <v>4281</v>
      </c>
      <c r="B4342" s="138">
        <f ca="1">'Revenues 9-14'!F216</f>
        <v>0</v>
      </c>
      <c r="D4342" s="2" t="str">
        <f t="shared" ca="1" si="66"/>
        <v>Error?</v>
      </c>
    </row>
    <row r="4343" spans="1:4" x14ac:dyDescent="0.2">
      <c r="A4343" s="5">
        <v>4282</v>
      </c>
      <c r="B4343" s="138">
        <f ca="1">'Revenues 9-14'!G216</f>
        <v>0</v>
      </c>
      <c r="D4343" s="2" t="str">
        <f t="shared" ca="1" si="66"/>
        <v>Error?</v>
      </c>
    </row>
    <row r="4344" spans="1:4" x14ac:dyDescent="0.2">
      <c r="A4344" s="5">
        <v>4283</v>
      </c>
      <c r="B4344" s="138">
        <f ca="1">'Revenues 9-14'!C220</f>
        <v>0</v>
      </c>
      <c r="D4344" s="2" t="str">
        <f t="shared" ca="1" si="66"/>
        <v>Error?</v>
      </c>
    </row>
    <row r="4345" spans="1:4" x14ac:dyDescent="0.2">
      <c r="A4345" s="5">
        <v>4284</v>
      </c>
      <c r="B4345" s="138">
        <f ca="1">'Revenues 9-14'!D220</f>
        <v>0</v>
      </c>
      <c r="D4345" s="2" t="str">
        <f t="shared" ca="1" si="66"/>
        <v>Error?</v>
      </c>
    </row>
    <row r="4346" spans="1:4" x14ac:dyDescent="0.2">
      <c r="A4346" s="5">
        <v>4285</v>
      </c>
      <c r="B4346" s="138">
        <f ca="1">'Revenues 9-14'!G220</f>
        <v>0</v>
      </c>
      <c r="D4346" s="2" t="str">
        <f t="shared" ca="1"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 ca="1">'Revenues 9-14'!C147</f>
        <v>0</v>
      </c>
      <c r="D4351" s="2" t="str">
        <f t="shared" ref="D4351:D4414" ca="1" si="67">IF(ISBLANK(B4351),"OK",IF(A4351-B4351=0,"OK","Error?"))</f>
        <v>Error?</v>
      </c>
    </row>
    <row r="4352" spans="1:4" x14ac:dyDescent="0.2">
      <c r="A4352" s="5">
        <v>4291</v>
      </c>
      <c r="B4352" s="138">
        <f ca="1">'Revenues 9-14'!D147</f>
        <v>0</v>
      </c>
      <c r="D4352" s="2" t="str">
        <f t="shared" ca="1" si="67"/>
        <v>Error?</v>
      </c>
    </row>
    <row r="4353" spans="1:4" x14ac:dyDescent="0.2">
      <c r="A4353" s="5">
        <v>4292</v>
      </c>
      <c r="B4353" s="138">
        <f ca="1">'Revenues 9-14'!G147</f>
        <v>0</v>
      </c>
      <c r="D4353" s="2" t="str">
        <f t="shared" ca="1" si="67"/>
        <v>Error?</v>
      </c>
    </row>
    <row r="4354" spans="1:4" x14ac:dyDescent="0.2">
      <c r="A4354" s="5">
        <v>4293</v>
      </c>
      <c r="B4354" s="138">
        <f ca="1">'Revenues 9-14'!F150</f>
        <v>0</v>
      </c>
      <c r="D4354" s="2" t="str">
        <f t="shared" ca="1" si="67"/>
        <v>Error?</v>
      </c>
    </row>
    <row r="4355" spans="1:4" x14ac:dyDescent="0.2">
      <c r="A4355" s="5">
        <v>4294</v>
      </c>
      <c r="B4355" s="138">
        <f ca="1">'Revenues 9-14'!G150</f>
        <v>0</v>
      </c>
      <c r="D4355" s="2" t="str">
        <f t="shared" ca="1" si="67"/>
        <v>Error?</v>
      </c>
    </row>
    <row r="4356" spans="1:4" x14ac:dyDescent="0.2">
      <c r="A4356" s="5">
        <v>4295</v>
      </c>
      <c r="B4356" s="138">
        <f ca="1">'Revenues 9-14'!G154</f>
        <v>0</v>
      </c>
      <c r="D4356" s="2" t="str">
        <f t="shared" ca="1" si="67"/>
        <v>Error?</v>
      </c>
    </row>
    <row r="4357" spans="1:4" x14ac:dyDescent="0.2">
      <c r="A4357" s="5">
        <v>4296</v>
      </c>
      <c r="B4357" s="138">
        <f ca="1">'Revenues 9-14'!G155</f>
        <v>0</v>
      </c>
      <c r="C4357" s="2" t="s">
        <v>573</v>
      </c>
      <c r="D4357" s="2" t="str">
        <f t="shared" ca="1" si="67"/>
        <v>Error?</v>
      </c>
    </row>
    <row r="4358" spans="1:4" x14ac:dyDescent="0.2">
      <c r="A4358" s="5">
        <v>4297</v>
      </c>
      <c r="B4358" s="138">
        <f ca="1">'Revenues 9-14'!C263</f>
        <v>76251</v>
      </c>
      <c r="D4358" s="2" t="str">
        <f t="shared" ca="1" si="67"/>
        <v>Error?</v>
      </c>
    </row>
    <row r="4359" spans="1:4" x14ac:dyDescent="0.2">
      <c r="A4359" s="5">
        <v>4298</v>
      </c>
      <c r="B4359" s="138">
        <f ca="1">'Revenues 9-14'!D263</f>
        <v>0</v>
      </c>
      <c r="D4359" s="2" t="str">
        <f t="shared" ca="1" si="67"/>
        <v>Error?</v>
      </c>
    </row>
    <row r="4360" spans="1:4" x14ac:dyDescent="0.2">
      <c r="A4360" s="5">
        <v>4299</v>
      </c>
      <c r="B4360" s="138">
        <f ca="1">'Revenues 9-14'!F263</f>
        <v>0</v>
      </c>
      <c r="D4360" s="2" t="str">
        <f t="shared" ca="1" si="67"/>
        <v>Error?</v>
      </c>
    </row>
    <row r="4361" spans="1:4" x14ac:dyDescent="0.2">
      <c r="A4361" s="5">
        <v>4300</v>
      </c>
      <c r="B4361" s="138">
        <f ca="1">'Revenues 9-14'!G263</f>
        <v>0</v>
      </c>
      <c r="D4361" s="2" t="str">
        <f t="shared" ca="1" si="67"/>
        <v>Error?</v>
      </c>
    </row>
    <row r="4362" spans="1:4" x14ac:dyDescent="0.2">
      <c r="A4362" s="5">
        <v>4301</v>
      </c>
      <c r="B4362" s="138">
        <f ca="1">'Revenues 9-14'!C264</f>
        <v>118944</v>
      </c>
      <c r="D4362" s="2" t="str">
        <f t="shared" ca="1" si="67"/>
        <v>Error?</v>
      </c>
    </row>
    <row r="4363" spans="1:4" x14ac:dyDescent="0.2">
      <c r="A4363" s="5">
        <v>4302</v>
      </c>
      <c r="B4363" s="138">
        <f ca="1">'Revenues 9-14'!I169</f>
        <v>0</v>
      </c>
      <c r="C4363" s="2" t="s">
        <v>573</v>
      </c>
      <c r="D4363" s="2" t="str">
        <f t="shared" ca="1" si="67"/>
        <v>Error?</v>
      </c>
    </row>
    <row r="4364" spans="1:4" x14ac:dyDescent="0.2">
      <c r="A4364" s="5">
        <v>4303</v>
      </c>
      <c r="B4364" s="138">
        <f ca="1">'Revenues 9-14'!E173</f>
        <v>0</v>
      </c>
      <c r="D4364" s="2" t="str">
        <f t="shared" ca="1" si="67"/>
        <v>Error?</v>
      </c>
    </row>
    <row r="4365" spans="1:4" x14ac:dyDescent="0.2">
      <c r="A4365" s="5">
        <v>4304</v>
      </c>
      <c r="B4365" s="138">
        <f ca="1">'Revenues 9-14'!H173</f>
        <v>0</v>
      </c>
      <c r="D4365" s="2" t="str">
        <f t="shared" ca="1" si="67"/>
        <v>Error?</v>
      </c>
    </row>
    <row r="4366" spans="1:4" x14ac:dyDescent="0.2">
      <c r="A4366" s="5">
        <v>4305</v>
      </c>
      <c r="B4366" s="138">
        <f ca="1">'Revenues 9-14'!I173</f>
        <v>0</v>
      </c>
      <c r="D4366" s="2" t="str">
        <f t="shared" ca="1" si="67"/>
        <v>Error?</v>
      </c>
    </row>
    <row r="4367" spans="1:4" x14ac:dyDescent="0.2">
      <c r="A4367" s="10">
        <v>4306</v>
      </c>
      <c r="D4367" s="2" t="str">
        <f t="shared" si="67"/>
        <v>OK</v>
      </c>
    </row>
    <row r="4368" spans="1:4" x14ac:dyDescent="0.2">
      <c r="A4368" s="5">
        <v>4307</v>
      </c>
      <c r="B4368" s="138">
        <f ca="1">'Revenues 9-14'!K173</f>
        <v>0</v>
      </c>
      <c r="D4368" s="2" t="str">
        <f t="shared" ca="1" si="67"/>
        <v>Error?</v>
      </c>
    </row>
    <row r="4369" spans="1:4" x14ac:dyDescent="0.2">
      <c r="A4369" s="5">
        <v>4308</v>
      </c>
      <c r="B4369" s="138">
        <f ca="1">'Revenues 9-14'!E174</f>
        <v>0</v>
      </c>
      <c r="D4369" s="2" t="str">
        <f t="shared" ca="1" si="67"/>
        <v>Error?</v>
      </c>
    </row>
    <row r="4370" spans="1:4" x14ac:dyDescent="0.2">
      <c r="A4370" s="5">
        <v>4309</v>
      </c>
      <c r="B4370" s="138">
        <f ca="1">'Revenues 9-14'!I174</f>
        <v>0</v>
      </c>
      <c r="D4370" s="2" t="str">
        <f t="shared" ca="1" si="67"/>
        <v>Error?</v>
      </c>
    </row>
    <row r="4371" spans="1:4" x14ac:dyDescent="0.2">
      <c r="A4371" s="10">
        <v>4310</v>
      </c>
      <c r="D4371" s="2" t="str">
        <f t="shared" si="67"/>
        <v>OK</v>
      </c>
    </row>
    <row r="4372" spans="1:4" x14ac:dyDescent="0.2">
      <c r="A4372" s="5">
        <v>4311</v>
      </c>
      <c r="B4372" s="138">
        <f ca="1">'Revenues 9-14'!E175</f>
        <v>0</v>
      </c>
      <c r="C4372" s="2" t="s">
        <v>573</v>
      </c>
      <c r="D4372" s="2" t="str">
        <f t="shared" ca="1" si="67"/>
        <v>Error?</v>
      </c>
    </row>
    <row r="4373" spans="1:4" x14ac:dyDescent="0.2">
      <c r="A4373" s="5">
        <v>4312</v>
      </c>
      <c r="B4373" s="138">
        <f ca="1">'Revenues 9-14'!I175</f>
        <v>0</v>
      </c>
      <c r="C4373" s="2" t="s">
        <v>573</v>
      </c>
      <c r="D4373" s="2" t="str">
        <f t="shared" ca="1" si="67"/>
        <v>Error?</v>
      </c>
    </row>
    <row r="4374" spans="1:4" x14ac:dyDescent="0.2">
      <c r="A4374" s="10">
        <v>4313</v>
      </c>
      <c r="C4374" s="2" t="s">
        <v>573</v>
      </c>
      <c r="D4374" s="2" t="str">
        <f t="shared" si="67"/>
        <v>OK</v>
      </c>
    </row>
    <row r="4375" spans="1:4" x14ac:dyDescent="0.2">
      <c r="A4375" s="5">
        <v>4314</v>
      </c>
      <c r="B4375" s="138">
        <f ca="1">'Revenues 9-14'!C185</f>
        <v>0</v>
      </c>
      <c r="D4375" s="2" t="str">
        <f t="shared" ca="1" si="67"/>
        <v>Error?</v>
      </c>
    </row>
    <row r="4376" spans="1:4" x14ac:dyDescent="0.2">
      <c r="A4376" s="5">
        <v>4315</v>
      </c>
      <c r="B4376" s="138">
        <f ca="1">'Revenues 9-14'!D185</f>
        <v>0</v>
      </c>
      <c r="D4376" s="2" t="str">
        <f t="shared" ca="1" si="67"/>
        <v>Error?</v>
      </c>
    </row>
    <row r="4377" spans="1:4" x14ac:dyDescent="0.2">
      <c r="A4377" s="5">
        <v>4316</v>
      </c>
      <c r="B4377" s="138">
        <f ca="1">'Revenues 9-14'!F185</f>
        <v>0</v>
      </c>
      <c r="D4377" s="2" t="str">
        <f t="shared" ca="1" si="67"/>
        <v>Error?</v>
      </c>
    </row>
    <row r="4378" spans="1:4" x14ac:dyDescent="0.2">
      <c r="A4378" s="5">
        <v>4317</v>
      </c>
      <c r="B4378" s="138">
        <f ca="1">'Revenues 9-14'!G185</f>
        <v>0</v>
      </c>
      <c r="D4378" s="2" t="str">
        <f t="shared" ca="1" si="67"/>
        <v>Error?</v>
      </c>
    </row>
    <row r="4379" spans="1:4" x14ac:dyDescent="0.2">
      <c r="A4379" s="5">
        <v>4318</v>
      </c>
      <c r="B4379" s="138">
        <f ca="1">'Revenues 9-14'!C186</f>
        <v>35842</v>
      </c>
      <c r="D4379" s="2" t="str">
        <f t="shared" ca="1" si="67"/>
        <v>Error?</v>
      </c>
    </row>
    <row r="4380" spans="1:4" x14ac:dyDescent="0.2">
      <c r="A4380" s="5">
        <v>4319</v>
      </c>
      <c r="B4380" s="138">
        <f ca="1">'Revenues 9-14'!D186</f>
        <v>0</v>
      </c>
      <c r="D4380" s="2" t="str">
        <f t="shared" ca="1" si="67"/>
        <v>Error?</v>
      </c>
    </row>
    <row r="4381" spans="1:4" x14ac:dyDescent="0.2">
      <c r="A4381" s="5">
        <v>4320</v>
      </c>
      <c r="B4381" s="138">
        <f ca="1">'Revenues 9-14'!F186</f>
        <v>0</v>
      </c>
      <c r="D4381" s="2" t="str">
        <f t="shared" ca="1" si="67"/>
        <v>Error?</v>
      </c>
    </row>
    <row r="4382" spans="1:4" x14ac:dyDescent="0.2">
      <c r="A4382" s="5">
        <v>4321</v>
      </c>
      <c r="B4382" s="138">
        <f ca="1">'Revenues 9-14'!G186</f>
        <v>0</v>
      </c>
      <c r="D4382" s="2" t="str">
        <f t="shared" ca="1"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 ca="1">'Revenues 9-14'!C187</f>
        <v>0</v>
      </c>
      <c r="D4391" s="2" t="str">
        <f t="shared" ca="1" si="67"/>
        <v>Error?</v>
      </c>
    </row>
    <row r="4392" spans="1:5" x14ac:dyDescent="0.2">
      <c r="A4392" s="5">
        <v>4331</v>
      </c>
      <c r="B4392" s="138">
        <f ca="1">'Revenues 9-14'!D187</f>
        <v>0</v>
      </c>
      <c r="D4392" s="2" t="str">
        <f t="shared" ca="1" si="67"/>
        <v>Error?</v>
      </c>
    </row>
    <row r="4393" spans="1:5" x14ac:dyDescent="0.2">
      <c r="A4393" s="5">
        <v>4332</v>
      </c>
      <c r="B4393" s="138">
        <f ca="1">'Revenues 9-14'!F187</f>
        <v>0</v>
      </c>
      <c r="D4393" s="2" t="str">
        <f t="shared" ca="1" si="67"/>
        <v>Error?</v>
      </c>
    </row>
    <row r="4394" spans="1:5" x14ac:dyDescent="0.2">
      <c r="A4394" s="5">
        <v>4333</v>
      </c>
      <c r="B4394" s="138">
        <f ca="1">'Revenues 9-14'!G187</f>
        <v>0</v>
      </c>
      <c r="D4394" s="2" t="str">
        <f t="shared" ca="1" si="67"/>
        <v>Error?</v>
      </c>
    </row>
    <row r="4395" spans="1:5" x14ac:dyDescent="0.2">
      <c r="A4395" s="5">
        <v>4334</v>
      </c>
      <c r="B4395" s="138">
        <f ca="1">'Revenues 9-14'!C188</f>
        <v>35842</v>
      </c>
      <c r="C4395" s="2" t="s">
        <v>573</v>
      </c>
      <c r="D4395" s="2" t="str">
        <f t="shared" ca="1" si="67"/>
        <v>Error?</v>
      </c>
    </row>
    <row r="4396" spans="1:5" x14ac:dyDescent="0.2">
      <c r="A4396" s="5">
        <v>4335</v>
      </c>
      <c r="B4396" s="138">
        <f ca="1">'Revenues 9-14'!D188</f>
        <v>0</v>
      </c>
      <c r="C4396" s="2" t="s">
        <v>573</v>
      </c>
      <c r="D4396" s="2" t="str">
        <f t="shared" ca="1" si="67"/>
        <v>Error?</v>
      </c>
    </row>
    <row r="4397" spans="1:5" x14ac:dyDescent="0.2">
      <c r="A4397" s="5">
        <v>4336</v>
      </c>
      <c r="B4397" s="138">
        <f ca="1">'Revenues 9-14'!F188</f>
        <v>0</v>
      </c>
      <c r="C4397" s="2" t="s">
        <v>573</v>
      </c>
      <c r="D4397" s="2" t="str">
        <f t="shared" ca="1" si="67"/>
        <v>Error?</v>
      </c>
    </row>
    <row r="4398" spans="1:5" x14ac:dyDescent="0.2">
      <c r="A4398" s="5">
        <v>4337</v>
      </c>
      <c r="B4398" s="138">
        <f ca="1">'Revenues 9-14'!G188</f>
        <v>0</v>
      </c>
      <c r="C4398" s="2" t="s">
        <v>573</v>
      </c>
      <c r="D4398" s="2" t="str">
        <f t="shared" ca="1"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 ca="1">'Revenues 9-14'!C207</f>
        <v>0</v>
      </c>
      <c r="D4407" s="2" t="str">
        <f t="shared" ca="1" si="67"/>
        <v>Error?</v>
      </c>
    </row>
    <row r="4408" spans="1:5" x14ac:dyDescent="0.2">
      <c r="A4408" s="5">
        <v>4347</v>
      </c>
      <c r="B4408" s="138">
        <f ca="1">'Revenues 9-14'!D207</f>
        <v>0</v>
      </c>
      <c r="D4408" s="2" t="str">
        <f t="shared" ca="1" si="67"/>
        <v>Error?</v>
      </c>
    </row>
    <row r="4409" spans="1:5" x14ac:dyDescent="0.2">
      <c r="A4409" s="5">
        <v>4348</v>
      </c>
      <c r="B4409" s="138">
        <f ca="1">'Revenues 9-14'!F207</f>
        <v>0</v>
      </c>
      <c r="D4409" s="2" t="str">
        <f t="shared" ca="1" si="67"/>
        <v>Error?</v>
      </c>
    </row>
    <row r="4410" spans="1:5" x14ac:dyDescent="0.2">
      <c r="A4410" s="5">
        <v>4349</v>
      </c>
      <c r="B4410" s="138">
        <f ca="1">'Revenues 9-14'!G207</f>
        <v>0</v>
      </c>
      <c r="D4410" s="2" t="str">
        <f t="shared" ca="1" si="67"/>
        <v>Error?</v>
      </c>
    </row>
    <row r="4411" spans="1:5" x14ac:dyDescent="0.2">
      <c r="A4411" s="5">
        <v>4350</v>
      </c>
      <c r="B4411" s="138">
        <f ca="1">'Revenues 9-14'!C209</f>
        <v>21385</v>
      </c>
      <c r="C4411" s="2" t="s">
        <v>573</v>
      </c>
      <c r="D4411" s="2" t="str">
        <f t="shared" ca="1" si="67"/>
        <v>Error?</v>
      </c>
    </row>
    <row r="4412" spans="1:5" x14ac:dyDescent="0.2">
      <c r="A4412" s="5">
        <v>4351</v>
      </c>
      <c r="B4412" s="138">
        <f ca="1">'Revenues 9-14'!D209</f>
        <v>0</v>
      </c>
      <c r="C4412" s="2" t="s">
        <v>573</v>
      </c>
      <c r="D4412" s="2" t="str">
        <f t="shared" ca="1" si="67"/>
        <v>Error?</v>
      </c>
    </row>
    <row r="4413" spans="1:5" x14ac:dyDescent="0.2">
      <c r="A4413" s="5">
        <v>4352</v>
      </c>
      <c r="B4413" s="138">
        <f ca="1">'Revenues 9-14'!F209</f>
        <v>0</v>
      </c>
      <c r="C4413" s="2" t="s">
        <v>573</v>
      </c>
      <c r="D4413" s="2" t="str">
        <f t="shared" ca="1" si="67"/>
        <v>Error?</v>
      </c>
    </row>
    <row r="4414" spans="1:5" x14ac:dyDescent="0.2">
      <c r="A4414" s="5">
        <v>4353</v>
      </c>
      <c r="B4414" s="138">
        <f ca="1">'Revenues 9-14'!G209</f>
        <v>0</v>
      </c>
      <c r="C4414" s="2" t="s">
        <v>573</v>
      </c>
      <c r="D4414" s="2" t="str">
        <f t="shared" ca="1" si="67"/>
        <v>Error?</v>
      </c>
    </row>
    <row r="4415" spans="1:5" x14ac:dyDescent="0.2">
      <c r="A4415" s="5">
        <v>4354</v>
      </c>
      <c r="B4415" s="138">
        <f ca="1">'Revenues 9-14'!C256</f>
        <v>0</v>
      </c>
      <c r="D4415" s="2" t="str">
        <f t="shared" ref="D4415:D4478" ca="1" si="68">IF(ISBLANK(B4415),"OK",IF(A4415-B4415=0,"OK","Error?"))</f>
        <v>Error?</v>
      </c>
    </row>
    <row r="4416" spans="1:5" x14ac:dyDescent="0.2">
      <c r="A4416" s="5">
        <v>4355</v>
      </c>
      <c r="B4416" s="138">
        <f ca="1">'Revenues 9-14'!F256</f>
        <v>0</v>
      </c>
      <c r="D4416" s="2" t="str">
        <f t="shared" ca="1" si="68"/>
        <v>Error?</v>
      </c>
    </row>
    <row r="4417" spans="1:4" x14ac:dyDescent="0.2">
      <c r="A4417" s="5">
        <v>4356</v>
      </c>
      <c r="B4417" s="138">
        <f ca="1">'Revenues 9-14'!G256</f>
        <v>0</v>
      </c>
      <c r="D4417" s="2" t="str">
        <f t="shared" ca="1" si="68"/>
        <v>Error?</v>
      </c>
    </row>
    <row r="4418" spans="1:4" x14ac:dyDescent="0.2">
      <c r="A4418" s="5">
        <v>4357</v>
      </c>
      <c r="B4418" s="138">
        <f ca="1">'Revenues 9-14'!C259</f>
        <v>47403</v>
      </c>
      <c r="D4418" s="2" t="str">
        <f t="shared" ca="1" si="68"/>
        <v>Error?</v>
      </c>
    </row>
    <row r="4419" spans="1:4" x14ac:dyDescent="0.2">
      <c r="A4419" s="5">
        <v>4358</v>
      </c>
      <c r="B4419" s="138">
        <f ca="1">'Revenues 9-14'!D259</f>
        <v>0</v>
      </c>
      <c r="D4419" s="2" t="str">
        <f t="shared" ca="1" si="68"/>
        <v>Error?</v>
      </c>
    </row>
    <row r="4420" spans="1:4" x14ac:dyDescent="0.2">
      <c r="A4420" s="5">
        <v>4359</v>
      </c>
      <c r="B4420" s="138">
        <f ca="1">'Revenues 9-14'!F259</f>
        <v>0</v>
      </c>
      <c r="D4420" s="2" t="str">
        <f t="shared" ca="1" si="68"/>
        <v>Error?</v>
      </c>
    </row>
    <row r="4421" spans="1:4" x14ac:dyDescent="0.2">
      <c r="A4421" s="5">
        <v>4360</v>
      </c>
      <c r="B4421" s="138">
        <f ca="1">'Revenues 9-14'!G259</f>
        <v>0</v>
      </c>
      <c r="D4421" s="2" t="str">
        <f t="shared" ca="1"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 ca="1">'Revenues 9-14'!E267</f>
        <v>0</v>
      </c>
      <c r="C4434" s="2" t="s">
        <v>573</v>
      </c>
      <c r="D4434" s="2" t="str">
        <f t="shared" ca="1" si="68"/>
        <v>Error?</v>
      </c>
    </row>
    <row r="4435" spans="1:5" x14ac:dyDescent="0.2">
      <c r="A4435" s="5">
        <v>4374</v>
      </c>
      <c r="B4435" s="138">
        <f ca="1">'Revenues 9-14'!I267</f>
        <v>0</v>
      </c>
      <c r="C4435" s="2" t="s">
        <v>573</v>
      </c>
      <c r="D4435" s="2" t="str">
        <f t="shared" ca="1"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 ca="1">'Revenues 9-14'!H266</f>
        <v>0</v>
      </c>
      <c r="C4441" s="2" t="s">
        <v>573</v>
      </c>
      <c r="D4441" s="2" t="str">
        <f t="shared" ca="1" si="68"/>
        <v>Error?</v>
      </c>
    </row>
    <row r="4442" spans="1:5" x14ac:dyDescent="0.2">
      <c r="A4442" s="5">
        <v>4381</v>
      </c>
      <c r="B4442" s="138">
        <f ca="1">'Revenues 9-14'!K266</f>
        <v>0</v>
      </c>
      <c r="C4442" s="2" t="s">
        <v>573</v>
      </c>
      <c r="D4442" s="2" t="str">
        <f t="shared" ca="1" si="68"/>
        <v>Error?</v>
      </c>
    </row>
    <row r="4443" spans="1:5" x14ac:dyDescent="0.2">
      <c r="A4443" s="5">
        <v>4382</v>
      </c>
      <c r="B4443" s="138">
        <f ca="1">'Acct Summary 7-8'!E7</f>
        <v>0</v>
      </c>
      <c r="C4443" s="2" t="s">
        <v>573</v>
      </c>
      <c r="D4443" s="2" t="str">
        <f t="shared" ca="1" si="68"/>
        <v>Error?</v>
      </c>
    </row>
    <row r="4444" spans="1:5" x14ac:dyDescent="0.2">
      <c r="A4444" s="5">
        <v>4383</v>
      </c>
      <c r="B4444" s="138">
        <f ca="1">'Acct Summary 7-8'!I7</f>
        <v>0</v>
      </c>
      <c r="C4444" s="2" t="s">
        <v>573</v>
      </c>
      <c r="D4444" s="2" t="str">
        <f t="shared" ca="1" si="68"/>
        <v>Error?</v>
      </c>
    </row>
    <row r="4445" spans="1:5" x14ac:dyDescent="0.2">
      <c r="A4445" s="10">
        <v>4384</v>
      </c>
      <c r="C4445" s="2" t="s">
        <v>573</v>
      </c>
      <c r="D4445" s="2" t="str">
        <f t="shared" si="68"/>
        <v>OK</v>
      </c>
    </row>
    <row r="4446" spans="1:5" x14ac:dyDescent="0.2">
      <c r="A4446" s="5">
        <v>4385</v>
      </c>
      <c r="B4446" s="138">
        <f ca="1">'Revenues 9-14'!D264</f>
        <v>0</v>
      </c>
      <c r="D4446" s="2" t="str">
        <f t="shared" ca="1" si="68"/>
        <v>Error?</v>
      </c>
    </row>
    <row r="4447" spans="1:5" x14ac:dyDescent="0.2">
      <c r="A4447" s="5">
        <v>4386</v>
      </c>
      <c r="B4447" s="138">
        <f ca="1">'Revenues 9-14'!F264</f>
        <v>0</v>
      </c>
      <c r="D4447" s="2" t="str">
        <f t="shared" ca="1" si="68"/>
        <v>Error?</v>
      </c>
    </row>
    <row r="4448" spans="1:5" x14ac:dyDescent="0.2">
      <c r="A4448" s="5">
        <v>4387</v>
      </c>
      <c r="B4448" s="138">
        <f ca="1">'Revenues 9-14'!G264</f>
        <v>0</v>
      </c>
      <c r="D4448" s="2" t="str">
        <f t="shared" ca="1"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 ca="1">'Revenues 9-14'!C104</f>
        <v>0</v>
      </c>
      <c r="D4761" s="2" t="str">
        <f t="shared" ca="1"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 ca="1">'Revenues 9-14'!G136</f>
        <v>0</v>
      </c>
      <c r="D4771" s="2" t="str">
        <f t="shared" ca="1"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 ca="1">'Revenues 9-14'!C168</f>
        <v>1379</v>
      </c>
      <c r="D4792" s="2" t="str">
        <f t="shared" ca="1" si="73"/>
        <v>Error?</v>
      </c>
    </row>
    <row r="4793" spans="1:4" x14ac:dyDescent="0.2">
      <c r="A4793" s="5">
        <v>4732</v>
      </c>
      <c r="B4793" s="138">
        <f ca="1">'Revenues 9-14'!D168</f>
        <v>0</v>
      </c>
      <c r="D4793" s="2" t="str">
        <f t="shared" ca="1" si="73"/>
        <v>Error?</v>
      </c>
    </row>
    <row r="4794" spans="1:4" x14ac:dyDescent="0.2">
      <c r="A4794" s="5">
        <v>4733</v>
      </c>
      <c r="B4794" s="138">
        <f ca="1">'Revenues 9-14'!E168</f>
        <v>0</v>
      </c>
      <c r="D4794" s="2" t="str">
        <f t="shared" ca="1" si="73"/>
        <v>Error?</v>
      </c>
    </row>
    <row r="4795" spans="1:4" x14ac:dyDescent="0.2">
      <c r="A4795" s="5">
        <v>4734</v>
      </c>
      <c r="B4795" s="138">
        <f ca="1">'Revenues 9-14'!F168</f>
        <v>0</v>
      </c>
      <c r="D4795" s="2" t="str">
        <f t="shared" ca="1" si="73"/>
        <v>Error?</v>
      </c>
    </row>
    <row r="4796" spans="1:4" x14ac:dyDescent="0.2">
      <c r="A4796" s="5">
        <v>4735</v>
      </c>
      <c r="B4796" s="138">
        <f ca="1">'Revenues 9-14'!G168</f>
        <v>0</v>
      </c>
      <c r="D4796" s="2" t="str">
        <f t="shared" ca="1" si="73"/>
        <v>Error?</v>
      </c>
    </row>
    <row r="4797" spans="1:4" x14ac:dyDescent="0.2">
      <c r="A4797" s="5">
        <v>4736</v>
      </c>
      <c r="B4797" s="138">
        <f ca="1">'Revenues 9-14'!H168</f>
        <v>0</v>
      </c>
      <c r="D4797" s="2" t="str">
        <f t="shared" ca="1" si="73"/>
        <v>Error?</v>
      </c>
    </row>
    <row r="4798" spans="1:4" x14ac:dyDescent="0.2">
      <c r="A4798" s="10">
        <v>4737</v>
      </c>
      <c r="D4798" s="2" t="str">
        <f t="shared" si="73"/>
        <v>OK</v>
      </c>
    </row>
    <row r="4799" spans="1:4" x14ac:dyDescent="0.2">
      <c r="A4799" s="5">
        <v>4738</v>
      </c>
      <c r="B4799" s="138">
        <f ca="1">'Revenues 9-14'!K168</f>
        <v>0</v>
      </c>
      <c r="D4799" s="2" t="str">
        <f t="shared" ref="D4799:D4862" ca="1" si="74">IF(ISBLANK(B4799),"OK",IF(A4799-B4799=0,"OK","Error?"))</f>
        <v>Error?</v>
      </c>
    </row>
    <row r="4800" spans="1:4" x14ac:dyDescent="0.2">
      <c r="A4800" s="10">
        <v>4739</v>
      </c>
      <c r="D4800" s="2" t="str">
        <f t="shared" si="74"/>
        <v>OK</v>
      </c>
    </row>
    <row r="4801" spans="1:4" x14ac:dyDescent="0.2">
      <c r="A4801" s="5">
        <v>4740</v>
      </c>
      <c r="B4801" s="138">
        <f ca="1">'Revenues 9-14'!C179</f>
        <v>0</v>
      </c>
      <c r="D4801" s="2" t="str">
        <f t="shared" ca="1" si="74"/>
        <v>Error?</v>
      </c>
    </row>
    <row r="4802" spans="1:4" x14ac:dyDescent="0.2">
      <c r="A4802" s="5">
        <v>4741</v>
      </c>
      <c r="B4802" s="138">
        <f ca="1">'Revenues 9-14'!D179</f>
        <v>0</v>
      </c>
      <c r="D4802" s="2" t="str">
        <f t="shared" ca="1" si="74"/>
        <v>Error?</v>
      </c>
    </row>
    <row r="4803" spans="1:4" x14ac:dyDescent="0.2">
      <c r="A4803" s="10">
        <v>4742</v>
      </c>
      <c r="D4803" s="2" t="str">
        <f t="shared" si="74"/>
        <v>OK</v>
      </c>
    </row>
    <row r="4804" spans="1:4" x14ac:dyDescent="0.2">
      <c r="A4804" s="5">
        <v>4743</v>
      </c>
      <c r="B4804" s="138">
        <f ca="1">'Revenues 9-14'!F179</f>
        <v>0</v>
      </c>
      <c r="D4804" s="2" t="str">
        <f t="shared" ca="1" si="74"/>
        <v>Error?</v>
      </c>
    </row>
    <row r="4805" spans="1:4" x14ac:dyDescent="0.2">
      <c r="A4805" s="5">
        <v>4744</v>
      </c>
      <c r="B4805" s="138">
        <f ca="1">'Revenues 9-14'!C180</f>
        <v>0</v>
      </c>
      <c r="D4805" s="2" t="str">
        <f t="shared" ca="1" si="74"/>
        <v>Error?</v>
      </c>
    </row>
    <row r="4806" spans="1:4" x14ac:dyDescent="0.2">
      <c r="A4806" s="5">
        <v>4745</v>
      </c>
      <c r="B4806" s="138">
        <f ca="1">'Revenues 9-14'!D180</f>
        <v>0</v>
      </c>
      <c r="D4806" s="2" t="str">
        <f t="shared" ca="1" si="74"/>
        <v>Error?</v>
      </c>
    </row>
    <row r="4807" spans="1:4" x14ac:dyDescent="0.2">
      <c r="A4807" s="10">
        <v>4746</v>
      </c>
      <c r="D4807" s="2" t="str">
        <f t="shared" si="74"/>
        <v>OK</v>
      </c>
    </row>
    <row r="4808" spans="1:4" x14ac:dyDescent="0.2">
      <c r="A4808" s="12">
        <v>4747</v>
      </c>
      <c r="B4808" s="138">
        <f ca="1">'Revenues 9-14'!F180</f>
        <v>0</v>
      </c>
      <c r="D4808" s="2" t="str">
        <f t="shared" ca="1" si="74"/>
        <v>Error?</v>
      </c>
    </row>
    <row r="4809" spans="1:4" x14ac:dyDescent="0.2">
      <c r="A4809" s="5">
        <v>4748</v>
      </c>
      <c r="D4809" s="2" t="str">
        <f t="shared" si="74"/>
        <v>OK</v>
      </c>
    </row>
    <row r="4810" spans="1:4" x14ac:dyDescent="0.2">
      <c r="A4810" s="5">
        <v>4749</v>
      </c>
      <c r="B4810" s="138">
        <f ca="1">'Revenues 9-14'!G179</f>
        <v>0</v>
      </c>
      <c r="D4810" s="2" t="str">
        <f t="shared" ca="1" si="74"/>
        <v>Error?</v>
      </c>
    </row>
    <row r="4811" spans="1:4" x14ac:dyDescent="0.2">
      <c r="A4811" s="5">
        <v>4750</v>
      </c>
      <c r="B4811" s="138">
        <f ca="1">'Revenues 9-14'!H179</f>
        <v>0</v>
      </c>
      <c r="D4811" s="2" t="str">
        <f t="shared" ca="1" si="74"/>
        <v>Error?</v>
      </c>
    </row>
    <row r="4812" spans="1:4" x14ac:dyDescent="0.2">
      <c r="A4812" s="10">
        <v>4751</v>
      </c>
      <c r="D4812" s="2" t="str">
        <f t="shared" si="74"/>
        <v>OK</v>
      </c>
    </row>
    <row r="4813" spans="1:4" x14ac:dyDescent="0.2">
      <c r="A4813" s="5">
        <v>4752</v>
      </c>
      <c r="B4813" s="138">
        <f ca="1">'Revenues 9-14'!G180</f>
        <v>0</v>
      </c>
      <c r="D4813" s="2" t="str">
        <f t="shared" ca="1" si="74"/>
        <v>Error?</v>
      </c>
    </row>
    <row r="4814" spans="1:4" x14ac:dyDescent="0.2">
      <c r="A4814" s="5">
        <v>4753</v>
      </c>
      <c r="B4814" s="138">
        <f ca="1">'Revenues 9-14'!H180</f>
        <v>0</v>
      </c>
      <c r="D4814" s="2" t="str">
        <f t="shared" ca="1" si="74"/>
        <v>Error?</v>
      </c>
    </row>
    <row r="4815" spans="1:4" x14ac:dyDescent="0.2">
      <c r="A4815" s="10">
        <v>4754</v>
      </c>
      <c r="D4815" s="2" t="str">
        <f t="shared" si="74"/>
        <v>OK</v>
      </c>
    </row>
    <row r="4816" spans="1:4" x14ac:dyDescent="0.2">
      <c r="A4816" s="5">
        <v>4755</v>
      </c>
      <c r="B4816" s="138">
        <f ca="1">'Revenues 9-14'!K180</f>
        <v>0</v>
      </c>
      <c r="D4816" s="2" t="str">
        <f t="shared" ca="1"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 ca="1">'Revenues 9-14'!C265</f>
        <v>0</v>
      </c>
      <c r="D4852" s="2" t="str">
        <f t="shared" ca="1" si="74"/>
        <v>Error?</v>
      </c>
    </row>
    <row r="4853" spans="1:4" x14ac:dyDescent="0.2">
      <c r="A4853" s="5">
        <v>4792</v>
      </c>
      <c r="B4853" s="138">
        <f ca="1">'Revenues 9-14'!D265</f>
        <v>0</v>
      </c>
      <c r="D4853" s="2" t="str">
        <f t="shared" ca="1" si="74"/>
        <v>Error?</v>
      </c>
    </row>
    <row r="4854" spans="1:4" x14ac:dyDescent="0.2">
      <c r="A4854" s="10">
        <v>4793</v>
      </c>
      <c r="D4854" s="2" t="str">
        <f t="shared" si="74"/>
        <v>OK</v>
      </c>
    </row>
    <row r="4855" spans="1:4" x14ac:dyDescent="0.2">
      <c r="A4855" s="5">
        <v>4794</v>
      </c>
      <c r="B4855" s="138">
        <f ca="1">'Revenues 9-14'!F265</f>
        <v>0</v>
      </c>
      <c r="D4855" s="2" t="str">
        <f t="shared" ca="1"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 ca="1">'Revenues 9-14'!G265</f>
        <v>0</v>
      </c>
      <c r="D4864" s="2" t="str">
        <f t="shared" ca="1" si="75"/>
        <v>Error?</v>
      </c>
    </row>
    <row r="4865" spans="1:4" x14ac:dyDescent="0.2">
      <c r="A4865" s="5">
        <v>4804</v>
      </c>
      <c r="B4865" s="138">
        <f ca="1">'Revenues 9-14'!H265</f>
        <v>0</v>
      </c>
      <c r="D4865" s="2" t="str">
        <f t="shared" ca="1"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 ca="1">'Revenues 9-14'!K265</f>
        <v>0</v>
      </c>
      <c r="D4868" s="2" t="str">
        <f t="shared" ca="1"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 ca="1">'Revenues 9-14'!C118</f>
        <v>0</v>
      </c>
      <c r="D4874" s="2" t="str">
        <f t="shared" ca="1" si="75"/>
        <v>Error?</v>
      </c>
    </row>
    <row r="4875" spans="1:4" x14ac:dyDescent="0.2">
      <c r="A4875" s="5">
        <v>4814</v>
      </c>
      <c r="B4875" s="138">
        <f ca="1">'Revenues 9-14'!D118</f>
        <v>0</v>
      </c>
      <c r="D4875" s="2" t="str">
        <f t="shared" ca="1" si="75"/>
        <v>Error?</v>
      </c>
    </row>
    <row r="4876" spans="1:4" x14ac:dyDescent="0.2">
      <c r="A4876" s="5">
        <v>4815</v>
      </c>
      <c r="B4876" s="138">
        <f ca="1">'Revenues 9-14'!E118</f>
        <v>0</v>
      </c>
      <c r="D4876" s="2" t="str">
        <f t="shared" ca="1" si="75"/>
        <v>Error?</v>
      </c>
    </row>
    <row r="4877" spans="1:4" x14ac:dyDescent="0.2">
      <c r="A4877" s="5">
        <v>4816</v>
      </c>
      <c r="B4877" s="138">
        <f ca="1">'Revenues 9-14'!F118</f>
        <v>0</v>
      </c>
      <c r="D4877" s="2" t="str">
        <f t="shared" ca="1" si="75"/>
        <v>Error?</v>
      </c>
    </row>
    <row r="4878" spans="1:4" x14ac:dyDescent="0.2">
      <c r="A4878" s="5">
        <v>4817</v>
      </c>
      <c r="B4878" s="138">
        <f ca="1">'Revenues 9-14'!G118</f>
        <v>0</v>
      </c>
      <c r="D4878" s="2" t="str">
        <f t="shared" ca="1" si="75"/>
        <v>Error?</v>
      </c>
    </row>
    <row r="4879" spans="1:4" x14ac:dyDescent="0.2">
      <c r="A4879" s="5">
        <v>4818</v>
      </c>
      <c r="B4879" s="138">
        <f ca="1">'Revenues 9-14'!H118</f>
        <v>0</v>
      </c>
      <c r="D4879" s="2" t="str">
        <f t="shared" ca="1" si="75"/>
        <v>Error?</v>
      </c>
    </row>
    <row r="4880" spans="1:4" x14ac:dyDescent="0.2">
      <c r="A4880" s="10">
        <v>4819</v>
      </c>
      <c r="D4880" s="2" t="str">
        <f t="shared" si="75"/>
        <v>OK</v>
      </c>
    </row>
    <row r="4881" spans="1:4" x14ac:dyDescent="0.2">
      <c r="A4881" s="5">
        <v>4820</v>
      </c>
      <c r="B4881" s="138">
        <f ca="1">'Revenues 9-14'!K118</f>
        <v>0</v>
      </c>
      <c r="D4881" s="2" t="str">
        <f t="shared" ca="1" si="75"/>
        <v>Error?</v>
      </c>
    </row>
    <row r="4882" spans="1:4" x14ac:dyDescent="0.2">
      <c r="A4882" s="5">
        <v>4821</v>
      </c>
      <c r="B4882" s="138">
        <f ca="1">'Revenues 9-14'!C121</f>
        <v>0</v>
      </c>
      <c r="D4882" s="2" t="str">
        <f t="shared" ca="1" si="75"/>
        <v>Error?</v>
      </c>
    </row>
    <row r="4883" spans="1:4" x14ac:dyDescent="0.2">
      <c r="A4883" s="5">
        <v>4822</v>
      </c>
      <c r="B4883" s="138">
        <f ca="1">'Revenues 9-14'!D121</f>
        <v>0</v>
      </c>
      <c r="D4883" s="2" t="str">
        <f t="shared" ca="1" si="75"/>
        <v>Error?</v>
      </c>
    </row>
    <row r="4884" spans="1:4" x14ac:dyDescent="0.2">
      <c r="A4884" s="5">
        <v>4823</v>
      </c>
      <c r="B4884" s="138">
        <f ca="1">'Revenues 9-14'!E121</f>
        <v>0</v>
      </c>
      <c r="D4884" s="2" t="str">
        <f t="shared" ca="1" si="75"/>
        <v>Error?</v>
      </c>
    </row>
    <row r="4885" spans="1:4" x14ac:dyDescent="0.2">
      <c r="A4885" s="5">
        <v>4824</v>
      </c>
      <c r="B4885" s="138">
        <f ca="1">'Revenues 9-14'!F121</f>
        <v>0</v>
      </c>
      <c r="D4885" s="2" t="str">
        <f t="shared" ca="1" si="75"/>
        <v>Error?</v>
      </c>
    </row>
    <row r="4886" spans="1:4" x14ac:dyDescent="0.2">
      <c r="A4886" s="5">
        <v>4825</v>
      </c>
      <c r="B4886" s="138">
        <f ca="1">'Revenues 9-14'!G121</f>
        <v>0</v>
      </c>
      <c r="D4886" s="2" t="str">
        <f t="shared" ca="1" si="75"/>
        <v>Error?</v>
      </c>
    </row>
    <row r="4887" spans="1:4" x14ac:dyDescent="0.2">
      <c r="A4887" s="5">
        <v>4826</v>
      </c>
      <c r="B4887" s="138">
        <f ca="1">'Revenues 9-14'!H121</f>
        <v>0</v>
      </c>
      <c r="D4887" s="2" t="str">
        <f t="shared" ca="1" si="75"/>
        <v>Error?</v>
      </c>
    </row>
    <row r="4888" spans="1:4" x14ac:dyDescent="0.2">
      <c r="A4888" s="10">
        <v>4827</v>
      </c>
      <c r="D4888" s="2" t="str">
        <f t="shared" si="75"/>
        <v>OK</v>
      </c>
    </row>
    <row r="4889" spans="1:4" x14ac:dyDescent="0.2">
      <c r="A4889" s="5">
        <v>4828</v>
      </c>
      <c r="B4889" s="138">
        <f ca="1">'Revenues 9-14'!K121</f>
        <v>0</v>
      </c>
      <c r="D4889" s="2" t="str">
        <f t="shared" ca="1"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 ca="1">'Revenues 9-14'!C162</f>
        <v>0</v>
      </c>
      <c r="D4915" s="2" t="str">
        <f t="shared" ca="1" si="75"/>
        <v>Error?</v>
      </c>
    </row>
    <row r="4916" spans="1:4" x14ac:dyDescent="0.2">
      <c r="A4916" s="5">
        <v>4855</v>
      </c>
      <c r="B4916" s="138">
        <f ca="1">'Revenues 9-14'!D162</f>
        <v>0</v>
      </c>
      <c r="D4916" s="2" t="str">
        <f t="shared" ca="1" si="75"/>
        <v>Error?</v>
      </c>
    </row>
    <row r="4917" spans="1:4" x14ac:dyDescent="0.2">
      <c r="A4917" s="5">
        <v>4856</v>
      </c>
      <c r="B4917" s="138">
        <f ca="1">'Revenues 9-14'!E162</f>
        <v>0</v>
      </c>
      <c r="D4917" s="2" t="str">
        <f t="shared" ca="1" si="75"/>
        <v>Error?</v>
      </c>
    </row>
    <row r="4918" spans="1:4" x14ac:dyDescent="0.2">
      <c r="A4918" s="5">
        <v>4857</v>
      </c>
      <c r="B4918" s="138">
        <f ca="1">'Revenues 9-14'!F162</f>
        <v>0</v>
      </c>
      <c r="D4918" s="2" t="str">
        <f t="shared" ca="1" si="75"/>
        <v>Error?</v>
      </c>
    </row>
    <row r="4919" spans="1:4" x14ac:dyDescent="0.2">
      <c r="A4919" s="5">
        <v>4858</v>
      </c>
      <c r="B4919" s="138">
        <f ca="1">'Revenues 9-14'!G162</f>
        <v>0</v>
      </c>
      <c r="D4919" s="2" t="str">
        <f t="shared" ca="1" si="75"/>
        <v>Error?</v>
      </c>
    </row>
    <row r="4920" spans="1:4" x14ac:dyDescent="0.2">
      <c r="A4920" s="5">
        <v>4859</v>
      </c>
      <c r="B4920" s="138">
        <f ca="1">'Revenues 9-14'!H162</f>
        <v>0</v>
      </c>
      <c r="D4920" s="2" t="str">
        <f t="shared" ca="1" si="75"/>
        <v>Error?</v>
      </c>
    </row>
    <row r="4921" spans="1:4" x14ac:dyDescent="0.2">
      <c r="A4921" s="10">
        <v>4860</v>
      </c>
      <c r="D4921" s="2" t="str">
        <f t="shared" si="75"/>
        <v>OK</v>
      </c>
    </row>
    <row r="4922" spans="1:4" x14ac:dyDescent="0.2">
      <c r="A4922" s="5">
        <v>4861</v>
      </c>
      <c r="B4922" s="138">
        <f ca="1">'Revenues 9-14'!K162</f>
        <v>0</v>
      </c>
      <c r="D4922" s="2" t="str">
        <f t="shared" ca="1"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 ca="1">'Revenues 9-14'!C174</f>
        <v>0</v>
      </c>
      <c r="D4944" s="2" t="str">
        <f t="shared" ca="1" si="76"/>
        <v>Error?</v>
      </c>
    </row>
    <row r="4945" spans="1:4" x14ac:dyDescent="0.2">
      <c r="A4945" s="5">
        <v>4884</v>
      </c>
      <c r="B4945" s="138">
        <f ca="1">'Revenues 9-14'!D174</f>
        <v>0</v>
      </c>
      <c r="D4945" s="2" t="str">
        <f t="shared" ca="1" si="76"/>
        <v>Error?</v>
      </c>
    </row>
    <row r="4946" spans="1:4" x14ac:dyDescent="0.2">
      <c r="A4946" s="5">
        <v>4885</v>
      </c>
      <c r="B4946" s="138">
        <f ca="1">'Revenues 9-14'!F174</f>
        <v>0</v>
      </c>
      <c r="D4946" s="2" t="str">
        <f t="shared" ca="1" si="76"/>
        <v>Error?</v>
      </c>
    </row>
    <row r="4947" spans="1:4" x14ac:dyDescent="0.2">
      <c r="A4947" s="5">
        <v>4886</v>
      </c>
      <c r="B4947" s="138">
        <f ca="1">'Revenues 9-14'!G174</f>
        <v>0</v>
      </c>
      <c r="D4947" s="2" t="str">
        <f t="shared" ca="1" si="76"/>
        <v>Error?</v>
      </c>
    </row>
    <row r="4948" spans="1:4" x14ac:dyDescent="0.2">
      <c r="A4948" s="5">
        <v>4887</v>
      </c>
      <c r="B4948" s="138">
        <f ca="1">'Revenues 9-14'!H174</f>
        <v>0</v>
      </c>
      <c r="D4948" s="2" t="str">
        <f t="shared" ca="1" si="76"/>
        <v>Error?</v>
      </c>
    </row>
    <row r="4949" spans="1:4" x14ac:dyDescent="0.2">
      <c r="A4949" s="5">
        <v>4888</v>
      </c>
      <c r="B4949" s="138">
        <f ca="1">'Revenues 9-14'!K174</f>
        <v>0</v>
      </c>
      <c r="D4949" s="2" t="str">
        <f t="shared" ca="1" si="76"/>
        <v>Error?</v>
      </c>
    </row>
    <row r="4950" spans="1:4" x14ac:dyDescent="0.2">
      <c r="A4950" s="5">
        <v>4889</v>
      </c>
      <c r="B4950" s="138">
        <f ca="1">'Revenues 9-14'!H175</f>
        <v>0</v>
      </c>
      <c r="C4950" s="2" t="s">
        <v>573</v>
      </c>
      <c r="D4950" s="2" t="str">
        <f t="shared" ca="1" si="76"/>
        <v>Error?</v>
      </c>
    </row>
    <row r="4951" spans="1:4" x14ac:dyDescent="0.2">
      <c r="A4951" s="5">
        <v>4890</v>
      </c>
      <c r="B4951" s="138">
        <f ca="1">'Revenues 9-14'!K175</f>
        <v>0</v>
      </c>
      <c r="C4951" s="2" t="s">
        <v>573</v>
      </c>
      <c r="D4951" s="2" t="str">
        <f t="shared" ca="1"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350316895</v>
      </c>
      <c r="D4995" s="2" t="str">
        <f t="shared" si="77"/>
        <v>Error?</v>
      </c>
    </row>
    <row r="4996" spans="1:4" x14ac:dyDescent="0.2">
      <c r="A4996" s="12">
        <v>4935</v>
      </c>
      <c r="B4996" s="138">
        <f>'FP Info 3'!H31</f>
        <v>24171865.755000003</v>
      </c>
      <c r="D4996" s="2" t="str">
        <f t="shared" si="77"/>
        <v>Error?</v>
      </c>
    </row>
    <row r="4997" spans="1:4" x14ac:dyDescent="0.2">
      <c r="A4997" s="12">
        <v>4936</v>
      </c>
      <c r="B4997" s="138">
        <f>'FP Info 3'!H37</f>
        <v>9936525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 ca="1">'Revenues 9-14'!K169</f>
        <v>0</v>
      </c>
      <c r="C5000" s="2" t="s">
        <v>573</v>
      </c>
      <c r="D5000" s="2" t="str">
        <f t="shared" ca="1"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 ca="1">'Acct Summary 7-8'!I6</f>
        <v>0</v>
      </c>
      <c r="C5011" s="2" t="s">
        <v>573</v>
      </c>
      <c r="D5011" s="2" t="str">
        <f t="shared" ca="1" si="77"/>
        <v>Error?</v>
      </c>
    </row>
    <row r="5012" spans="1:4" x14ac:dyDescent="0.2">
      <c r="A5012" s="5">
        <v>4951</v>
      </c>
      <c r="B5012" s="138">
        <f ca="1">'Acct Summary 7-8'!C27</f>
        <v>0</v>
      </c>
      <c r="C5012" s="2" t="s">
        <v>573</v>
      </c>
      <c r="D5012" s="2" t="str">
        <f t="shared" ca="1" si="77"/>
        <v>Error?</v>
      </c>
    </row>
    <row r="5013" spans="1:4" x14ac:dyDescent="0.2">
      <c r="A5013" s="5">
        <v>4952</v>
      </c>
      <c r="B5013" s="138">
        <f ca="1">'Acct Summary 7-8'!D27</f>
        <v>0</v>
      </c>
      <c r="D5013" s="2" t="str">
        <f t="shared" ca="1" si="77"/>
        <v>Error?</v>
      </c>
    </row>
    <row r="5014" spans="1:4" x14ac:dyDescent="0.2">
      <c r="A5014" s="5">
        <v>4953</v>
      </c>
      <c r="B5014" s="138">
        <f ca="1">'Acct Summary 7-8'!F27</f>
        <v>0</v>
      </c>
      <c r="C5014" s="2" t="s">
        <v>573</v>
      </c>
      <c r="D5014" s="2" t="str">
        <f t="shared" ca="1"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 ca="1">'Acct Summary 7-8'!C49</f>
        <v>0</v>
      </c>
      <c r="D5022" s="2" t="str">
        <f t="shared" ca="1" si="77"/>
        <v>Error?</v>
      </c>
    </row>
    <row r="5023" spans="1:4" x14ac:dyDescent="0.2">
      <c r="A5023" s="5">
        <v>4962</v>
      </c>
      <c r="B5023" s="138">
        <f ca="1">'Acct Summary 7-8'!D49</f>
        <v>0</v>
      </c>
      <c r="D5023" s="2" t="str">
        <f t="shared" ca="1" si="77"/>
        <v>Error?</v>
      </c>
    </row>
    <row r="5024" spans="1:4" x14ac:dyDescent="0.2">
      <c r="A5024" s="5">
        <v>4963</v>
      </c>
      <c r="B5024" s="138">
        <f ca="1">'Acct Summary 7-8'!F49</f>
        <v>0</v>
      </c>
      <c r="D5024" s="2" t="str">
        <f t="shared" ca="1" si="77"/>
        <v>Error?</v>
      </c>
    </row>
    <row r="5025" spans="1:4" x14ac:dyDescent="0.2">
      <c r="A5025" s="10">
        <v>4964</v>
      </c>
      <c r="C5025" s="2" t="s">
        <v>573</v>
      </c>
      <c r="D5025" s="2" t="str">
        <f t="shared" si="77"/>
        <v>OK</v>
      </c>
    </row>
    <row r="5026" spans="1:4" x14ac:dyDescent="0.2">
      <c r="A5026" s="5">
        <v>4965</v>
      </c>
      <c r="B5026" s="138">
        <f ca="1">'Revenues 9-14'!C6</f>
        <v>141133</v>
      </c>
      <c r="D5026" s="2" t="str">
        <f t="shared" ca="1" si="77"/>
        <v>Error?</v>
      </c>
    </row>
    <row r="5027" spans="1:4" x14ac:dyDescent="0.2">
      <c r="A5027" s="5">
        <v>4966</v>
      </c>
      <c r="B5027" s="138">
        <f ca="1">'Revenues 9-14'!F104</f>
        <v>0</v>
      </c>
      <c r="D5027" s="2" t="str">
        <f t="shared" ca="1"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 ca="1">'Revenues 9-14'!C160</f>
        <v>0</v>
      </c>
      <c r="D5056" s="2" t="str">
        <f t="shared" ca="1" si="78"/>
        <v>Error?</v>
      </c>
    </row>
    <row r="5057" spans="1:4" x14ac:dyDescent="0.2">
      <c r="A5057" s="5">
        <v>4996</v>
      </c>
      <c r="B5057" s="138">
        <f ca="1">'Revenues 9-14'!D160</f>
        <v>0</v>
      </c>
      <c r="D5057" s="2" t="str">
        <f t="shared" ca="1" si="78"/>
        <v>Error?</v>
      </c>
    </row>
    <row r="5058" spans="1:4" x14ac:dyDescent="0.2">
      <c r="A5058" s="5">
        <v>4997</v>
      </c>
      <c r="B5058" s="138">
        <f ca="1">'Revenues 9-14'!F160</f>
        <v>0</v>
      </c>
      <c r="D5058" s="2" t="str">
        <f t="shared" ca="1" si="78"/>
        <v>Error?</v>
      </c>
    </row>
    <row r="5059" spans="1:4" x14ac:dyDescent="0.2">
      <c r="A5059" s="5">
        <v>4998</v>
      </c>
      <c r="B5059" s="138">
        <f ca="1">'Revenues 9-14'!G160</f>
        <v>0</v>
      </c>
      <c r="D5059" s="2" t="str">
        <f t="shared" ca="1" si="78"/>
        <v>Error?</v>
      </c>
    </row>
    <row r="5060" spans="1:4" x14ac:dyDescent="0.2">
      <c r="A5060" s="5">
        <v>4999</v>
      </c>
      <c r="B5060" s="138">
        <f ca="1">'Revenues 9-14'!C161</f>
        <v>0</v>
      </c>
      <c r="D5060" s="2" t="str">
        <f t="shared" ca="1" si="78"/>
        <v>Error?</v>
      </c>
    </row>
    <row r="5061" spans="1:4" x14ac:dyDescent="0.2">
      <c r="A5061" s="5">
        <v>5000</v>
      </c>
      <c r="B5061" s="138">
        <f ca="1">'Revenues 9-14'!C5</f>
        <v>6328280</v>
      </c>
      <c r="D5061" s="2" t="str">
        <f t="shared" ca="1" si="78"/>
        <v>Error?</v>
      </c>
    </row>
    <row r="5062" spans="1:4" x14ac:dyDescent="0.2">
      <c r="A5062" s="10">
        <v>5001</v>
      </c>
      <c r="D5062" s="2" t="str">
        <f t="shared" si="78"/>
        <v>OK</v>
      </c>
    </row>
    <row r="5063" spans="1:4" x14ac:dyDescent="0.2">
      <c r="A5063" s="5">
        <v>5002</v>
      </c>
      <c r="B5063" s="138">
        <f ca="1">'Revenues 9-14'!C7</f>
        <v>56214</v>
      </c>
      <c r="D5063" s="2" t="str">
        <f t="shared" ca="1" si="78"/>
        <v>Error?</v>
      </c>
    </row>
    <row r="5064" spans="1:4" x14ac:dyDescent="0.2">
      <c r="A5064" s="5">
        <v>5003</v>
      </c>
      <c r="B5064" s="138">
        <f ca="1">'Revenues 9-14'!C10</f>
        <v>0</v>
      </c>
      <c r="D5064" s="2" t="str">
        <f t="shared" ca="1" si="78"/>
        <v>Error?</v>
      </c>
    </row>
    <row r="5065" spans="1:4" x14ac:dyDescent="0.2">
      <c r="A5065" s="5">
        <v>5004</v>
      </c>
      <c r="B5065" s="138">
        <f ca="1">'Revenues 9-14'!C11</f>
        <v>0</v>
      </c>
      <c r="D5065" s="2" t="str">
        <f t="shared" ca="1" si="78"/>
        <v>Error?</v>
      </c>
    </row>
    <row r="5066" spans="1:4" x14ac:dyDescent="0.2">
      <c r="A5066" s="5">
        <v>5005</v>
      </c>
      <c r="B5066" s="138">
        <f ca="1">'Revenues 9-14'!C12</f>
        <v>6525627</v>
      </c>
      <c r="C5066" s="2" t="s">
        <v>573</v>
      </c>
      <c r="D5066" s="2" t="str">
        <f t="shared" ca="1" si="78"/>
        <v>Error?</v>
      </c>
    </row>
    <row r="5067" spans="1:4" x14ac:dyDescent="0.2">
      <c r="A5067" s="5">
        <v>5006</v>
      </c>
      <c r="B5067" s="138">
        <f ca="1">'Revenues 9-14'!C14</f>
        <v>0</v>
      </c>
      <c r="D5067" s="2" t="str">
        <f t="shared" ca="1" si="78"/>
        <v>Error?</v>
      </c>
    </row>
    <row r="5068" spans="1:4" x14ac:dyDescent="0.2">
      <c r="A5068" s="5">
        <v>5007</v>
      </c>
      <c r="B5068" s="138">
        <f ca="1">'Revenues 9-14'!C15</f>
        <v>0</v>
      </c>
      <c r="D5068" s="2" t="str">
        <f t="shared" ca="1" si="78"/>
        <v>Error?</v>
      </c>
    </row>
    <row r="5069" spans="1:4" x14ac:dyDescent="0.2">
      <c r="A5069" s="5">
        <v>5008</v>
      </c>
      <c r="B5069" s="138">
        <f ca="1">'Revenues 9-14'!C16</f>
        <v>1007036</v>
      </c>
      <c r="D5069" s="2" t="str">
        <f t="shared" ca="1" si="78"/>
        <v>Error?</v>
      </c>
    </row>
    <row r="5070" spans="1:4" x14ac:dyDescent="0.2">
      <c r="A5070" s="5">
        <v>5009</v>
      </c>
      <c r="B5070" s="138">
        <f ca="1">'Revenues 9-14'!C17</f>
        <v>0</v>
      </c>
      <c r="D5070" s="2" t="str">
        <f t="shared" ca="1" si="78"/>
        <v>Error?</v>
      </c>
    </row>
    <row r="5071" spans="1:4" x14ac:dyDescent="0.2">
      <c r="A5071" s="5">
        <v>5010</v>
      </c>
      <c r="B5071" s="138">
        <f ca="1">'Revenues 9-14'!C18</f>
        <v>1007036</v>
      </c>
      <c r="C5071" s="2" t="s">
        <v>573</v>
      </c>
      <c r="D5071" s="2" t="str">
        <f t="shared" ca="1" si="78"/>
        <v>Error?</v>
      </c>
    </row>
    <row r="5072" spans="1:4" x14ac:dyDescent="0.2">
      <c r="A5072" s="5">
        <v>5011</v>
      </c>
      <c r="B5072" s="138">
        <f ca="1">'Revenues 9-14'!C20</f>
        <v>0</v>
      </c>
      <c r="D5072" s="2" t="str">
        <f t="shared" ca="1" si="78"/>
        <v>Error?</v>
      </c>
    </row>
    <row r="5073" spans="1:4" x14ac:dyDescent="0.2">
      <c r="A5073" s="5">
        <v>5012</v>
      </c>
      <c r="B5073" s="138">
        <f ca="1">'Revenues 9-14'!C21</f>
        <v>0</v>
      </c>
      <c r="D5073" s="2" t="str">
        <f t="shared" ca="1" si="78"/>
        <v>Error?</v>
      </c>
    </row>
    <row r="5074" spans="1:4" x14ac:dyDescent="0.2">
      <c r="A5074" s="5">
        <v>5013</v>
      </c>
      <c r="B5074" s="138">
        <f ca="1">'Revenues 9-14'!C22</f>
        <v>0</v>
      </c>
      <c r="D5074" s="2" t="str">
        <f t="shared" ca="1" si="78"/>
        <v>Error?</v>
      </c>
    </row>
    <row r="5075" spans="1:4" x14ac:dyDescent="0.2">
      <c r="A5075" s="5">
        <v>5014</v>
      </c>
      <c r="B5075" s="138">
        <f ca="1">'Revenues 9-14'!C24</f>
        <v>0</v>
      </c>
      <c r="D5075" s="2" t="str">
        <f t="shared" ca="1" si="78"/>
        <v>Error?</v>
      </c>
    </row>
    <row r="5076" spans="1:4" x14ac:dyDescent="0.2">
      <c r="A5076" s="5">
        <v>5015</v>
      </c>
      <c r="B5076" s="138">
        <f ca="1">'Revenues 9-14'!C25</f>
        <v>0</v>
      </c>
      <c r="D5076" s="2" t="str">
        <f t="shared" ca="1" si="78"/>
        <v>Error?</v>
      </c>
    </row>
    <row r="5077" spans="1:4" x14ac:dyDescent="0.2">
      <c r="A5077" s="5">
        <v>5016</v>
      </c>
      <c r="B5077" s="138">
        <f ca="1">'Revenues 9-14'!C26</f>
        <v>0</v>
      </c>
      <c r="D5077" s="2" t="str">
        <f t="shared" ca="1" si="78"/>
        <v>Error?</v>
      </c>
    </row>
    <row r="5078" spans="1:4" x14ac:dyDescent="0.2">
      <c r="A5078" s="5">
        <v>5017</v>
      </c>
      <c r="B5078" s="138">
        <f ca="1">'Revenues 9-14'!C28</f>
        <v>0</v>
      </c>
      <c r="D5078" s="2" t="str">
        <f t="shared" ca="1" si="78"/>
        <v>Error?</v>
      </c>
    </row>
    <row r="5079" spans="1:4" x14ac:dyDescent="0.2">
      <c r="A5079" s="5">
        <v>5018</v>
      </c>
      <c r="B5079" s="138">
        <f ca="1">'Revenues 9-14'!C29</f>
        <v>0</v>
      </c>
      <c r="D5079" s="2" t="str">
        <f t="shared" ca="1" si="78"/>
        <v>Error?</v>
      </c>
    </row>
    <row r="5080" spans="1:4" x14ac:dyDescent="0.2">
      <c r="A5080" s="5">
        <v>5019</v>
      </c>
      <c r="B5080" s="138">
        <f ca="1">'Revenues 9-14'!C30</f>
        <v>0</v>
      </c>
      <c r="D5080" s="2" t="str">
        <f t="shared" ca="1" si="78"/>
        <v>Error?</v>
      </c>
    </row>
    <row r="5081" spans="1:4" x14ac:dyDescent="0.2">
      <c r="A5081" s="5">
        <v>5020</v>
      </c>
      <c r="B5081" s="138">
        <f ca="1">'Revenues 9-14'!C32</f>
        <v>0</v>
      </c>
      <c r="D5081" s="2" t="str">
        <f t="shared" ca="1" si="78"/>
        <v>Error?</v>
      </c>
    </row>
    <row r="5082" spans="1:4" x14ac:dyDescent="0.2">
      <c r="A5082" s="5">
        <v>5021</v>
      </c>
      <c r="B5082" s="138">
        <f ca="1">'Revenues 9-14'!C33</f>
        <v>259828</v>
      </c>
      <c r="D5082" s="2" t="str">
        <f t="shared" ca="1" si="78"/>
        <v>Error?</v>
      </c>
    </row>
    <row r="5083" spans="1:4" x14ac:dyDescent="0.2">
      <c r="A5083" s="5">
        <v>5022</v>
      </c>
      <c r="B5083" s="138">
        <f ca="1">'Revenues 9-14'!C34</f>
        <v>0</v>
      </c>
      <c r="D5083" s="2" t="str">
        <f t="shared" ca="1" si="78"/>
        <v>Error?</v>
      </c>
    </row>
    <row r="5084" spans="1:4" x14ac:dyDescent="0.2">
      <c r="A5084" s="5">
        <v>5023</v>
      </c>
      <c r="B5084" s="138">
        <f ca="1">'Revenues 9-14'!C36</f>
        <v>0</v>
      </c>
      <c r="D5084" s="2" t="str">
        <f t="shared" ca="1" si="78"/>
        <v>Error?</v>
      </c>
    </row>
    <row r="5085" spans="1:4" x14ac:dyDescent="0.2">
      <c r="A5085" s="5">
        <v>5024</v>
      </c>
      <c r="B5085" s="138">
        <f ca="1">'Revenues 9-14'!C37</f>
        <v>0</v>
      </c>
      <c r="D5085" s="2" t="str">
        <f t="shared" ca="1" si="78"/>
        <v>Error?</v>
      </c>
    </row>
    <row r="5086" spans="1:4" x14ac:dyDescent="0.2">
      <c r="A5086" s="5">
        <v>5025</v>
      </c>
      <c r="B5086" s="138">
        <f ca="1">'Revenues 9-14'!C38</f>
        <v>0</v>
      </c>
      <c r="D5086" s="2" t="str">
        <f t="shared" ca="1" si="78"/>
        <v>Error?</v>
      </c>
    </row>
    <row r="5087" spans="1:4" x14ac:dyDescent="0.2">
      <c r="A5087" s="5">
        <v>5026</v>
      </c>
      <c r="B5087" s="138">
        <f ca="1">'Revenues 9-14'!C40</f>
        <v>259828</v>
      </c>
      <c r="C5087" s="2" t="s">
        <v>573</v>
      </c>
      <c r="D5087" s="2" t="str">
        <f t="shared" ca="1" si="78"/>
        <v>Error?</v>
      </c>
    </row>
    <row r="5088" spans="1:4" x14ac:dyDescent="0.2">
      <c r="A5088" s="5">
        <v>5027</v>
      </c>
      <c r="B5088" s="138">
        <f ca="1">'Revenues 9-14'!C65</f>
        <v>46254</v>
      </c>
      <c r="D5088" s="2" t="str">
        <f t="shared" ca="1" si="78"/>
        <v>Error?</v>
      </c>
    </row>
    <row r="5089" spans="1:4" x14ac:dyDescent="0.2">
      <c r="A5089" s="5">
        <v>5028</v>
      </c>
      <c r="B5089" s="138">
        <f ca="1">'Revenues 9-14'!C66</f>
        <v>0</v>
      </c>
      <c r="D5089" s="2" t="str">
        <f t="shared" ca="1" si="78"/>
        <v>Error?</v>
      </c>
    </row>
    <row r="5090" spans="1:4" x14ac:dyDescent="0.2">
      <c r="A5090" s="5">
        <v>5029</v>
      </c>
      <c r="B5090" s="138">
        <f ca="1">'Revenues 9-14'!C67</f>
        <v>46254</v>
      </c>
      <c r="C5090" s="2" t="s">
        <v>573</v>
      </c>
      <c r="D5090" s="2" t="str">
        <f t="shared" ca="1" si="78"/>
        <v>Error?</v>
      </c>
    </row>
    <row r="5091" spans="1:4" x14ac:dyDescent="0.2">
      <c r="A5091" s="5">
        <v>5030</v>
      </c>
      <c r="B5091" s="138">
        <f ca="1">'Revenues 9-14'!C70</f>
        <v>6473</v>
      </c>
      <c r="D5091" s="2" t="str">
        <f t="shared" ca="1" si="78"/>
        <v>Error?</v>
      </c>
    </row>
    <row r="5092" spans="1:4" x14ac:dyDescent="0.2">
      <c r="A5092" s="5">
        <v>5031</v>
      </c>
      <c r="B5092" s="138">
        <f ca="1">'Revenues 9-14'!C71</f>
        <v>26370</v>
      </c>
      <c r="D5092" s="2" t="str">
        <f t="shared" ca="1" si="78"/>
        <v>Error?</v>
      </c>
    </row>
    <row r="5093" spans="1:4" x14ac:dyDescent="0.2">
      <c r="A5093" s="5">
        <v>5032</v>
      </c>
      <c r="B5093" s="138">
        <f ca="1">'Revenues 9-14'!C72</f>
        <v>0</v>
      </c>
      <c r="D5093" s="2" t="str">
        <f t="shared" ca="1" si="78"/>
        <v>Error?</v>
      </c>
    </row>
    <row r="5094" spans="1:4" x14ac:dyDescent="0.2">
      <c r="A5094" s="5">
        <v>5033</v>
      </c>
      <c r="B5094" s="138">
        <f ca="1">'Revenues 9-14'!C73</f>
        <v>12038</v>
      </c>
      <c r="D5094" s="2" t="str">
        <f t="shared" ca="1" si="78"/>
        <v>Error?</v>
      </c>
    </row>
    <row r="5095" spans="1:4" x14ac:dyDescent="0.2">
      <c r="A5095" s="5">
        <v>5034</v>
      </c>
      <c r="B5095" s="138">
        <f ca="1">'Revenues 9-14'!C74</f>
        <v>1181</v>
      </c>
      <c r="D5095" s="2" t="str">
        <f t="shared" ca="1" si="78"/>
        <v>Error?</v>
      </c>
    </row>
    <row r="5096" spans="1:4" x14ac:dyDescent="0.2">
      <c r="A5096" s="5">
        <v>5035</v>
      </c>
      <c r="B5096" s="138">
        <f ca="1">'Revenues 9-14'!C75</f>
        <v>206920</v>
      </c>
      <c r="C5096" s="2" t="s">
        <v>573</v>
      </c>
      <c r="D5096" s="2" t="str">
        <f t="shared" ca="1" si="78"/>
        <v>Error?</v>
      </c>
    </row>
    <row r="5097" spans="1:4" x14ac:dyDescent="0.2">
      <c r="A5097" s="5">
        <v>5036</v>
      </c>
      <c r="B5097" s="138">
        <f ca="1">'Revenues 9-14'!C77</f>
        <v>18739</v>
      </c>
      <c r="D5097" s="2" t="str">
        <f t="shared" ca="1" si="78"/>
        <v>Error?</v>
      </c>
    </row>
    <row r="5098" spans="1:4" x14ac:dyDescent="0.2">
      <c r="A5098" s="5">
        <v>5037</v>
      </c>
      <c r="B5098" s="138">
        <f ca="1">'Revenues 9-14'!C78</f>
        <v>0</v>
      </c>
      <c r="D5098" s="2" t="str">
        <f t="shared" ca="1" si="78"/>
        <v>Error?</v>
      </c>
    </row>
    <row r="5099" spans="1:4" x14ac:dyDescent="0.2">
      <c r="A5099" s="5">
        <v>5038</v>
      </c>
      <c r="B5099" s="138">
        <f ca="1">'Revenues 9-14'!C79</f>
        <v>106253</v>
      </c>
      <c r="D5099" s="2" t="str">
        <f t="shared" ca="1" si="78"/>
        <v>Error?</v>
      </c>
    </row>
    <row r="5100" spans="1:4" x14ac:dyDescent="0.2">
      <c r="A5100" s="5">
        <v>5039</v>
      </c>
      <c r="B5100" s="138">
        <f ca="1">'Revenues 9-14'!C80</f>
        <v>23252</v>
      </c>
      <c r="D5100" s="2" t="str">
        <f t="shared" ca="1" si="78"/>
        <v>Error?</v>
      </c>
    </row>
    <row r="5101" spans="1:4" x14ac:dyDescent="0.2">
      <c r="A5101" s="5">
        <v>5040</v>
      </c>
      <c r="B5101" s="138">
        <f ca="1">'Revenues 9-14'!C81</f>
        <v>0</v>
      </c>
      <c r="D5101" s="2" t="str">
        <f t="shared" ca="1" si="78"/>
        <v>Error?</v>
      </c>
    </row>
    <row r="5102" spans="1:4" x14ac:dyDescent="0.2">
      <c r="A5102" s="5">
        <v>5041</v>
      </c>
      <c r="B5102" s="138">
        <f ca="1">'Revenues 9-14'!C82</f>
        <v>148244</v>
      </c>
      <c r="C5102" s="2" t="s">
        <v>573</v>
      </c>
      <c r="D5102" s="2" t="str">
        <f t="shared" ca="1" si="78"/>
        <v>Error?</v>
      </c>
    </row>
    <row r="5103" spans="1:4" x14ac:dyDescent="0.2">
      <c r="A5103" s="5">
        <v>5042</v>
      </c>
      <c r="B5103" s="138">
        <f ca="1">'Revenues 9-14'!C84</f>
        <v>0</v>
      </c>
      <c r="D5103" s="2" t="str">
        <f t="shared" ca="1" si="78"/>
        <v>Error?</v>
      </c>
    </row>
    <row r="5104" spans="1:4" x14ac:dyDescent="0.2">
      <c r="A5104" s="5">
        <v>5043</v>
      </c>
      <c r="B5104" s="138">
        <f ca="1">'Revenues 9-14'!C85</f>
        <v>0</v>
      </c>
      <c r="D5104" s="2" t="str">
        <f t="shared" ca="1" si="78"/>
        <v>Error?</v>
      </c>
    </row>
    <row r="5105" spans="1:4" x14ac:dyDescent="0.2">
      <c r="A5105" s="5">
        <v>5044</v>
      </c>
      <c r="B5105" s="138">
        <f ca="1">'Revenues 9-14'!C86</f>
        <v>0</v>
      </c>
      <c r="D5105" s="2" t="str">
        <f t="shared" ca="1" si="78"/>
        <v>Error?</v>
      </c>
    </row>
    <row r="5106" spans="1:4" x14ac:dyDescent="0.2">
      <c r="A5106" s="5">
        <v>5045</v>
      </c>
      <c r="B5106" s="138">
        <f ca="1">'Revenues 9-14'!C87</f>
        <v>0</v>
      </c>
      <c r="D5106" s="2" t="str">
        <f t="shared" ca="1" si="78"/>
        <v>Error?</v>
      </c>
    </row>
    <row r="5107" spans="1:4" x14ac:dyDescent="0.2">
      <c r="A5107" s="5">
        <v>5046</v>
      </c>
      <c r="B5107" s="138">
        <f ca="1">'Revenues 9-14'!C88</f>
        <v>0</v>
      </c>
      <c r="D5107" s="2" t="str">
        <f t="shared" ca="1" si="78"/>
        <v>Error?</v>
      </c>
    </row>
    <row r="5108" spans="1:4" x14ac:dyDescent="0.2">
      <c r="A5108" s="5">
        <v>5047</v>
      </c>
      <c r="B5108" s="138">
        <f ca="1">'Revenues 9-14'!C89</f>
        <v>0</v>
      </c>
      <c r="D5108" s="2" t="str">
        <f t="shared" ca="1" si="78"/>
        <v>Error?</v>
      </c>
    </row>
    <row r="5109" spans="1:4" x14ac:dyDescent="0.2">
      <c r="A5109" s="5">
        <v>5048</v>
      </c>
      <c r="B5109" s="138">
        <f ca="1">'Revenues 9-14'!C90</f>
        <v>0</v>
      </c>
      <c r="D5109" s="2" t="str">
        <f t="shared" ca="1" si="78"/>
        <v>Error?</v>
      </c>
    </row>
    <row r="5110" spans="1:4" x14ac:dyDescent="0.2">
      <c r="A5110" s="5">
        <v>5049</v>
      </c>
      <c r="B5110" s="138">
        <f ca="1">'Revenues 9-14'!C91</f>
        <v>0</v>
      </c>
      <c r="D5110" s="2" t="str">
        <f t="shared" ca="1" si="78"/>
        <v>Error?</v>
      </c>
    </row>
    <row r="5111" spans="1:4" x14ac:dyDescent="0.2">
      <c r="A5111" s="5">
        <v>5050</v>
      </c>
      <c r="B5111" s="138">
        <f ca="1">'Revenues 9-14'!C92</f>
        <v>0</v>
      </c>
      <c r="D5111" s="2" t="str">
        <f t="shared" ca="1" si="78"/>
        <v>Error?</v>
      </c>
    </row>
    <row r="5112" spans="1:4" x14ac:dyDescent="0.2">
      <c r="A5112" s="5">
        <v>5051</v>
      </c>
      <c r="B5112" s="138">
        <f ca="1">'Revenues 9-14'!C93</f>
        <v>0</v>
      </c>
      <c r="C5112" s="2" t="s">
        <v>573</v>
      </c>
      <c r="D5112" s="2" t="str">
        <f t="shared" ca="1" si="78"/>
        <v>Error?</v>
      </c>
    </row>
    <row r="5113" spans="1:4" x14ac:dyDescent="0.2">
      <c r="A5113" s="5">
        <v>5052</v>
      </c>
      <c r="B5113" s="138">
        <f ca="1">'Revenues 9-14'!C95</f>
        <v>0</v>
      </c>
      <c r="D5113" s="2" t="str">
        <f t="shared" ca="1" si="78"/>
        <v>Error?</v>
      </c>
    </row>
    <row r="5114" spans="1:4" x14ac:dyDescent="0.2">
      <c r="A5114" s="5">
        <v>5053</v>
      </c>
      <c r="B5114" s="138">
        <f ca="1">'Revenues 9-14'!C96</f>
        <v>966</v>
      </c>
      <c r="D5114" s="2" t="str">
        <f t="shared" ca="1" si="78"/>
        <v>Error?</v>
      </c>
    </row>
    <row r="5115" spans="1:4" x14ac:dyDescent="0.2">
      <c r="A5115" s="5">
        <v>5054</v>
      </c>
      <c r="B5115" s="138">
        <f ca="1">'Revenues 9-14'!C98</f>
        <v>123135</v>
      </c>
      <c r="D5115" s="2" t="str">
        <f t="shared" ca="1" si="78"/>
        <v>Error?</v>
      </c>
    </row>
    <row r="5116" spans="1:4" x14ac:dyDescent="0.2">
      <c r="A5116" s="5">
        <v>5055</v>
      </c>
      <c r="B5116" s="138">
        <f ca="1">'Revenues 9-14'!C99</f>
        <v>7940</v>
      </c>
      <c r="D5116" s="2" t="str">
        <f t="shared" ca="1" si="78"/>
        <v>Error?</v>
      </c>
    </row>
    <row r="5117" spans="1:4" x14ac:dyDescent="0.2">
      <c r="A5117" s="5">
        <v>5056</v>
      </c>
      <c r="B5117" s="138">
        <f ca="1">'Revenues 9-14'!C105</f>
        <v>0</v>
      </c>
      <c r="D5117" s="2" t="str">
        <f t="shared" ca="1" si="78"/>
        <v>Error?</v>
      </c>
    </row>
    <row r="5118" spans="1:4" x14ac:dyDescent="0.2">
      <c r="A5118" s="5">
        <v>5057</v>
      </c>
      <c r="B5118" s="138">
        <f ca="1">'Revenues 9-14'!C106</f>
        <v>0</v>
      </c>
      <c r="D5118" s="2" t="str">
        <f t="shared" ca="1" si="78"/>
        <v>Error?</v>
      </c>
    </row>
    <row r="5119" spans="1:4" x14ac:dyDescent="0.2">
      <c r="A5119" s="5">
        <v>5058</v>
      </c>
      <c r="B5119" s="138">
        <f ca="1">'Revenues 9-14'!C107</f>
        <v>3387</v>
      </c>
      <c r="D5119" s="2" t="str">
        <f t="shared" ref="D5119:D5182" ca="1" si="79">IF(ISBLANK(B5119),"OK",IF(A5119-B5119=0,"OK","Error?"))</f>
        <v>Error?</v>
      </c>
    </row>
    <row r="5120" spans="1:4" x14ac:dyDescent="0.2">
      <c r="A5120" s="5">
        <v>5059</v>
      </c>
      <c r="B5120" s="138">
        <f ca="1">'Revenues 9-14'!C108</f>
        <v>135428</v>
      </c>
      <c r="C5120" s="2" t="s">
        <v>573</v>
      </c>
      <c r="D5120" s="2" t="str">
        <f t="shared" ca="1" si="79"/>
        <v>Error?</v>
      </c>
    </row>
    <row r="5121" spans="1:4" x14ac:dyDescent="0.2">
      <c r="A5121" s="5">
        <v>5060</v>
      </c>
      <c r="B5121" s="138">
        <f ca="1">'Revenues 9-14'!C109</f>
        <v>8329337</v>
      </c>
      <c r="C5121" s="2" t="s">
        <v>573</v>
      </c>
      <c r="D5121" s="2" t="str">
        <f t="shared" ca="1" si="79"/>
        <v>Error?</v>
      </c>
    </row>
    <row r="5122" spans="1:4" x14ac:dyDescent="0.2">
      <c r="A5122" s="5">
        <v>5061</v>
      </c>
      <c r="B5122" s="138">
        <f ca="1">'Revenues 9-14'!C111</f>
        <v>0</v>
      </c>
      <c r="D5122" s="2" t="str">
        <f t="shared" ca="1" si="79"/>
        <v>Error?</v>
      </c>
    </row>
    <row r="5123" spans="1:4" x14ac:dyDescent="0.2">
      <c r="A5123" s="5">
        <v>5062</v>
      </c>
      <c r="B5123" s="138">
        <f ca="1">'Revenues 9-14'!C112</f>
        <v>0</v>
      </c>
      <c r="D5123" s="2" t="str">
        <f t="shared" ca="1" si="79"/>
        <v>Error?</v>
      </c>
    </row>
    <row r="5124" spans="1:4" x14ac:dyDescent="0.2">
      <c r="A5124" s="5">
        <v>5063</v>
      </c>
      <c r="B5124" s="138">
        <f ca="1">'Revenues 9-14'!C113</f>
        <v>0</v>
      </c>
      <c r="D5124" s="2" t="str">
        <f t="shared" ca="1" si="79"/>
        <v>Error?</v>
      </c>
    </row>
    <row r="5125" spans="1:4" x14ac:dyDescent="0.2">
      <c r="A5125" s="5">
        <v>5064</v>
      </c>
      <c r="B5125" s="138">
        <f ca="1">'Revenues 9-14'!C114</f>
        <v>0</v>
      </c>
      <c r="C5125" s="2" t="s">
        <v>573</v>
      </c>
      <c r="D5125" s="2" t="str">
        <f t="shared" ca="1" si="79"/>
        <v>Error?</v>
      </c>
    </row>
    <row r="5126" spans="1:4" x14ac:dyDescent="0.2">
      <c r="A5126" s="5">
        <v>5065</v>
      </c>
      <c r="B5126" s="138">
        <f ca="1">'Revenues 9-14'!C117</f>
        <v>6452076</v>
      </c>
      <c r="D5126" s="2" t="str">
        <f t="shared" ca="1" si="79"/>
        <v>Error?</v>
      </c>
    </row>
    <row r="5127" spans="1:4" x14ac:dyDescent="0.2">
      <c r="A5127" s="5">
        <v>5066</v>
      </c>
      <c r="B5127" s="138">
        <f ca="1">'Revenues 9-14'!C119</f>
        <v>0</v>
      </c>
      <c r="D5127" s="2" t="str">
        <f t="shared" ca="1"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 ca="1">'Revenues 9-14'!C122</f>
        <v>6452076</v>
      </c>
      <c r="C5132" s="2" t="s">
        <v>573</v>
      </c>
      <c r="D5132" s="2" t="str">
        <f t="shared" ca="1" si="79"/>
        <v>Error?</v>
      </c>
    </row>
    <row r="5133" spans="1:4" x14ac:dyDescent="0.2">
      <c r="A5133" s="5">
        <v>5072</v>
      </c>
      <c r="B5133" s="138">
        <f ca="1">'Revenues 9-14'!C125</f>
        <v>166879</v>
      </c>
      <c r="D5133" s="2" t="str">
        <f t="shared" ca="1" si="79"/>
        <v>Error?</v>
      </c>
    </row>
    <row r="5134" spans="1:4" x14ac:dyDescent="0.2">
      <c r="A5134" s="5">
        <v>5073</v>
      </c>
      <c r="B5134" s="138">
        <f ca="1">'Revenues 9-14'!C126</f>
        <v>0</v>
      </c>
      <c r="D5134" s="2" t="str">
        <f t="shared" ca="1" si="79"/>
        <v>Error?</v>
      </c>
    </row>
    <row r="5135" spans="1:4" x14ac:dyDescent="0.2">
      <c r="A5135" s="5">
        <v>5074</v>
      </c>
      <c r="B5135" s="138">
        <f ca="1">'Revenues 9-14'!C127</f>
        <v>0</v>
      </c>
      <c r="D5135" s="2" t="str">
        <f t="shared" ca="1" si="79"/>
        <v>Error?</v>
      </c>
    </row>
    <row r="5136" spans="1:4" x14ac:dyDescent="0.2">
      <c r="A5136" s="10">
        <v>5075</v>
      </c>
      <c r="D5136" s="2" t="str">
        <f t="shared" si="79"/>
        <v>OK</v>
      </c>
    </row>
    <row r="5137" spans="1:4" x14ac:dyDescent="0.2">
      <c r="A5137" s="5">
        <v>5076</v>
      </c>
      <c r="B5137" s="138">
        <f ca="1">'Revenues 9-14'!C128</f>
        <v>0</v>
      </c>
      <c r="D5137" s="2" t="str">
        <f t="shared" ca="1" si="79"/>
        <v>Error?</v>
      </c>
    </row>
    <row r="5138" spans="1:4" x14ac:dyDescent="0.2">
      <c r="A5138" s="10">
        <v>5077</v>
      </c>
      <c r="D5138" s="2" t="str">
        <f t="shared" si="79"/>
        <v>OK</v>
      </c>
    </row>
    <row r="5139" spans="1:4" x14ac:dyDescent="0.2">
      <c r="A5139" s="5">
        <v>5078</v>
      </c>
      <c r="B5139" s="138">
        <f ca="1">'Revenues 9-14'!C129</f>
        <v>0</v>
      </c>
      <c r="D5139" s="2" t="str">
        <f t="shared" ca="1"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 ca="1">'Revenues 9-14'!C130</f>
        <v>0</v>
      </c>
      <c r="D5142" s="2" t="str">
        <f t="shared" ca="1"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 ca="1">'Revenues 9-14'!C132</f>
        <v>166879</v>
      </c>
      <c r="C5147" s="2" t="s">
        <v>573</v>
      </c>
      <c r="D5147" s="2" t="str">
        <f t="shared" ca="1" si="79"/>
        <v>Error?</v>
      </c>
    </row>
    <row r="5148" spans="1:4" x14ac:dyDescent="0.2">
      <c r="A5148" s="5">
        <v>5087</v>
      </c>
      <c r="B5148" s="138">
        <f ca="1">'Revenues 9-14'!C134</f>
        <v>0</v>
      </c>
      <c r="D5148" s="2" t="str">
        <f t="shared" ca="1"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 ca="1">'Revenues 9-14'!C135</f>
        <v>0</v>
      </c>
      <c r="D5152" s="2" t="str">
        <f t="shared" ca="1" si="79"/>
        <v>Error?</v>
      </c>
    </row>
    <row r="5153" spans="1:4" x14ac:dyDescent="0.2">
      <c r="A5153" s="5">
        <v>5092</v>
      </c>
      <c r="B5153" s="138">
        <f ca="1">'Revenues 9-14'!C136</f>
        <v>0</v>
      </c>
      <c r="D5153" s="2" t="str">
        <f t="shared" ca="1"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 ca="1">'Revenues 9-14'!C141</f>
        <v>0</v>
      </c>
      <c r="C5161" s="2" t="s">
        <v>573</v>
      </c>
      <c r="D5161" s="2" t="str">
        <f t="shared" ca="1" si="79"/>
        <v>Error?</v>
      </c>
    </row>
    <row r="5162" spans="1:4" x14ac:dyDescent="0.2">
      <c r="A5162" s="10">
        <v>5101</v>
      </c>
      <c r="D5162" s="2" t="str">
        <f t="shared" si="79"/>
        <v>OK</v>
      </c>
    </row>
    <row r="5163" spans="1:4" x14ac:dyDescent="0.2">
      <c r="A5163" s="5">
        <v>5102</v>
      </c>
      <c r="B5163" s="138">
        <f ca="1">'Revenues 9-14'!C143</f>
        <v>0</v>
      </c>
      <c r="D5163" s="2" t="str">
        <f t="shared" ca="1" si="79"/>
        <v>Error?</v>
      </c>
    </row>
    <row r="5164" spans="1:4" x14ac:dyDescent="0.2">
      <c r="A5164" s="5">
        <v>5103</v>
      </c>
      <c r="B5164" s="138">
        <f ca="1">'Revenues 9-14'!C144</f>
        <v>0</v>
      </c>
      <c r="D5164" s="2" t="str">
        <f t="shared" ca="1" si="79"/>
        <v>Error?</v>
      </c>
    </row>
    <row r="5165" spans="1:4" x14ac:dyDescent="0.2">
      <c r="A5165" s="5">
        <v>5104</v>
      </c>
      <c r="B5165" s="138">
        <f ca="1">'Revenues 9-14'!C145</f>
        <v>0</v>
      </c>
      <c r="C5165" s="2" t="s">
        <v>573</v>
      </c>
      <c r="D5165" s="2" t="str">
        <f t="shared" ca="1" si="79"/>
        <v>Error?</v>
      </c>
    </row>
    <row r="5166" spans="1:4" x14ac:dyDescent="0.2">
      <c r="A5166" s="10">
        <v>5105</v>
      </c>
      <c r="D5166" s="2" t="str">
        <f t="shared" si="79"/>
        <v>OK</v>
      </c>
    </row>
    <row r="5167" spans="1:4" x14ac:dyDescent="0.2">
      <c r="A5167" s="5">
        <v>5106</v>
      </c>
      <c r="B5167" s="138">
        <f ca="1">'Revenues 9-14'!C146</f>
        <v>9092</v>
      </c>
      <c r="D5167" s="2" t="str">
        <f t="shared" ca="1" si="79"/>
        <v>Error?</v>
      </c>
    </row>
    <row r="5168" spans="1:4" x14ac:dyDescent="0.2">
      <c r="A5168" s="5">
        <v>5107</v>
      </c>
      <c r="B5168" s="138">
        <f ca="1">'Revenues 9-14'!C148</f>
        <v>0</v>
      </c>
      <c r="D5168" s="2" t="str">
        <f t="shared" ca="1"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 ca="1">'Revenues 9-14'!C149</f>
        <v>0</v>
      </c>
      <c r="D5171" s="2" t="str">
        <f t="shared" ca="1"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 ca="1">'Revenues 9-14'!C152</f>
        <v>0</v>
      </c>
      <c r="D5175" s="2" t="str">
        <f t="shared" ca="1" si="79"/>
        <v>Error?</v>
      </c>
    </row>
    <row r="5176" spans="1:4" x14ac:dyDescent="0.2">
      <c r="A5176" s="10">
        <v>5115</v>
      </c>
      <c r="D5176" s="2" t="str">
        <f t="shared" si="79"/>
        <v>OK</v>
      </c>
    </row>
    <row r="5177" spans="1:4" x14ac:dyDescent="0.2">
      <c r="A5177" s="5">
        <v>5116</v>
      </c>
      <c r="B5177" s="138">
        <f ca="1">'Revenues 9-14'!C153</f>
        <v>0</v>
      </c>
      <c r="D5177" s="2" t="str">
        <f t="shared" ca="1" si="79"/>
        <v>Error?</v>
      </c>
    </row>
    <row r="5178" spans="1:4" x14ac:dyDescent="0.2">
      <c r="A5178" s="5">
        <v>5117</v>
      </c>
      <c r="B5178" s="138">
        <f ca="1">'Revenues 9-14'!C155</f>
        <v>0</v>
      </c>
      <c r="C5178" s="2" t="s">
        <v>573</v>
      </c>
      <c r="D5178" s="2" t="str">
        <f t="shared" ca="1"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 ca="1">'Revenues 9-14'!C156</f>
        <v>0</v>
      </c>
      <c r="D5181" s="2" t="str">
        <f t="shared" ca="1"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 ca="1">'Revenues 9-14'!C157</f>
        <v>0</v>
      </c>
      <c r="D5187" s="2" t="str">
        <f t="shared" ca="1"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 ca="1">'Revenues 9-14'!C158</f>
        <v>0</v>
      </c>
      <c r="D5194" s="2" t="str">
        <f t="shared" ca="1" si="80"/>
        <v>Error?</v>
      </c>
    </row>
    <row r="5195" spans="1:5" x14ac:dyDescent="0.2">
      <c r="A5195" s="10">
        <v>5134</v>
      </c>
      <c r="D5195" s="2" t="str">
        <f t="shared" si="80"/>
        <v>OK</v>
      </c>
    </row>
    <row r="5196" spans="1:5" x14ac:dyDescent="0.2">
      <c r="A5196" s="5">
        <v>5135</v>
      </c>
      <c r="B5196" s="138">
        <f ca="1">'Revenues 9-14'!C159</f>
        <v>776501</v>
      </c>
      <c r="D5196" s="2" t="str">
        <f t="shared" ca="1"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 ca="1">'Revenues 9-14'!C169</f>
        <v>953851</v>
      </c>
      <c r="C5214" s="2" t="s">
        <v>573</v>
      </c>
      <c r="D5214" s="2" t="str">
        <f t="shared" ca="1"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 ca="1">'Revenues 9-14'!C170</f>
        <v>7405927</v>
      </c>
      <c r="C5223" s="2" t="s">
        <v>573</v>
      </c>
      <c r="D5223" s="2" t="str">
        <f t="shared" ca="1" si="80"/>
        <v>Error?</v>
      </c>
    </row>
    <row r="5224" spans="1:4" x14ac:dyDescent="0.2">
      <c r="A5224" s="5">
        <v>5163</v>
      </c>
      <c r="B5224" s="138">
        <f ca="1">'Revenues 9-14'!C173</f>
        <v>0</v>
      </c>
      <c r="D5224" s="2" t="str">
        <f t="shared" ca="1" si="80"/>
        <v>Error?</v>
      </c>
    </row>
    <row r="5225" spans="1:4" x14ac:dyDescent="0.2">
      <c r="A5225" s="5">
        <v>5164</v>
      </c>
      <c r="B5225" s="138">
        <f ca="1">'Revenues 9-14'!C175</f>
        <v>0</v>
      </c>
      <c r="C5225" s="2" t="s">
        <v>573</v>
      </c>
      <c r="D5225" s="2" t="str">
        <f t="shared" ca="1"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 ca="1">'Revenues 9-14'!C177</f>
        <v>0</v>
      </c>
      <c r="D5230" s="2" t="str">
        <f t="shared" ca="1" si="80"/>
        <v>Error?</v>
      </c>
    </row>
    <row r="5231" spans="1:4" x14ac:dyDescent="0.2">
      <c r="A5231" s="5">
        <v>5170</v>
      </c>
      <c r="B5231" s="138">
        <f ca="1">'Revenues 9-14'!C178</f>
        <v>0</v>
      </c>
      <c r="D5231" s="2" t="str">
        <f t="shared" ca="1" si="80"/>
        <v>Error?</v>
      </c>
    </row>
    <row r="5232" spans="1:4" x14ac:dyDescent="0.2">
      <c r="A5232" s="5">
        <v>5171</v>
      </c>
      <c r="B5232" s="138">
        <f ca="1">'Revenues 9-14'!C181</f>
        <v>0</v>
      </c>
      <c r="C5232" s="2" t="s">
        <v>573</v>
      </c>
      <c r="D5232" s="2" t="str">
        <f t="shared" ca="1" si="80"/>
        <v>Error?</v>
      </c>
    </row>
    <row r="5233" spans="1:4" x14ac:dyDescent="0.2">
      <c r="A5233" s="5">
        <v>5172</v>
      </c>
      <c r="B5233" s="138">
        <f ca="1">'Revenues 9-14'!C184</f>
        <v>0</v>
      </c>
      <c r="D5233" s="2" t="str">
        <f t="shared" ca="1"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 ca="1">'Revenues 9-14'!C191</f>
        <v>395714</v>
      </c>
      <c r="D5239" s="2" t="str">
        <f t="shared" ca="1" si="80"/>
        <v>Error?</v>
      </c>
    </row>
    <row r="5240" spans="1:4" x14ac:dyDescent="0.2">
      <c r="A5240" s="5">
        <v>5179</v>
      </c>
      <c r="B5240" s="138">
        <f ca="1">'Revenues 9-14'!C192</f>
        <v>0</v>
      </c>
      <c r="D5240" s="2" t="str">
        <f t="shared" ca="1" si="80"/>
        <v>Error?</v>
      </c>
    </row>
    <row r="5241" spans="1:4" x14ac:dyDescent="0.2">
      <c r="A5241" s="5">
        <v>5180</v>
      </c>
      <c r="B5241" s="138">
        <f ca="1">'Revenues 9-14'!C193</f>
        <v>94748</v>
      </c>
      <c r="D5241" s="2" t="str">
        <f t="shared" ca="1" si="80"/>
        <v>Error?</v>
      </c>
    </row>
    <row r="5242" spans="1:4" x14ac:dyDescent="0.2">
      <c r="A5242" s="5">
        <v>5181</v>
      </c>
      <c r="B5242" s="138">
        <f ca="1">'Revenues 9-14'!C194</f>
        <v>0</v>
      </c>
      <c r="D5242" s="2" t="str">
        <f t="shared" ca="1" si="80"/>
        <v>Error?</v>
      </c>
    </row>
    <row r="5243" spans="1:4" x14ac:dyDescent="0.2">
      <c r="A5243" s="5">
        <v>5182</v>
      </c>
      <c r="B5243" s="138">
        <f ca="1">'Revenues 9-14'!C195</f>
        <v>0</v>
      </c>
      <c r="D5243" s="2" t="str">
        <f t="shared" ca="1"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 ca="1">'Revenues 9-14'!C198</f>
        <v>490462</v>
      </c>
      <c r="C5246" s="2" t="s">
        <v>573</v>
      </c>
      <c r="D5246" s="2" t="str">
        <f t="shared" ca="1" si="80"/>
        <v>Error?</v>
      </c>
    </row>
    <row r="5247" spans="1:4" x14ac:dyDescent="0.2">
      <c r="A5247" s="5">
        <v>5186</v>
      </c>
      <c r="B5247" s="138">
        <f ca="1">'Revenues 9-14'!C200</f>
        <v>465529</v>
      </c>
      <c r="D5247" s="2" t="str">
        <f t="shared" ref="D5247:D5310" ca="1" si="81">IF(ISBLANK(B5247),"OK",IF(A5247-B5247=0,"OK","Error?"))</f>
        <v>Error?</v>
      </c>
    </row>
    <row r="5248" spans="1:4" x14ac:dyDescent="0.2">
      <c r="A5248" s="5">
        <v>5187</v>
      </c>
      <c r="B5248" s="138">
        <f ca="1">'Revenues 9-14'!C201</f>
        <v>0</v>
      </c>
      <c r="D5248" s="2" t="str">
        <f t="shared" ca="1"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 ca="1">'Revenues 9-14'!C202</f>
        <v>0</v>
      </c>
      <c r="D5255" s="2" t="str">
        <f t="shared" ca="1" si="81"/>
        <v>Error?</v>
      </c>
    </row>
    <row r="5256" spans="1:5" x14ac:dyDescent="0.2">
      <c r="A5256" s="5">
        <v>5195</v>
      </c>
      <c r="B5256" s="138">
        <f ca="1">'Revenues 9-14'!C206</f>
        <v>21385</v>
      </c>
      <c r="D5256" s="2" t="str">
        <f t="shared" ca="1"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 ca="1">'Revenues 9-14'!C204</f>
        <v>526639</v>
      </c>
      <c r="C5260" s="2" t="s">
        <v>573</v>
      </c>
      <c r="D5260" s="2" t="str">
        <f t="shared" ca="1"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 ca="1">'Revenues 9-14'!C211</f>
        <v>1072</v>
      </c>
      <c r="D5274" s="2" t="str">
        <f t="shared" ca="1" si="81"/>
        <v>Error?</v>
      </c>
    </row>
    <row r="5275" spans="1:4" x14ac:dyDescent="0.2">
      <c r="A5275" s="5">
        <v>5214</v>
      </c>
      <c r="B5275" s="138">
        <f ca="1">'Revenues 9-14'!C212</f>
        <v>0</v>
      </c>
      <c r="D5275" s="2" t="str">
        <f t="shared" ca="1"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 ca="1">'Revenues 9-14'!C213</f>
        <v>419194</v>
      </c>
      <c r="D5278" s="2" t="str">
        <f t="shared" ca="1" si="81"/>
        <v>Error?</v>
      </c>
    </row>
    <row r="5279" spans="1:4" x14ac:dyDescent="0.2">
      <c r="A5279" s="5">
        <v>5218</v>
      </c>
      <c r="B5279" s="138">
        <f ca="1">'Revenues 9-14'!C214</f>
        <v>2589</v>
      </c>
      <c r="D5279" s="2" t="str">
        <f t="shared" ca="1" si="81"/>
        <v>Error?</v>
      </c>
    </row>
    <row r="5280" spans="1:4" x14ac:dyDescent="0.2">
      <c r="A5280" s="5">
        <v>5219</v>
      </c>
      <c r="B5280" s="138">
        <f ca="1">'Revenues 9-14'!C215</f>
        <v>0</v>
      </c>
      <c r="D5280" s="2" t="str">
        <f t="shared" ca="1"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 ca="1">'Revenues 9-14'!C217</f>
        <v>422855</v>
      </c>
      <c r="C5286" s="2" t="s">
        <v>573</v>
      </c>
      <c r="D5286" s="2" t="str">
        <f t="shared" ca="1"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 ca="1">'Revenues 9-14'!C219</f>
        <v>0</v>
      </c>
      <c r="D5301" s="2" t="str">
        <f t="shared" ca="1"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 ca="1">'Revenues 9-14'!C221</f>
        <v>0</v>
      </c>
      <c r="C5304" s="2" t="s">
        <v>573</v>
      </c>
      <c r="D5304" s="2" t="str">
        <f t="shared" ca="1"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 ca="1">'Revenues 9-14'!C222</f>
        <v>0</v>
      </c>
      <c r="D5310" s="2" t="str">
        <f t="shared" ca="1" si="81"/>
        <v>Error?</v>
      </c>
    </row>
    <row r="5311" spans="1:4" x14ac:dyDescent="0.2">
      <c r="A5311" s="10">
        <v>5250</v>
      </c>
      <c r="D5311" s="2" t="str">
        <f t="shared" ref="D5311:D5374" si="82">IF(ISBLANK(B5311),"OK",IF(A5311-B5311=0,"OK","Error?"))</f>
        <v>OK</v>
      </c>
    </row>
    <row r="5312" spans="1:4" x14ac:dyDescent="0.2">
      <c r="A5312" s="5">
        <v>5251</v>
      </c>
      <c r="B5312" s="138">
        <f ca="1">'Revenues 9-14'!C255</f>
        <v>0</v>
      </c>
      <c r="D5312" s="2" t="str">
        <f t="shared" ca="1"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 ca="1">'Revenues 9-14'!C257</f>
        <v>0</v>
      </c>
      <c r="D5315" s="2" t="str">
        <f t="shared" ca="1" si="82"/>
        <v>Error?</v>
      </c>
    </row>
    <row r="5316" spans="1:5" x14ac:dyDescent="0.2">
      <c r="A5316" s="10">
        <v>5255</v>
      </c>
      <c r="D5316" s="2" t="str">
        <f t="shared" si="82"/>
        <v>OK</v>
      </c>
    </row>
    <row r="5317" spans="1:5" x14ac:dyDescent="0.2">
      <c r="A5317" s="5">
        <v>5256</v>
      </c>
      <c r="B5317" s="138">
        <f ca="1">'Revenues 9-14'!C258</f>
        <v>0</v>
      </c>
      <c r="D5317" s="2" t="str">
        <f t="shared" ca="1"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 ca="1">'Revenues 9-14'!C266</f>
        <v>1739781</v>
      </c>
      <c r="C5320" s="2" t="s">
        <v>573</v>
      </c>
      <c r="D5320" s="2" t="str">
        <f t="shared" ca="1"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 ca="1">'Revenues 9-14'!C267</f>
        <v>1739781</v>
      </c>
      <c r="C5326" s="2" t="s">
        <v>573</v>
      </c>
      <c r="D5326" s="2" t="str">
        <f t="shared" ca="1" si="82"/>
        <v>Error?</v>
      </c>
    </row>
    <row r="5327" spans="1:5" x14ac:dyDescent="0.2">
      <c r="A5327" s="5">
        <v>5266</v>
      </c>
      <c r="B5327" s="138">
        <f ca="1">'Revenues 9-14'!C268</f>
        <v>17475045</v>
      </c>
      <c r="C5327" s="2" t="s">
        <v>573</v>
      </c>
      <c r="D5327" s="2" t="str">
        <f t="shared" ca="1" si="82"/>
        <v>Error?</v>
      </c>
    </row>
    <row r="5328" spans="1:5" x14ac:dyDescent="0.2">
      <c r="A5328" s="5">
        <v>5267</v>
      </c>
      <c r="B5328" s="138">
        <f ca="1">'Revenues 9-14'!D5</f>
        <v>706863</v>
      </c>
      <c r="D5328" s="2" t="str">
        <f t="shared" ca="1" si="82"/>
        <v>Error?</v>
      </c>
    </row>
    <row r="5329" spans="1:4" x14ac:dyDescent="0.2">
      <c r="A5329" s="10">
        <v>5268</v>
      </c>
      <c r="D5329" s="2" t="str">
        <f t="shared" si="82"/>
        <v>OK</v>
      </c>
    </row>
    <row r="5330" spans="1:4" x14ac:dyDescent="0.2">
      <c r="A5330" s="5">
        <v>5269</v>
      </c>
      <c r="B5330" s="138">
        <f ca="1">'Revenues 9-14'!D6</f>
        <v>0</v>
      </c>
      <c r="D5330" s="2" t="str">
        <f t="shared" ca="1" si="82"/>
        <v>Error?</v>
      </c>
    </row>
    <row r="5331" spans="1:4" x14ac:dyDescent="0.2">
      <c r="A5331" s="5">
        <v>5270</v>
      </c>
      <c r="B5331" s="138">
        <f ca="1">'Revenues 9-14'!D7</f>
        <v>0</v>
      </c>
      <c r="D5331" s="2" t="str">
        <f t="shared" ca="1" si="82"/>
        <v>Error?</v>
      </c>
    </row>
    <row r="5332" spans="1:4" x14ac:dyDescent="0.2">
      <c r="A5332" s="5">
        <v>5271</v>
      </c>
      <c r="B5332" s="138">
        <f ca="1">'Revenues 9-14'!D9</f>
        <v>0</v>
      </c>
      <c r="D5332" s="2" t="str">
        <f t="shared" ca="1" si="82"/>
        <v>Error?</v>
      </c>
    </row>
    <row r="5333" spans="1:4" x14ac:dyDescent="0.2">
      <c r="A5333" s="5">
        <v>5272</v>
      </c>
      <c r="B5333" s="138">
        <f ca="1">'Revenues 9-14'!D11</f>
        <v>0</v>
      </c>
      <c r="D5333" s="2" t="str">
        <f t="shared" ca="1" si="82"/>
        <v>Error?</v>
      </c>
    </row>
    <row r="5334" spans="1:4" x14ac:dyDescent="0.2">
      <c r="A5334" s="5">
        <v>5273</v>
      </c>
      <c r="B5334" s="138">
        <f ca="1">'Revenues 9-14'!D12</f>
        <v>706863</v>
      </c>
      <c r="C5334" s="2" t="s">
        <v>573</v>
      </c>
      <c r="D5334" s="2" t="str">
        <f t="shared" ca="1" si="82"/>
        <v>Error?</v>
      </c>
    </row>
    <row r="5335" spans="1:4" x14ac:dyDescent="0.2">
      <c r="A5335" s="5">
        <v>5274</v>
      </c>
      <c r="B5335" s="138">
        <f ca="1">'Revenues 9-14'!D14</f>
        <v>0</v>
      </c>
      <c r="D5335" s="2" t="str">
        <f t="shared" ca="1" si="82"/>
        <v>Error?</v>
      </c>
    </row>
    <row r="5336" spans="1:4" x14ac:dyDescent="0.2">
      <c r="A5336" s="5">
        <v>5275</v>
      </c>
      <c r="B5336" s="138">
        <f ca="1">'Revenues 9-14'!D15</f>
        <v>0</v>
      </c>
      <c r="D5336" s="2" t="str">
        <f t="shared" ca="1" si="82"/>
        <v>Error?</v>
      </c>
    </row>
    <row r="5337" spans="1:4" x14ac:dyDescent="0.2">
      <c r="A5337" s="5">
        <v>5276</v>
      </c>
      <c r="B5337" s="138">
        <f ca="1">'Revenues 9-14'!D16</f>
        <v>250000</v>
      </c>
      <c r="D5337" s="2" t="str">
        <f t="shared" ca="1" si="82"/>
        <v>Error?</v>
      </c>
    </row>
    <row r="5338" spans="1:4" x14ac:dyDescent="0.2">
      <c r="A5338" s="5">
        <v>5277</v>
      </c>
      <c r="B5338" s="138">
        <f ca="1">'Revenues 9-14'!D17</f>
        <v>31364</v>
      </c>
      <c r="D5338" s="2" t="str">
        <f t="shared" ca="1" si="82"/>
        <v>Error?</v>
      </c>
    </row>
    <row r="5339" spans="1:4" x14ac:dyDescent="0.2">
      <c r="A5339" s="5">
        <v>5278</v>
      </c>
      <c r="B5339" s="138">
        <f ca="1">'Revenues 9-14'!D18</f>
        <v>281364</v>
      </c>
      <c r="C5339" s="2" t="s">
        <v>573</v>
      </c>
      <c r="D5339" s="2" t="str">
        <f t="shared" ca="1" si="82"/>
        <v>Error?</v>
      </c>
    </row>
    <row r="5340" spans="1:4" x14ac:dyDescent="0.2">
      <c r="A5340" s="5">
        <v>5279</v>
      </c>
      <c r="B5340" s="138">
        <f ca="1">'Revenues 9-14'!D65</f>
        <v>378</v>
      </c>
      <c r="D5340" s="2" t="str">
        <f t="shared" ca="1" si="82"/>
        <v>Error?</v>
      </c>
    </row>
    <row r="5341" spans="1:4" x14ac:dyDescent="0.2">
      <c r="A5341" s="5">
        <v>5280</v>
      </c>
      <c r="B5341" s="138">
        <f ca="1">'Revenues 9-14'!D66</f>
        <v>0</v>
      </c>
      <c r="D5341" s="2" t="str">
        <f t="shared" ca="1" si="82"/>
        <v>Error?</v>
      </c>
    </row>
    <row r="5342" spans="1:4" x14ac:dyDescent="0.2">
      <c r="A5342" s="5">
        <v>5281</v>
      </c>
      <c r="B5342" s="138">
        <f ca="1">'Revenues 9-14'!D67</f>
        <v>378</v>
      </c>
      <c r="C5342" s="2" t="s">
        <v>573</v>
      </c>
      <c r="D5342" s="2" t="str">
        <f t="shared" ca="1" si="82"/>
        <v>Error?</v>
      </c>
    </row>
    <row r="5343" spans="1:4" x14ac:dyDescent="0.2">
      <c r="A5343" s="5">
        <v>5282</v>
      </c>
      <c r="B5343" s="138">
        <f ca="1">'Revenues 9-14'!D77</f>
        <v>0</v>
      </c>
      <c r="D5343" s="2" t="str">
        <f t="shared" ca="1" si="82"/>
        <v>Error?</v>
      </c>
    </row>
    <row r="5344" spans="1:4" x14ac:dyDescent="0.2">
      <c r="A5344" s="5">
        <v>5283</v>
      </c>
      <c r="B5344" s="138">
        <f ca="1">'Revenues 9-14'!D78</f>
        <v>0</v>
      </c>
      <c r="D5344" s="2" t="str">
        <f t="shared" ca="1" si="82"/>
        <v>Error?</v>
      </c>
    </row>
    <row r="5345" spans="1:4" x14ac:dyDescent="0.2">
      <c r="A5345" s="5">
        <v>5284</v>
      </c>
      <c r="B5345" s="138">
        <f ca="1">'Revenues 9-14'!D79</f>
        <v>0</v>
      </c>
      <c r="D5345" s="2" t="str">
        <f t="shared" ca="1" si="82"/>
        <v>Error?</v>
      </c>
    </row>
    <row r="5346" spans="1:4" x14ac:dyDescent="0.2">
      <c r="A5346" s="5">
        <v>5285</v>
      </c>
      <c r="B5346" s="138">
        <f ca="1">'Revenues 9-14'!D80</f>
        <v>0</v>
      </c>
      <c r="D5346" s="2" t="str">
        <f t="shared" ca="1" si="82"/>
        <v>Error?</v>
      </c>
    </row>
    <row r="5347" spans="1:4" x14ac:dyDescent="0.2">
      <c r="A5347" s="5">
        <v>5286</v>
      </c>
      <c r="B5347" s="138">
        <f ca="1">'Revenues 9-14'!D81</f>
        <v>0</v>
      </c>
      <c r="D5347" s="2" t="str">
        <f t="shared" ca="1" si="82"/>
        <v>Error?</v>
      </c>
    </row>
    <row r="5348" spans="1:4" x14ac:dyDescent="0.2">
      <c r="A5348" s="5">
        <v>5287</v>
      </c>
      <c r="B5348" s="138">
        <f ca="1">'Revenues 9-14'!D82</f>
        <v>0</v>
      </c>
      <c r="C5348" s="2" t="s">
        <v>573</v>
      </c>
      <c r="D5348" s="2" t="str">
        <f t="shared" ca="1" si="82"/>
        <v>Error?</v>
      </c>
    </row>
    <row r="5349" spans="1:4" x14ac:dyDescent="0.2">
      <c r="A5349" s="5">
        <v>5288</v>
      </c>
      <c r="B5349" s="138">
        <f ca="1">'Revenues 9-14'!D95</f>
        <v>1170</v>
      </c>
      <c r="D5349" s="2" t="str">
        <f t="shared" ca="1" si="82"/>
        <v>Error?</v>
      </c>
    </row>
    <row r="5350" spans="1:4" x14ac:dyDescent="0.2">
      <c r="A5350" s="5">
        <v>5289</v>
      </c>
      <c r="B5350" s="138">
        <f ca="1">'Revenues 9-14'!D96</f>
        <v>0</v>
      </c>
      <c r="D5350" s="2" t="str">
        <f t="shared" ca="1" si="82"/>
        <v>Error?</v>
      </c>
    </row>
    <row r="5351" spans="1:4" x14ac:dyDescent="0.2">
      <c r="A5351" s="5">
        <v>5290</v>
      </c>
      <c r="B5351" s="138">
        <f ca="1">'Revenues 9-14'!D98</f>
        <v>0</v>
      </c>
      <c r="D5351" s="2" t="str">
        <f t="shared" ca="1" si="82"/>
        <v>Error?</v>
      </c>
    </row>
    <row r="5352" spans="1:4" x14ac:dyDescent="0.2">
      <c r="A5352" s="5">
        <v>5291</v>
      </c>
      <c r="B5352" s="138">
        <f ca="1">'Revenues 9-14'!D99</f>
        <v>0</v>
      </c>
      <c r="D5352" s="2" t="str">
        <f t="shared" ca="1" si="82"/>
        <v>Error?</v>
      </c>
    </row>
    <row r="5353" spans="1:4" x14ac:dyDescent="0.2">
      <c r="A5353" s="5">
        <v>5292</v>
      </c>
      <c r="B5353" s="138">
        <f ca="1">'Revenues 9-14'!D104</f>
        <v>0</v>
      </c>
      <c r="D5353" s="2" t="str">
        <f t="shared" ca="1" si="82"/>
        <v>Error?</v>
      </c>
    </row>
    <row r="5354" spans="1:4" x14ac:dyDescent="0.2">
      <c r="A5354" s="5">
        <v>5293</v>
      </c>
      <c r="B5354" s="138">
        <f ca="1">'Revenues 9-14'!D107</f>
        <v>20862</v>
      </c>
      <c r="D5354" s="2" t="str">
        <f t="shared" ca="1" si="82"/>
        <v>Error?</v>
      </c>
    </row>
    <row r="5355" spans="1:4" x14ac:dyDescent="0.2">
      <c r="A5355" s="5">
        <v>5294</v>
      </c>
      <c r="B5355" s="138">
        <f ca="1">'Revenues 9-14'!D108</f>
        <v>22032</v>
      </c>
      <c r="C5355" s="2" t="s">
        <v>573</v>
      </c>
      <c r="D5355" s="2" t="str">
        <f t="shared" ca="1" si="82"/>
        <v>Error?</v>
      </c>
    </row>
    <row r="5356" spans="1:4" x14ac:dyDescent="0.2">
      <c r="A5356" s="5">
        <v>5295</v>
      </c>
      <c r="B5356" s="138">
        <f ca="1">'Revenues 9-14'!D109</f>
        <v>1010637</v>
      </c>
      <c r="C5356" s="2" t="s">
        <v>573</v>
      </c>
      <c r="D5356" s="2" t="str">
        <f t="shared" ca="1" si="82"/>
        <v>Error?</v>
      </c>
    </row>
    <row r="5357" spans="1:4" x14ac:dyDescent="0.2">
      <c r="A5357" s="5">
        <v>5296</v>
      </c>
      <c r="B5357" s="138">
        <f ca="1">'Revenues 9-14'!D111</f>
        <v>0</v>
      </c>
      <c r="D5357" s="2" t="str">
        <f t="shared" ca="1" si="82"/>
        <v>Error?</v>
      </c>
    </row>
    <row r="5358" spans="1:4" x14ac:dyDescent="0.2">
      <c r="A5358" s="5">
        <v>5297</v>
      </c>
      <c r="B5358" s="138">
        <f ca="1">'Revenues 9-14'!D112</f>
        <v>0</v>
      </c>
      <c r="D5358" s="2" t="str">
        <f t="shared" ca="1" si="82"/>
        <v>Error?</v>
      </c>
    </row>
    <row r="5359" spans="1:4" x14ac:dyDescent="0.2">
      <c r="A5359" s="5">
        <v>5298</v>
      </c>
      <c r="B5359" s="138">
        <f ca="1">'Revenues 9-14'!D113</f>
        <v>0</v>
      </c>
      <c r="D5359" s="2" t="str">
        <f t="shared" ca="1" si="82"/>
        <v>Error?</v>
      </c>
    </row>
    <row r="5360" spans="1:4" x14ac:dyDescent="0.2">
      <c r="A5360" s="5">
        <v>5299</v>
      </c>
      <c r="B5360" s="138">
        <f ca="1">'Revenues 9-14'!D114</f>
        <v>0</v>
      </c>
      <c r="C5360" s="2" t="s">
        <v>573</v>
      </c>
      <c r="D5360" s="2" t="str">
        <f t="shared" ca="1" si="82"/>
        <v>Error?</v>
      </c>
    </row>
    <row r="5361" spans="1:4" x14ac:dyDescent="0.2">
      <c r="A5361" s="5">
        <v>5300</v>
      </c>
      <c r="B5361" s="138">
        <f ca="1">'Revenues 9-14'!D117</f>
        <v>0</v>
      </c>
      <c r="D5361" s="2" t="str">
        <f t="shared" ca="1" si="82"/>
        <v>Error?</v>
      </c>
    </row>
    <row r="5362" spans="1:4" x14ac:dyDescent="0.2">
      <c r="A5362" s="5">
        <v>5301</v>
      </c>
      <c r="B5362" s="138">
        <f ca="1">'Revenues 9-14'!D119</f>
        <v>0</v>
      </c>
      <c r="D5362" s="2" t="str">
        <f t="shared" ca="1"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 ca="1">'Revenues 9-14'!D122</f>
        <v>0</v>
      </c>
      <c r="C5367" s="2" t="s">
        <v>573</v>
      </c>
      <c r="D5367" s="2" t="str">
        <f t="shared" ca="1" si="82"/>
        <v>Error?</v>
      </c>
    </row>
    <row r="5368" spans="1:4" x14ac:dyDescent="0.2">
      <c r="A5368" s="5">
        <v>5307</v>
      </c>
      <c r="B5368" s="138">
        <f ca="1">'Revenues 9-14'!D127</f>
        <v>0</v>
      </c>
      <c r="D5368" s="2" t="str">
        <f t="shared" ca="1" si="82"/>
        <v>Error?</v>
      </c>
    </row>
    <row r="5369" spans="1:4" x14ac:dyDescent="0.2">
      <c r="A5369" s="5">
        <v>5308</v>
      </c>
      <c r="B5369" s="138">
        <f ca="1">'Revenues 9-14'!D132</f>
        <v>0</v>
      </c>
      <c r="C5369" s="2" t="s">
        <v>573</v>
      </c>
      <c r="D5369" s="2" t="str">
        <f t="shared" ca="1" si="82"/>
        <v>Error?</v>
      </c>
    </row>
    <row r="5370" spans="1:4" x14ac:dyDescent="0.2">
      <c r="A5370" s="5">
        <v>5309</v>
      </c>
      <c r="B5370" s="138">
        <f ca="1">'Revenues 9-14'!D134</f>
        <v>0</v>
      </c>
      <c r="D5370" s="2" t="str">
        <f t="shared" ca="1"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 ca="1">'Revenues 9-14'!D135</f>
        <v>0</v>
      </c>
      <c r="D5374" s="2" t="str">
        <f t="shared" ca="1" si="82"/>
        <v>Error?</v>
      </c>
    </row>
    <row r="5375" spans="1:4" x14ac:dyDescent="0.2">
      <c r="A5375" s="5">
        <v>5314</v>
      </c>
      <c r="B5375" s="138">
        <f ca="1">'Revenues 9-14'!D136</f>
        <v>0</v>
      </c>
      <c r="D5375" s="2" t="str">
        <f t="shared" ref="D5375:D5438" ca="1"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 ca="1">'Revenues 9-14'!D141</f>
        <v>0</v>
      </c>
      <c r="C5383" s="2" t="s">
        <v>573</v>
      </c>
      <c r="D5383" s="2" t="str">
        <f t="shared" ca="1" si="83"/>
        <v>Error?</v>
      </c>
    </row>
    <row r="5384" spans="1:4" x14ac:dyDescent="0.2">
      <c r="A5384" s="5">
        <v>5323</v>
      </c>
      <c r="B5384" s="138">
        <f ca="1">'Revenues 9-14'!D148</f>
        <v>0</v>
      </c>
      <c r="D5384" s="2" t="str">
        <f t="shared" ca="1"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 ca="1">'Revenues 9-14'!D149</f>
        <v>0</v>
      </c>
      <c r="D5387" s="2" t="str">
        <f t="shared" ca="1"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 ca="1">'Revenues 9-14'!D152</f>
        <v>0</v>
      </c>
      <c r="D5391" s="2" t="str">
        <f t="shared" ca="1" si="83"/>
        <v>Error?</v>
      </c>
    </row>
    <row r="5392" spans="1:4" x14ac:dyDescent="0.2">
      <c r="A5392" s="10">
        <v>5331</v>
      </c>
      <c r="D5392" s="2" t="str">
        <f t="shared" si="83"/>
        <v>OK</v>
      </c>
    </row>
    <row r="5393" spans="1:4" x14ac:dyDescent="0.2">
      <c r="A5393" s="5">
        <v>5332</v>
      </c>
      <c r="B5393" s="138">
        <f ca="1">'Revenues 9-14'!D153</f>
        <v>0</v>
      </c>
      <c r="D5393" s="2" t="str">
        <f t="shared" ca="1" si="83"/>
        <v>Error?</v>
      </c>
    </row>
    <row r="5394" spans="1:4" x14ac:dyDescent="0.2">
      <c r="A5394" s="5">
        <v>5333</v>
      </c>
      <c r="B5394" s="138">
        <f ca="1">'Revenues 9-14'!D155</f>
        <v>0</v>
      </c>
      <c r="C5394" s="2" t="s">
        <v>573</v>
      </c>
      <c r="D5394" s="2" t="str">
        <f t="shared" ca="1" si="83"/>
        <v>Error?</v>
      </c>
    </row>
    <row r="5395" spans="1:4" x14ac:dyDescent="0.2">
      <c r="A5395" s="5">
        <v>5334</v>
      </c>
      <c r="B5395" s="138">
        <f ca="1">'Revenues 9-14'!D157</f>
        <v>0</v>
      </c>
      <c r="D5395" s="2" t="str">
        <f t="shared" ca="1"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 ca="1">'Revenues 9-14'!D159</f>
        <v>0</v>
      </c>
      <c r="D5401" s="2" t="str">
        <f t="shared" ca="1"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 ca="1">'Revenues 9-14'!D169</f>
        <v>0</v>
      </c>
      <c r="C5412" s="2" t="s">
        <v>573</v>
      </c>
      <c r="D5412" s="2" t="str">
        <f t="shared" ca="1"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 ca="1">'Revenues 9-14'!D170</f>
        <v>0</v>
      </c>
      <c r="C5421" s="2" t="s">
        <v>573</v>
      </c>
      <c r="D5421" s="2" t="str">
        <f t="shared" ca="1" si="83"/>
        <v>Error?</v>
      </c>
    </row>
    <row r="5422" spans="1:4" x14ac:dyDescent="0.2">
      <c r="A5422" s="5">
        <v>5361</v>
      </c>
      <c r="B5422" s="138">
        <f ca="1">'Revenues 9-14'!D173</f>
        <v>0</v>
      </c>
      <c r="D5422" s="2" t="str">
        <f t="shared" ca="1" si="83"/>
        <v>Error?</v>
      </c>
    </row>
    <row r="5423" spans="1:4" x14ac:dyDescent="0.2">
      <c r="A5423" s="5">
        <v>5362</v>
      </c>
      <c r="B5423" s="138">
        <f ca="1">'Revenues 9-14'!D175</f>
        <v>0</v>
      </c>
      <c r="C5423" s="2" t="s">
        <v>573</v>
      </c>
      <c r="D5423" s="2" t="str">
        <f t="shared" ca="1" si="83"/>
        <v>Error?</v>
      </c>
    </row>
    <row r="5424" spans="1:4" x14ac:dyDescent="0.2">
      <c r="A5424" s="5">
        <v>5363</v>
      </c>
      <c r="B5424" s="138">
        <f ca="1">'Revenues 9-14'!D178</f>
        <v>0</v>
      </c>
      <c r="D5424" s="2" t="str">
        <f t="shared" ca="1" si="83"/>
        <v>Error?</v>
      </c>
    </row>
    <row r="5425" spans="1:5" x14ac:dyDescent="0.2">
      <c r="A5425" s="5">
        <v>5364</v>
      </c>
      <c r="B5425" s="138">
        <f ca="1">'Revenues 9-14'!D181</f>
        <v>0</v>
      </c>
      <c r="C5425" s="2" t="s">
        <v>573</v>
      </c>
      <c r="D5425" s="2" t="str">
        <f t="shared" ca="1" si="83"/>
        <v>Error?</v>
      </c>
    </row>
    <row r="5426" spans="1:5" x14ac:dyDescent="0.2">
      <c r="A5426" s="5">
        <v>5365</v>
      </c>
      <c r="B5426" s="138">
        <f ca="1">'Revenues 9-14'!D184</f>
        <v>0</v>
      </c>
      <c r="D5426" s="2" t="str">
        <f t="shared" ca="1"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 ca="1">'Revenues 9-14'!D200</f>
        <v>0</v>
      </c>
      <c r="D5431" s="2" t="str">
        <f t="shared" ca="1" si="83"/>
        <v>Error?</v>
      </c>
    </row>
    <row r="5432" spans="1:5" x14ac:dyDescent="0.2">
      <c r="A5432" s="5">
        <v>5371</v>
      </c>
      <c r="B5432" s="138">
        <f ca="1">'Revenues 9-14'!D201</f>
        <v>0</v>
      </c>
      <c r="D5432" s="2" t="str">
        <f t="shared" ca="1"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 ca="1">'Revenues 9-14'!D202</f>
        <v>0</v>
      </c>
      <c r="D5439" s="2" t="str">
        <f t="shared" ref="D5439:D5502" ca="1" si="84">IF(ISBLANK(B5439),"OK",IF(A5439-B5439=0,"OK","Error?"))</f>
        <v>Error?</v>
      </c>
    </row>
    <row r="5440" spans="1:5" x14ac:dyDescent="0.2">
      <c r="A5440" s="5">
        <v>5379</v>
      </c>
      <c r="B5440" s="138">
        <f ca="1">'Revenues 9-14'!D206</f>
        <v>0</v>
      </c>
      <c r="D5440" s="2" t="str">
        <f t="shared" ca="1"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 ca="1">'Revenues 9-14'!D204</f>
        <v>0</v>
      </c>
      <c r="C5444" s="2" t="s">
        <v>573</v>
      </c>
      <c r="D5444" s="2" t="str">
        <f t="shared" ca="1"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 ca="1">'Revenues 9-14'!D211</f>
        <v>0</v>
      </c>
      <c r="D5458" s="2" t="str">
        <f t="shared" ca="1" si="84"/>
        <v>Error?</v>
      </c>
    </row>
    <row r="5459" spans="1:4" x14ac:dyDescent="0.2">
      <c r="A5459" s="5">
        <v>5398</v>
      </c>
      <c r="B5459" s="138">
        <f ca="1">'Revenues 9-14'!D212</f>
        <v>0</v>
      </c>
      <c r="D5459" s="2" t="str">
        <f t="shared" ca="1"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 ca="1">'Revenues 9-14'!D213</f>
        <v>0</v>
      </c>
      <c r="D5462" s="2" t="str">
        <f t="shared" ca="1" si="84"/>
        <v>Error?</v>
      </c>
    </row>
    <row r="5463" spans="1:4" x14ac:dyDescent="0.2">
      <c r="A5463" s="5">
        <v>5402</v>
      </c>
      <c r="B5463" s="138">
        <f ca="1">'Revenues 9-14'!D214</f>
        <v>0</v>
      </c>
      <c r="D5463" s="2" t="str">
        <f t="shared" ca="1" si="84"/>
        <v>Error?</v>
      </c>
    </row>
    <row r="5464" spans="1:4" x14ac:dyDescent="0.2">
      <c r="A5464" s="5">
        <v>5403</v>
      </c>
      <c r="B5464" s="138">
        <f ca="1">'Revenues 9-14'!D215</f>
        <v>0</v>
      </c>
      <c r="D5464" s="2" t="str">
        <f t="shared" ca="1"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 ca="1">'Revenues 9-14'!D217</f>
        <v>0</v>
      </c>
      <c r="C5470" s="2" t="s">
        <v>573</v>
      </c>
      <c r="D5470" s="2" t="str">
        <f t="shared" ca="1"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 ca="1">'Revenues 9-14'!D219</f>
        <v>0</v>
      </c>
      <c r="D5485" s="2" t="str">
        <f t="shared" ca="1"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 ca="1">'Revenues 9-14'!D221</f>
        <v>0</v>
      </c>
      <c r="C5488" s="2" t="s">
        <v>573</v>
      </c>
      <c r="D5488" s="2" t="str">
        <f t="shared" ca="1"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 ca="1">'Revenues 9-14'!D222</f>
        <v>0</v>
      </c>
      <c r="D5494" s="2" t="str">
        <f t="shared" ca="1" si="84"/>
        <v>Error?</v>
      </c>
    </row>
    <row r="5495" spans="1:4" x14ac:dyDescent="0.2">
      <c r="A5495" s="10">
        <v>5434</v>
      </c>
      <c r="D5495" s="2" t="str">
        <f t="shared" si="84"/>
        <v>OK</v>
      </c>
    </row>
    <row r="5496" spans="1:4" x14ac:dyDescent="0.2">
      <c r="A5496" s="5">
        <v>5435</v>
      </c>
      <c r="B5496" s="138">
        <f ca="1">'Revenues 9-14'!D257</f>
        <v>0</v>
      </c>
      <c r="D5496" s="2" t="str">
        <f t="shared" ca="1" si="84"/>
        <v>Error?</v>
      </c>
    </row>
    <row r="5497" spans="1:4" x14ac:dyDescent="0.2">
      <c r="A5497" s="10">
        <v>5436</v>
      </c>
      <c r="D5497" s="2" t="str">
        <f t="shared" si="84"/>
        <v>OK</v>
      </c>
    </row>
    <row r="5498" spans="1:4" x14ac:dyDescent="0.2">
      <c r="A5498" s="5">
        <v>5437</v>
      </c>
      <c r="B5498" s="138">
        <f ca="1">'Revenues 9-14'!D258</f>
        <v>0</v>
      </c>
      <c r="D5498" s="2" t="str">
        <f t="shared" ca="1"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 ca="1">'Revenues 9-14'!D266</f>
        <v>0</v>
      </c>
      <c r="C5501" s="2" t="s">
        <v>573</v>
      </c>
      <c r="D5501" s="2" t="str">
        <f t="shared" ca="1"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 ca="1">'Revenues 9-14'!D267</f>
        <v>0</v>
      </c>
      <c r="C5507" s="2" t="s">
        <v>573</v>
      </c>
      <c r="D5507" s="2" t="str">
        <f t="shared" ca="1" si="85"/>
        <v>Error?</v>
      </c>
    </row>
    <row r="5508" spans="1:4" x14ac:dyDescent="0.2">
      <c r="A5508" s="5">
        <v>5447</v>
      </c>
      <c r="B5508" s="138">
        <f ca="1">'Revenues 9-14'!D268</f>
        <v>1010637</v>
      </c>
      <c r="C5508" s="2" t="s">
        <v>573</v>
      </c>
      <c r="D5508" s="2" t="str">
        <f t="shared" ca="1" si="85"/>
        <v>Error?</v>
      </c>
    </row>
    <row r="5509" spans="1:4" x14ac:dyDescent="0.2">
      <c r="A5509" s="5">
        <v>5448</v>
      </c>
      <c r="B5509" s="138">
        <f ca="1">'Revenues 9-14'!E5</f>
        <v>2988919</v>
      </c>
      <c r="D5509" s="2" t="str">
        <f t="shared" ca="1" si="85"/>
        <v>Error?</v>
      </c>
    </row>
    <row r="5510" spans="1:4" x14ac:dyDescent="0.2">
      <c r="A5510" s="10">
        <v>5449</v>
      </c>
      <c r="D5510" s="2" t="str">
        <f t="shared" si="85"/>
        <v>OK</v>
      </c>
    </row>
    <row r="5511" spans="1:4" x14ac:dyDescent="0.2">
      <c r="A5511" s="5">
        <v>5450</v>
      </c>
      <c r="B5511" s="138">
        <f ca="1">'Revenues 9-14'!E9</f>
        <v>0</v>
      </c>
      <c r="D5511" s="2" t="str">
        <f t="shared" ca="1" si="85"/>
        <v>Error?</v>
      </c>
    </row>
    <row r="5512" spans="1:4" x14ac:dyDescent="0.2">
      <c r="A5512" s="5">
        <v>5451</v>
      </c>
      <c r="B5512" s="138">
        <f ca="1">'Revenues 9-14'!E11</f>
        <v>0</v>
      </c>
      <c r="D5512" s="2" t="str">
        <f t="shared" ca="1" si="85"/>
        <v>Error?</v>
      </c>
    </row>
    <row r="5513" spans="1:4" x14ac:dyDescent="0.2">
      <c r="A5513" s="5">
        <v>5452</v>
      </c>
      <c r="B5513" s="138">
        <f ca="1">'Revenues 9-14'!E12</f>
        <v>2988919</v>
      </c>
      <c r="C5513" s="2" t="s">
        <v>573</v>
      </c>
      <c r="D5513" s="2" t="str">
        <f t="shared" ca="1" si="85"/>
        <v>Error?</v>
      </c>
    </row>
    <row r="5514" spans="1:4" x14ac:dyDescent="0.2">
      <c r="A5514" s="5">
        <v>5453</v>
      </c>
      <c r="B5514" s="138">
        <f ca="1">'Revenues 9-14'!E14</f>
        <v>0</v>
      </c>
      <c r="D5514" s="2" t="str">
        <f t="shared" ca="1" si="85"/>
        <v>Error?</v>
      </c>
    </row>
    <row r="5515" spans="1:4" x14ac:dyDescent="0.2">
      <c r="A5515" s="5">
        <v>5454</v>
      </c>
      <c r="B5515" s="138">
        <f ca="1">'Revenues 9-14'!E15</f>
        <v>0</v>
      </c>
      <c r="D5515" s="2" t="str">
        <f t="shared" ca="1" si="85"/>
        <v>Error?</v>
      </c>
    </row>
    <row r="5516" spans="1:4" x14ac:dyDescent="0.2">
      <c r="A5516" s="5">
        <v>5455</v>
      </c>
      <c r="B5516" s="138">
        <f ca="1">'Revenues 9-14'!E16</f>
        <v>0</v>
      </c>
      <c r="D5516" s="2" t="str">
        <f t="shared" ca="1" si="85"/>
        <v>Error?</v>
      </c>
    </row>
    <row r="5517" spans="1:4" x14ac:dyDescent="0.2">
      <c r="A5517" s="5">
        <v>5456</v>
      </c>
      <c r="B5517" s="138">
        <f ca="1">'Revenues 9-14'!E17</f>
        <v>0</v>
      </c>
      <c r="D5517" s="2" t="str">
        <f t="shared" ca="1" si="85"/>
        <v>Error?</v>
      </c>
    </row>
    <row r="5518" spans="1:4" x14ac:dyDescent="0.2">
      <c r="A5518" s="5">
        <v>5457</v>
      </c>
      <c r="B5518" s="138">
        <f ca="1">'Revenues 9-14'!E18</f>
        <v>0</v>
      </c>
      <c r="C5518" s="2" t="s">
        <v>573</v>
      </c>
      <c r="D5518" s="2" t="str">
        <f t="shared" ca="1" si="85"/>
        <v>Error?</v>
      </c>
    </row>
    <row r="5519" spans="1:4" x14ac:dyDescent="0.2">
      <c r="A5519" s="5">
        <v>5458</v>
      </c>
      <c r="B5519" s="138">
        <f ca="1">'Revenues 9-14'!E65</f>
        <v>10732</v>
      </c>
      <c r="D5519" s="2" t="str">
        <f t="shared" ca="1" si="85"/>
        <v>Error?</v>
      </c>
    </row>
    <row r="5520" spans="1:4" x14ac:dyDescent="0.2">
      <c r="A5520" s="5">
        <v>5459</v>
      </c>
      <c r="B5520" s="138">
        <f ca="1">'Revenues 9-14'!E66</f>
        <v>0</v>
      </c>
      <c r="D5520" s="2" t="str">
        <f t="shared" ca="1" si="85"/>
        <v>Error?</v>
      </c>
    </row>
    <row r="5521" spans="1:4" x14ac:dyDescent="0.2">
      <c r="A5521" s="5">
        <v>5460</v>
      </c>
      <c r="B5521" s="138">
        <f ca="1">'Revenues 9-14'!E67</f>
        <v>10732</v>
      </c>
      <c r="C5521" s="2" t="s">
        <v>573</v>
      </c>
      <c r="D5521" s="2" t="str">
        <f t="shared" ca="1" si="85"/>
        <v>Error?</v>
      </c>
    </row>
    <row r="5522" spans="1:4" x14ac:dyDescent="0.2">
      <c r="A5522" s="5">
        <v>5461</v>
      </c>
      <c r="B5522" s="138">
        <f ca="1">'Revenues 9-14'!E96</f>
        <v>0</v>
      </c>
      <c r="D5522" s="2" t="str">
        <f t="shared" ca="1" si="85"/>
        <v>Error?</v>
      </c>
    </row>
    <row r="5523" spans="1:4" x14ac:dyDescent="0.2">
      <c r="A5523" s="5">
        <v>5462</v>
      </c>
      <c r="B5523" s="138">
        <f ca="1">'Revenues 9-14'!E99</f>
        <v>33</v>
      </c>
      <c r="D5523" s="2" t="str">
        <f t="shared" ca="1" si="85"/>
        <v>Error?</v>
      </c>
    </row>
    <row r="5524" spans="1:4" x14ac:dyDescent="0.2">
      <c r="A5524" s="5">
        <v>5463</v>
      </c>
      <c r="B5524" s="138">
        <f ca="1">'Revenues 9-14'!E104</f>
        <v>0</v>
      </c>
      <c r="D5524" s="2" t="str">
        <f t="shared" ca="1" si="85"/>
        <v>Error?</v>
      </c>
    </row>
    <row r="5525" spans="1:4" x14ac:dyDescent="0.2">
      <c r="A5525" s="5">
        <v>5464</v>
      </c>
      <c r="B5525" s="138">
        <f ca="1">'Revenues 9-14'!E107</f>
        <v>0</v>
      </c>
      <c r="D5525" s="2" t="str">
        <f t="shared" ca="1" si="85"/>
        <v>Error?</v>
      </c>
    </row>
    <row r="5526" spans="1:4" x14ac:dyDescent="0.2">
      <c r="A5526" s="5">
        <v>5465</v>
      </c>
      <c r="B5526" s="138">
        <f ca="1">'Revenues 9-14'!E108</f>
        <v>33</v>
      </c>
      <c r="C5526" s="2" t="s">
        <v>573</v>
      </c>
      <c r="D5526" s="2" t="str">
        <f t="shared" ca="1" si="85"/>
        <v>Error?</v>
      </c>
    </row>
    <row r="5527" spans="1:4" x14ac:dyDescent="0.2">
      <c r="A5527" s="5">
        <v>5466</v>
      </c>
      <c r="B5527" s="138">
        <f ca="1">'Revenues 9-14'!E109</f>
        <v>2999684</v>
      </c>
      <c r="C5527" s="2" t="s">
        <v>573</v>
      </c>
      <c r="D5527" s="2" t="str">
        <f t="shared" ca="1" si="85"/>
        <v>Error?</v>
      </c>
    </row>
    <row r="5528" spans="1:4" x14ac:dyDescent="0.2">
      <c r="A5528" s="5">
        <v>5467</v>
      </c>
      <c r="B5528" s="138">
        <f ca="1">'Revenues 9-14'!E117</f>
        <v>0</v>
      </c>
      <c r="D5528" s="2" t="str">
        <f t="shared" ca="1" si="85"/>
        <v>Error?</v>
      </c>
    </row>
    <row r="5529" spans="1:4" x14ac:dyDescent="0.2">
      <c r="A5529" s="5">
        <v>5468</v>
      </c>
      <c r="B5529" s="138">
        <f ca="1">'Revenues 9-14'!E119</f>
        <v>0</v>
      </c>
      <c r="D5529" s="2" t="str">
        <f t="shared" ca="1"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 ca="1">'Revenues 9-14'!E122</f>
        <v>0</v>
      </c>
      <c r="C5534" s="2" t="s">
        <v>573</v>
      </c>
      <c r="D5534" s="2" t="str">
        <f t="shared" ca="1"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 ca="1">'Revenues 9-14'!E169</f>
        <v>0</v>
      </c>
      <c r="C5537" s="2" t="s">
        <v>573</v>
      </c>
      <c r="D5537" s="2" t="str">
        <f t="shared" ca="1"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 ca="1">'Revenues 9-14'!E170</f>
        <v>0</v>
      </c>
      <c r="C5544" s="2" t="s">
        <v>573</v>
      </c>
      <c r="D5544" s="2" t="str">
        <f t="shared" ca="1"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 ca="1">'Revenues 9-14'!E268</f>
        <v>2999684</v>
      </c>
      <c r="C5552" s="2" t="s">
        <v>573</v>
      </c>
      <c r="D5552" s="2" t="str">
        <f t="shared" ca="1" si="85"/>
        <v>Error?</v>
      </c>
    </row>
    <row r="5553" spans="1:4" x14ac:dyDescent="0.2">
      <c r="A5553" s="5">
        <v>5492</v>
      </c>
      <c r="B5553" s="138">
        <f ca="1">'Revenues 9-14'!F5</f>
        <v>338481</v>
      </c>
      <c r="D5553" s="2" t="str">
        <f t="shared" ca="1" si="85"/>
        <v>Error?</v>
      </c>
    </row>
    <row r="5554" spans="1:4" x14ac:dyDescent="0.2">
      <c r="A5554" s="10">
        <v>5493</v>
      </c>
      <c r="D5554" s="2" t="str">
        <f t="shared" si="85"/>
        <v>OK</v>
      </c>
    </row>
    <row r="5555" spans="1:4" x14ac:dyDescent="0.2">
      <c r="A5555" s="5">
        <v>5494</v>
      </c>
      <c r="B5555" s="138">
        <f ca="1">'Revenues 9-14'!F7</f>
        <v>0</v>
      </c>
      <c r="D5555" s="2" t="str">
        <f t="shared" ca="1" si="85"/>
        <v>Error?</v>
      </c>
    </row>
    <row r="5556" spans="1:4" x14ac:dyDescent="0.2">
      <c r="A5556" s="5">
        <v>5495</v>
      </c>
      <c r="B5556" s="138">
        <f ca="1">'Revenues 9-14'!F11</f>
        <v>0</v>
      </c>
      <c r="D5556" s="2" t="str">
        <f t="shared" ca="1" si="85"/>
        <v>Error?</v>
      </c>
    </row>
    <row r="5557" spans="1:4" x14ac:dyDescent="0.2">
      <c r="A5557" s="5">
        <v>5496</v>
      </c>
      <c r="B5557" s="138">
        <f ca="1">'Revenues 9-14'!F12</f>
        <v>338481</v>
      </c>
      <c r="C5557" s="2" t="s">
        <v>573</v>
      </c>
      <c r="D5557" s="2" t="str">
        <f t="shared" ca="1" si="85"/>
        <v>Error?</v>
      </c>
    </row>
    <row r="5558" spans="1:4" x14ac:dyDescent="0.2">
      <c r="A5558" s="5">
        <v>5497</v>
      </c>
      <c r="B5558" s="138">
        <f ca="1">'Revenues 9-14'!F14</f>
        <v>0</v>
      </c>
      <c r="D5558" s="2" t="str">
        <f t="shared" ca="1" si="85"/>
        <v>Error?</v>
      </c>
    </row>
    <row r="5559" spans="1:4" x14ac:dyDescent="0.2">
      <c r="A5559" s="5">
        <v>5498</v>
      </c>
      <c r="B5559" s="138">
        <f ca="1">'Revenues 9-14'!F15</f>
        <v>0</v>
      </c>
      <c r="D5559" s="2" t="str">
        <f t="shared" ca="1" si="85"/>
        <v>Error?</v>
      </c>
    </row>
    <row r="5560" spans="1:4" x14ac:dyDescent="0.2">
      <c r="A5560" s="5">
        <v>5499</v>
      </c>
      <c r="B5560" s="138">
        <f ca="1">'Revenues 9-14'!F16</f>
        <v>0</v>
      </c>
      <c r="D5560" s="2" t="str">
        <f t="shared" ca="1" si="85"/>
        <v>Error?</v>
      </c>
    </row>
    <row r="5561" spans="1:4" x14ac:dyDescent="0.2">
      <c r="A5561" s="5">
        <v>5500</v>
      </c>
      <c r="B5561" s="138">
        <f ca="1">'Revenues 9-14'!F17</f>
        <v>0</v>
      </c>
      <c r="D5561" s="2" t="str">
        <f t="shared" ca="1" si="85"/>
        <v>Error?</v>
      </c>
    </row>
    <row r="5562" spans="1:4" x14ac:dyDescent="0.2">
      <c r="A5562" s="5">
        <v>5501</v>
      </c>
      <c r="B5562" s="138">
        <f ca="1">'Revenues 9-14'!F18</f>
        <v>0</v>
      </c>
      <c r="C5562" s="2" t="s">
        <v>573</v>
      </c>
      <c r="D5562" s="2" t="str">
        <f t="shared" ca="1" si="85"/>
        <v>Error?</v>
      </c>
    </row>
    <row r="5563" spans="1:4" x14ac:dyDescent="0.2">
      <c r="A5563" s="5">
        <v>5502</v>
      </c>
      <c r="B5563" s="138">
        <f ca="1">'Revenues 9-14'!F42</f>
        <v>0</v>
      </c>
      <c r="D5563" s="2" t="str">
        <f t="shared" ca="1" si="85"/>
        <v>Error?</v>
      </c>
    </row>
    <row r="5564" spans="1:4" x14ac:dyDescent="0.2">
      <c r="A5564" s="5">
        <v>5503</v>
      </c>
      <c r="B5564" s="138">
        <f ca="1">'Revenues 9-14'!F43</f>
        <v>825000</v>
      </c>
      <c r="D5564" s="2" t="str">
        <f t="shared" ca="1" si="85"/>
        <v>Error?</v>
      </c>
    </row>
    <row r="5565" spans="1:4" x14ac:dyDescent="0.2">
      <c r="A5565" s="5">
        <v>5504</v>
      </c>
      <c r="B5565" s="138">
        <f ca="1">'Revenues 9-14'!F44</f>
        <v>0</v>
      </c>
      <c r="D5565" s="2" t="str">
        <f t="shared" ca="1" si="85"/>
        <v>Error?</v>
      </c>
    </row>
    <row r="5566" spans="1:4" x14ac:dyDescent="0.2">
      <c r="A5566" s="5">
        <v>5505</v>
      </c>
      <c r="B5566" s="138">
        <f ca="1">'Revenues 9-14'!F45</f>
        <v>0</v>
      </c>
      <c r="D5566" s="2" t="str">
        <f t="shared" ca="1" si="85"/>
        <v>Error?</v>
      </c>
    </row>
    <row r="5567" spans="1:4" x14ac:dyDescent="0.2">
      <c r="A5567" s="5">
        <v>5506</v>
      </c>
      <c r="B5567" s="138">
        <f ca="1">'Revenues 9-14'!F47</f>
        <v>0</v>
      </c>
      <c r="D5567" s="2" t="str">
        <f t="shared" ref="D5567:D5630" ca="1" si="86">IF(ISBLANK(B5567),"OK",IF(A5567-B5567=0,"OK","Error?"))</f>
        <v>Error?</v>
      </c>
    </row>
    <row r="5568" spans="1:4" x14ac:dyDescent="0.2">
      <c r="A5568" s="5">
        <v>5507</v>
      </c>
      <c r="B5568" s="138">
        <f ca="1">'Revenues 9-14'!F48</f>
        <v>0</v>
      </c>
      <c r="D5568" s="2" t="str">
        <f t="shared" ca="1" si="86"/>
        <v>Error?</v>
      </c>
    </row>
    <row r="5569" spans="1:4" x14ac:dyDescent="0.2">
      <c r="A5569" s="5">
        <v>5508</v>
      </c>
      <c r="B5569" s="138">
        <f ca="1">'Revenues 9-14'!F49</f>
        <v>0</v>
      </c>
      <c r="D5569" s="2" t="str">
        <f t="shared" ca="1" si="86"/>
        <v>Error?</v>
      </c>
    </row>
    <row r="5570" spans="1:4" x14ac:dyDescent="0.2">
      <c r="A5570" s="5">
        <v>5509</v>
      </c>
      <c r="B5570" s="138">
        <f ca="1">'Revenues 9-14'!F51</f>
        <v>0</v>
      </c>
      <c r="D5570" s="2" t="str">
        <f t="shared" ca="1" si="86"/>
        <v>Error?</v>
      </c>
    </row>
    <row r="5571" spans="1:4" x14ac:dyDescent="0.2">
      <c r="A5571" s="5">
        <v>5510</v>
      </c>
      <c r="B5571" s="138">
        <f ca="1">'Revenues 9-14'!F52</f>
        <v>0</v>
      </c>
      <c r="D5571" s="2" t="str">
        <f t="shared" ca="1" si="86"/>
        <v>Error?</v>
      </c>
    </row>
    <row r="5572" spans="1:4" x14ac:dyDescent="0.2">
      <c r="A5572" s="5">
        <v>5511</v>
      </c>
      <c r="B5572" s="138">
        <f ca="1">'Revenues 9-14'!F53</f>
        <v>0</v>
      </c>
      <c r="D5572" s="2" t="str">
        <f t="shared" ca="1" si="86"/>
        <v>Error?</v>
      </c>
    </row>
    <row r="5573" spans="1:4" x14ac:dyDescent="0.2">
      <c r="A5573" s="5">
        <v>5512</v>
      </c>
      <c r="B5573" s="138">
        <f ca="1">'Revenues 9-14'!F55</f>
        <v>0</v>
      </c>
      <c r="D5573" s="2" t="str">
        <f t="shared" ca="1" si="86"/>
        <v>Error?</v>
      </c>
    </row>
    <row r="5574" spans="1:4" x14ac:dyDescent="0.2">
      <c r="A5574" s="5">
        <v>5513</v>
      </c>
      <c r="B5574" s="138">
        <f ca="1">'Revenues 9-14'!F56</f>
        <v>51596</v>
      </c>
      <c r="D5574" s="2" t="str">
        <f t="shared" ca="1" si="86"/>
        <v>Error?</v>
      </c>
    </row>
    <row r="5575" spans="1:4" x14ac:dyDescent="0.2">
      <c r="A5575" s="5">
        <v>5514</v>
      </c>
      <c r="B5575" s="138">
        <f ca="1">'Revenues 9-14'!F57</f>
        <v>0</v>
      </c>
      <c r="D5575" s="2" t="str">
        <f t="shared" ca="1" si="86"/>
        <v>Error?</v>
      </c>
    </row>
    <row r="5576" spans="1:4" x14ac:dyDescent="0.2">
      <c r="A5576" s="5">
        <v>5515</v>
      </c>
      <c r="B5576" s="138">
        <f ca="1">'Revenues 9-14'!F59</f>
        <v>0</v>
      </c>
      <c r="D5576" s="2" t="str">
        <f t="shared" ca="1" si="86"/>
        <v>Error?</v>
      </c>
    </row>
    <row r="5577" spans="1:4" x14ac:dyDescent="0.2">
      <c r="A5577" s="5">
        <v>5516</v>
      </c>
      <c r="B5577" s="138">
        <f ca="1">'Revenues 9-14'!F60</f>
        <v>0</v>
      </c>
      <c r="D5577" s="2" t="str">
        <f t="shared" ca="1" si="86"/>
        <v>Error?</v>
      </c>
    </row>
    <row r="5578" spans="1:4" x14ac:dyDescent="0.2">
      <c r="A5578" s="5">
        <v>5517</v>
      </c>
      <c r="B5578" s="138">
        <f ca="1">'Revenues 9-14'!F61</f>
        <v>0</v>
      </c>
      <c r="D5578" s="2" t="str">
        <f t="shared" ca="1" si="86"/>
        <v>Error?</v>
      </c>
    </row>
    <row r="5579" spans="1:4" x14ac:dyDescent="0.2">
      <c r="A5579" s="5">
        <v>5518</v>
      </c>
      <c r="B5579" s="138">
        <f ca="1">'Revenues 9-14'!F63</f>
        <v>876596</v>
      </c>
      <c r="C5579" s="2" t="s">
        <v>573</v>
      </c>
      <c r="D5579" s="2" t="str">
        <f t="shared" ca="1" si="86"/>
        <v>Error?</v>
      </c>
    </row>
    <row r="5580" spans="1:4" x14ac:dyDescent="0.2">
      <c r="A5580" s="5">
        <v>5519</v>
      </c>
      <c r="B5580" s="138">
        <f ca="1">'Revenues 9-14'!F65</f>
        <v>5715</v>
      </c>
      <c r="D5580" s="2" t="str">
        <f t="shared" ca="1" si="86"/>
        <v>Error?</v>
      </c>
    </row>
    <row r="5581" spans="1:4" x14ac:dyDescent="0.2">
      <c r="A5581" s="5">
        <v>5520</v>
      </c>
      <c r="B5581" s="138">
        <f ca="1">'Revenues 9-14'!F66</f>
        <v>0</v>
      </c>
      <c r="D5581" s="2" t="str">
        <f t="shared" ca="1" si="86"/>
        <v>Error?</v>
      </c>
    </row>
    <row r="5582" spans="1:4" x14ac:dyDescent="0.2">
      <c r="A5582" s="5">
        <v>5521</v>
      </c>
      <c r="B5582" s="138">
        <f ca="1">'Revenues 9-14'!F67</f>
        <v>5715</v>
      </c>
      <c r="C5582" s="2" t="s">
        <v>573</v>
      </c>
      <c r="D5582" s="2" t="str">
        <f t="shared" ca="1" si="86"/>
        <v>Error?</v>
      </c>
    </row>
    <row r="5583" spans="1:4" x14ac:dyDescent="0.2">
      <c r="A5583" s="5">
        <v>5522</v>
      </c>
      <c r="B5583" s="138">
        <f ca="1">'Revenues 9-14'!F96</f>
        <v>0</v>
      </c>
      <c r="D5583" s="2" t="str">
        <f t="shared" ca="1" si="86"/>
        <v>Error?</v>
      </c>
    </row>
    <row r="5584" spans="1:4" x14ac:dyDescent="0.2">
      <c r="A5584" s="5">
        <v>5523</v>
      </c>
      <c r="B5584" s="138">
        <f ca="1">'Revenues 9-14'!F98</f>
        <v>0</v>
      </c>
      <c r="D5584" s="2" t="str">
        <f t="shared" ca="1" si="86"/>
        <v>Error?</v>
      </c>
    </row>
    <row r="5585" spans="1:4" x14ac:dyDescent="0.2">
      <c r="A5585" s="5">
        <v>5524</v>
      </c>
      <c r="B5585" s="138">
        <f ca="1">'Revenues 9-14'!F99</f>
        <v>3789</v>
      </c>
      <c r="D5585" s="2" t="str">
        <f t="shared" ca="1" si="86"/>
        <v>Error?</v>
      </c>
    </row>
    <row r="5586" spans="1:4" x14ac:dyDescent="0.2">
      <c r="A5586" s="5">
        <v>5525</v>
      </c>
      <c r="B5586" s="138">
        <f ca="1">'Revenues 9-14'!F107</f>
        <v>2167</v>
      </c>
      <c r="D5586" s="2" t="str">
        <f t="shared" ca="1" si="86"/>
        <v>Error?</v>
      </c>
    </row>
    <row r="5587" spans="1:4" x14ac:dyDescent="0.2">
      <c r="A5587" s="5">
        <v>5526</v>
      </c>
      <c r="B5587" s="138">
        <f ca="1">'Revenues 9-14'!F108</f>
        <v>5956</v>
      </c>
      <c r="C5587" s="2" t="s">
        <v>573</v>
      </c>
      <c r="D5587" s="2" t="str">
        <f t="shared" ca="1" si="86"/>
        <v>Error?</v>
      </c>
    </row>
    <row r="5588" spans="1:4" x14ac:dyDescent="0.2">
      <c r="A5588" s="5">
        <v>5527</v>
      </c>
      <c r="B5588" s="138">
        <f ca="1">'Revenues 9-14'!F109</f>
        <v>1226748</v>
      </c>
      <c r="C5588" s="2" t="s">
        <v>573</v>
      </c>
      <c r="D5588" s="2" t="str">
        <f t="shared" ca="1" si="86"/>
        <v>Error?</v>
      </c>
    </row>
    <row r="5589" spans="1:4" x14ac:dyDescent="0.2">
      <c r="A5589" s="5">
        <v>5528</v>
      </c>
      <c r="B5589" s="138">
        <f ca="1">'Revenues 9-14'!F111</f>
        <v>0</v>
      </c>
      <c r="D5589" s="2" t="str">
        <f t="shared" ca="1" si="86"/>
        <v>Error?</v>
      </c>
    </row>
    <row r="5590" spans="1:4" x14ac:dyDescent="0.2">
      <c r="A5590" s="5">
        <v>5529</v>
      </c>
      <c r="B5590" s="138">
        <f ca="1">'Revenues 9-14'!F112</f>
        <v>0</v>
      </c>
      <c r="D5590" s="2" t="str">
        <f t="shared" ca="1" si="86"/>
        <v>Error?</v>
      </c>
    </row>
    <row r="5591" spans="1:4" x14ac:dyDescent="0.2">
      <c r="A5591" s="5">
        <v>5530</v>
      </c>
      <c r="B5591" s="138">
        <f ca="1">'Revenues 9-14'!F113</f>
        <v>0</v>
      </c>
      <c r="D5591" s="2" t="str">
        <f t="shared" ca="1" si="86"/>
        <v>Error?</v>
      </c>
    </row>
    <row r="5592" spans="1:4" x14ac:dyDescent="0.2">
      <c r="A5592" s="5">
        <v>5531</v>
      </c>
      <c r="B5592" s="138">
        <f ca="1">'Revenues 9-14'!F114</f>
        <v>0</v>
      </c>
      <c r="C5592" s="2" t="s">
        <v>573</v>
      </c>
      <c r="D5592" s="2" t="str">
        <f t="shared" ca="1" si="86"/>
        <v>Error?</v>
      </c>
    </row>
    <row r="5593" spans="1:4" x14ac:dyDescent="0.2">
      <c r="A5593" s="5">
        <v>5532</v>
      </c>
      <c r="B5593" s="138">
        <f ca="1">'Revenues 9-14'!F117</f>
        <v>0</v>
      </c>
      <c r="D5593" s="2" t="str">
        <f t="shared" ca="1" si="86"/>
        <v>Error?</v>
      </c>
    </row>
    <row r="5594" spans="1:4" x14ac:dyDescent="0.2">
      <c r="A5594" s="5">
        <v>5533</v>
      </c>
      <c r="B5594" s="138">
        <f ca="1">'Revenues 9-14'!F119</f>
        <v>0</v>
      </c>
      <c r="D5594" s="2" t="str">
        <f t="shared" ca="1"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 ca="1">'Revenues 9-14'!F122</f>
        <v>0</v>
      </c>
      <c r="C5599" s="2" t="s">
        <v>573</v>
      </c>
      <c r="D5599" s="2" t="str">
        <f t="shared" ca="1" si="86"/>
        <v>Error?</v>
      </c>
    </row>
    <row r="5600" spans="1:4" x14ac:dyDescent="0.2">
      <c r="A5600" s="5">
        <v>5539</v>
      </c>
      <c r="B5600" s="138">
        <f ca="1">'Revenues 9-14'!F125</f>
        <v>0</v>
      </c>
      <c r="D5600" s="2" t="str">
        <f t="shared" ca="1" si="86"/>
        <v>Error?</v>
      </c>
    </row>
    <row r="5601" spans="1:4" x14ac:dyDescent="0.2">
      <c r="A5601" s="5">
        <v>5540</v>
      </c>
      <c r="B5601" s="138">
        <f ca="1">'Revenues 9-14'!F126</f>
        <v>0</v>
      </c>
      <c r="D5601" s="2" t="str">
        <f t="shared" ca="1" si="86"/>
        <v>Error?</v>
      </c>
    </row>
    <row r="5602" spans="1:4" x14ac:dyDescent="0.2">
      <c r="A5602" s="5">
        <v>5541</v>
      </c>
      <c r="B5602" s="138">
        <f ca="1">'Revenues 9-14'!F127</f>
        <v>0</v>
      </c>
      <c r="D5602" s="2" t="str">
        <f t="shared" ca="1" si="86"/>
        <v>Error?</v>
      </c>
    </row>
    <row r="5603" spans="1:4" x14ac:dyDescent="0.2">
      <c r="A5603" s="10">
        <v>5542</v>
      </c>
      <c r="D5603" s="2" t="str">
        <f t="shared" si="86"/>
        <v>OK</v>
      </c>
    </row>
    <row r="5604" spans="1:4" x14ac:dyDescent="0.2">
      <c r="A5604" s="5">
        <v>5543</v>
      </c>
      <c r="B5604" s="138">
        <f ca="1">'Revenues 9-14'!F128</f>
        <v>0</v>
      </c>
      <c r="D5604" s="2" t="str">
        <f t="shared" ca="1" si="86"/>
        <v>Error?</v>
      </c>
    </row>
    <row r="5605" spans="1:4" x14ac:dyDescent="0.2">
      <c r="A5605" s="10">
        <v>5544</v>
      </c>
      <c r="D5605" s="2" t="str">
        <f t="shared" si="86"/>
        <v>OK</v>
      </c>
    </row>
    <row r="5606" spans="1:4" x14ac:dyDescent="0.2">
      <c r="A5606" s="5">
        <v>5545</v>
      </c>
      <c r="B5606" s="138">
        <f ca="1">'Revenues 9-14'!F129</f>
        <v>0</v>
      </c>
      <c r="D5606" s="2" t="str">
        <f t="shared" ca="1"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 ca="1">'Revenues 9-14'!F130</f>
        <v>0</v>
      </c>
      <c r="D5609" s="2" t="str">
        <f t="shared" ca="1"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 ca="1">'Revenues 9-14'!F132</f>
        <v>0</v>
      </c>
      <c r="C5614" s="2" t="s">
        <v>573</v>
      </c>
      <c r="D5614" s="2" t="str">
        <f t="shared" ca="1" si="86"/>
        <v>Error?</v>
      </c>
    </row>
    <row r="5615" spans="1:4" x14ac:dyDescent="0.2">
      <c r="A5615" s="5">
        <v>5554</v>
      </c>
      <c r="B5615" s="138">
        <f ca="1">'Revenues 9-14'!F152</f>
        <v>152146</v>
      </c>
      <c r="D5615" s="2" t="str">
        <f t="shared" ca="1" si="86"/>
        <v>Error?</v>
      </c>
    </row>
    <row r="5616" spans="1:4" x14ac:dyDescent="0.2">
      <c r="A5616" s="10">
        <v>5555</v>
      </c>
      <c r="D5616" s="2" t="str">
        <f t="shared" si="86"/>
        <v>OK</v>
      </c>
    </row>
    <row r="5617" spans="1:5" x14ac:dyDescent="0.2">
      <c r="A5617" s="5">
        <v>5556</v>
      </c>
      <c r="B5617" s="138">
        <f ca="1">'Revenues 9-14'!F153</f>
        <v>150984</v>
      </c>
      <c r="D5617" s="2" t="str">
        <f t="shared" ca="1" si="86"/>
        <v>Error?</v>
      </c>
    </row>
    <row r="5618" spans="1:5" x14ac:dyDescent="0.2">
      <c r="A5618" s="5">
        <v>5557</v>
      </c>
      <c r="B5618" s="138">
        <f ca="1">'Revenues 9-14'!F155</f>
        <v>303130</v>
      </c>
      <c r="C5618" s="2" t="s">
        <v>573</v>
      </c>
      <c r="D5618" s="2" t="str">
        <f t="shared" ca="1" si="86"/>
        <v>Error?</v>
      </c>
    </row>
    <row r="5619" spans="1:5" x14ac:dyDescent="0.2">
      <c r="A5619" s="5">
        <v>5558</v>
      </c>
      <c r="B5619" s="138">
        <f ca="1">'Revenues 9-14'!F157</f>
        <v>0</v>
      </c>
      <c r="D5619" s="2" t="str">
        <f t="shared" ca="1"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 ca="1">'Revenues 9-14'!F158</f>
        <v>0</v>
      </c>
      <c r="D5625" s="2" t="str">
        <f t="shared" ca="1" si="86"/>
        <v>Error?</v>
      </c>
    </row>
    <row r="5626" spans="1:5" x14ac:dyDescent="0.2">
      <c r="A5626" s="10">
        <v>5565</v>
      </c>
      <c r="D5626" s="2" t="str">
        <f t="shared" si="86"/>
        <v>OK</v>
      </c>
    </row>
    <row r="5627" spans="1:5" x14ac:dyDescent="0.2">
      <c r="A5627" s="5">
        <v>5566</v>
      </c>
      <c r="B5627" s="138">
        <f ca="1">'Revenues 9-14'!F159</f>
        <v>0</v>
      </c>
      <c r="D5627" s="2" t="str">
        <f t="shared" ca="1"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 ca="1">'Revenues 9-14'!F169</f>
        <v>303130</v>
      </c>
      <c r="C5644" s="2" t="s">
        <v>573</v>
      </c>
      <c r="D5644" s="2" t="str">
        <f t="shared" ca="1"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 ca="1">'Revenues 9-14'!F170</f>
        <v>303130</v>
      </c>
      <c r="C5653" s="2" t="s">
        <v>573</v>
      </c>
      <c r="D5653" s="2" t="str">
        <f t="shared" ca="1" si="87"/>
        <v>Error?</v>
      </c>
    </row>
    <row r="5654" spans="1:4" x14ac:dyDescent="0.2">
      <c r="A5654" s="5">
        <v>5593</v>
      </c>
      <c r="B5654" s="138">
        <f ca="1">'Revenues 9-14'!F173</f>
        <v>0</v>
      </c>
      <c r="D5654" s="2" t="str">
        <f t="shared" ca="1" si="87"/>
        <v>Error?</v>
      </c>
    </row>
    <row r="5655" spans="1:4" x14ac:dyDescent="0.2">
      <c r="A5655" s="5">
        <v>5594</v>
      </c>
      <c r="B5655" s="138">
        <f ca="1">'Revenues 9-14'!F175</f>
        <v>0</v>
      </c>
      <c r="C5655" s="2" t="s">
        <v>573</v>
      </c>
      <c r="D5655" s="2" t="str">
        <f t="shared" ca="1"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 ca="1">'Revenues 9-14'!F181</f>
        <v>0</v>
      </c>
      <c r="C5658" s="2" t="s">
        <v>573</v>
      </c>
      <c r="D5658" s="2" t="str">
        <f t="shared" ca="1" si="87"/>
        <v>Error?</v>
      </c>
    </row>
    <row r="5659" spans="1:4" x14ac:dyDescent="0.2">
      <c r="A5659" s="5">
        <v>5598</v>
      </c>
      <c r="B5659" s="138">
        <f ca="1">'Revenues 9-14'!F184</f>
        <v>0</v>
      </c>
      <c r="D5659" s="2" t="str">
        <f t="shared" ca="1"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 ca="1">'Revenues 9-14'!F200</f>
        <v>0</v>
      </c>
      <c r="D5664" s="2" t="str">
        <f t="shared" ca="1" si="87"/>
        <v>Error?</v>
      </c>
    </row>
    <row r="5665" spans="1:5" x14ac:dyDescent="0.2">
      <c r="A5665" s="5">
        <v>5604</v>
      </c>
      <c r="B5665" s="138">
        <f ca="1">'Revenues 9-14'!F201</f>
        <v>0</v>
      </c>
      <c r="D5665" s="2" t="str">
        <f t="shared" ca="1"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 ca="1">'Revenues 9-14'!F202</f>
        <v>0</v>
      </c>
      <c r="D5672" s="2" t="str">
        <f t="shared" ca="1" si="87"/>
        <v>Error?</v>
      </c>
    </row>
    <row r="5673" spans="1:5" x14ac:dyDescent="0.2">
      <c r="A5673" s="5">
        <v>5612</v>
      </c>
      <c r="B5673" s="138">
        <f ca="1">'Revenues 9-14'!F206</f>
        <v>0</v>
      </c>
      <c r="D5673" s="2" t="str">
        <f t="shared" ca="1"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 ca="1">'Revenues 9-14'!F204</f>
        <v>0</v>
      </c>
      <c r="C5677" s="2" t="s">
        <v>573</v>
      </c>
      <c r="D5677" s="2" t="str">
        <f t="shared" ca="1"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 ca="1">'Revenues 9-14'!F211</f>
        <v>0</v>
      </c>
      <c r="D5691" s="2" t="str">
        <f t="shared" ca="1" si="87"/>
        <v>Error?</v>
      </c>
    </row>
    <row r="5692" spans="1:4" x14ac:dyDescent="0.2">
      <c r="A5692" s="5">
        <v>5631</v>
      </c>
      <c r="B5692" s="138">
        <f ca="1">'Revenues 9-14'!F212</f>
        <v>0</v>
      </c>
      <c r="D5692" s="2" t="str">
        <f t="shared" ca="1"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 ca="1">'Revenues 9-14'!F213</f>
        <v>0</v>
      </c>
      <c r="D5695" s="2" t="str">
        <f t="shared" ref="D5695:D5758" ca="1" si="88">IF(ISBLANK(B5695),"OK",IF(A5695-B5695=0,"OK","Error?"))</f>
        <v>Error?</v>
      </c>
    </row>
    <row r="5696" spans="1:4" x14ac:dyDescent="0.2">
      <c r="A5696" s="5">
        <v>5635</v>
      </c>
      <c r="B5696" s="138">
        <f ca="1">'Revenues 9-14'!F214</f>
        <v>0</v>
      </c>
      <c r="D5696" s="2" t="str">
        <f t="shared" ca="1" si="88"/>
        <v>Error?</v>
      </c>
    </row>
    <row r="5697" spans="1:5" x14ac:dyDescent="0.2">
      <c r="A5697" s="5">
        <v>5636</v>
      </c>
      <c r="B5697" s="138">
        <f ca="1">'Revenues 9-14'!F215</f>
        <v>0</v>
      </c>
      <c r="D5697" s="2" t="str">
        <f t="shared" ca="1"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 ca="1">'Revenues 9-14'!F217</f>
        <v>0</v>
      </c>
      <c r="C5703" s="2" t="s">
        <v>573</v>
      </c>
      <c r="D5703" s="2" t="str">
        <f t="shared" ca="1" si="88"/>
        <v>Error?</v>
      </c>
    </row>
    <row r="5704" spans="1:5" x14ac:dyDescent="0.2">
      <c r="A5704" s="10">
        <v>5643</v>
      </c>
      <c r="D5704" s="2" t="str">
        <f t="shared" si="88"/>
        <v>OK</v>
      </c>
    </row>
    <row r="5705" spans="1:5" x14ac:dyDescent="0.2">
      <c r="A5705" s="5">
        <v>5644</v>
      </c>
      <c r="B5705" s="138">
        <f ca="1">'Revenues 9-14'!F255</f>
        <v>0</v>
      </c>
      <c r="D5705" s="2" t="str">
        <f t="shared" ca="1"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 ca="1">'Revenues 9-14'!F257</f>
        <v>0</v>
      </c>
      <c r="D5708" s="2" t="str">
        <f t="shared" ca="1" si="88"/>
        <v>Error?</v>
      </c>
    </row>
    <row r="5709" spans="1:5" x14ac:dyDescent="0.2">
      <c r="A5709" s="10">
        <v>5648</v>
      </c>
      <c r="D5709" s="2" t="str">
        <f t="shared" si="88"/>
        <v>OK</v>
      </c>
    </row>
    <row r="5710" spans="1:5" x14ac:dyDescent="0.2">
      <c r="A5710" s="5">
        <v>5649</v>
      </c>
      <c r="B5710" s="138">
        <f ca="1">'Revenues 9-14'!F258</f>
        <v>0</v>
      </c>
      <c r="D5710" s="2" t="str">
        <f t="shared" ca="1"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 ca="1">'Revenues 9-14'!F266</f>
        <v>0</v>
      </c>
      <c r="C5713" s="2" t="s">
        <v>573</v>
      </c>
      <c r="D5713" s="2" t="str">
        <f t="shared" ca="1"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 ca="1">'Revenues 9-14'!F267</f>
        <v>0</v>
      </c>
      <c r="C5719" s="2" t="s">
        <v>573</v>
      </c>
      <c r="D5719" s="2" t="str">
        <f t="shared" ca="1" si="88"/>
        <v>Error?</v>
      </c>
    </row>
    <row r="5720" spans="1:4" x14ac:dyDescent="0.2">
      <c r="A5720" s="5">
        <v>5659</v>
      </c>
      <c r="B5720" s="138">
        <f ca="1">'Revenues 9-14'!F268</f>
        <v>1529878</v>
      </c>
      <c r="C5720" s="2" t="s">
        <v>573</v>
      </c>
      <c r="D5720" s="2" t="str">
        <f t="shared" ca="1" si="88"/>
        <v>Error?</v>
      </c>
    </row>
    <row r="5721" spans="1:4" x14ac:dyDescent="0.2">
      <c r="A5721" s="5">
        <v>5660</v>
      </c>
      <c r="B5721" s="138">
        <f ca="1">'Revenues 9-14'!G5</f>
        <v>343265</v>
      </c>
      <c r="D5721" s="2" t="str">
        <f t="shared" ca="1" si="88"/>
        <v>Error?</v>
      </c>
    </row>
    <row r="5722" spans="1:4" x14ac:dyDescent="0.2">
      <c r="A5722" s="5">
        <v>5661</v>
      </c>
      <c r="B5722" s="138">
        <f ca="1">'Revenues 9-14'!G7</f>
        <v>0</v>
      </c>
      <c r="D5722" s="2" t="str">
        <f t="shared" ca="1" si="88"/>
        <v>Error?</v>
      </c>
    </row>
    <row r="5723" spans="1:4" x14ac:dyDescent="0.2">
      <c r="A5723" s="5">
        <v>5662</v>
      </c>
      <c r="B5723" s="138">
        <f ca="1">'Revenues 9-14'!G8</f>
        <v>418616</v>
      </c>
      <c r="D5723" s="2" t="str">
        <f t="shared" ca="1" si="88"/>
        <v>Error?</v>
      </c>
    </row>
    <row r="5724" spans="1:4" x14ac:dyDescent="0.2">
      <c r="A5724" s="5">
        <v>5663</v>
      </c>
      <c r="B5724" s="138">
        <f ca="1">'Revenues 9-14'!G11</f>
        <v>0</v>
      </c>
      <c r="D5724" s="2" t="str">
        <f t="shared" ca="1" si="88"/>
        <v>Error?</v>
      </c>
    </row>
    <row r="5725" spans="1:4" x14ac:dyDescent="0.2">
      <c r="A5725" s="5">
        <v>5664</v>
      </c>
      <c r="B5725" s="138">
        <f ca="1">'Revenues 9-14'!G12</f>
        <v>761881</v>
      </c>
      <c r="C5725" s="2" t="s">
        <v>573</v>
      </c>
      <c r="D5725" s="2" t="str">
        <f t="shared" ca="1" si="88"/>
        <v>Error?</v>
      </c>
    </row>
    <row r="5726" spans="1:4" x14ac:dyDescent="0.2">
      <c r="A5726" s="5">
        <v>5665</v>
      </c>
      <c r="B5726" s="138">
        <f ca="1">'Revenues 9-14'!G14</f>
        <v>0</v>
      </c>
      <c r="D5726" s="2" t="str">
        <f t="shared" ca="1" si="88"/>
        <v>Error?</v>
      </c>
    </row>
    <row r="5727" spans="1:4" x14ac:dyDescent="0.2">
      <c r="A5727" s="5">
        <v>5666</v>
      </c>
      <c r="B5727" s="138">
        <f ca="1">'Revenues 9-14'!G15</f>
        <v>0</v>
      </c>
      <c r="D5727" s="2" t="str">
        <f t="shared" ca="1" si="88"/>
        <v>Error?</v>
      </c>
    </row>
    <row r="5728" spans="1:4" x14ac:dyDescent="0.2">
      <c r="A5728" s="5">
        <v>5667</v>
      </c>
      <c r="B5728" s="138">
        <f ca="1">'Revenues 9-14'!G16</f>
        <v>158075</v>
      </c>
      <c r="D5728" s="2" t="str">
        <f t="shared" ca="1" si="88"/>
        <v>Error?</v>
      </c>
    </row>
    <row r="5729" spans="1:4" x14ac:dyDescent="0.2">
      <c r="A5729" s="5">
        <v>5668</v>
      </c>
      <c r="B5729" s="138">
        <f ca="1">'Revenues 9-14'!G17</f>
        <v>0</v>
      </c>
      <c r="D5729" s="2" t="str">
        <f t="shared" ca="1" si="88"/>
        <v>Error?</v>
      </c>
    </row>
    <row r="5730" spans="1:4" x14ac:dyDescent="0.2">
      <c r="A5730" s="5">
        <v>5669</v>
      </c>
      <c r="B5730" s="138">
        <f ca="1">'Revenues 9-14'!G18</f>
        <v>158075</v>
      </c>
      <c r="C5730" s="2" t="s">
        <v>573</v>
      </c>
      <c r="D5730" s="2" t="str">
        <f t="shared" ca="1" si="88"/>
        <v>Error?</v>
      </c>
    </row>
    <row r="5731" spans="1:4" x14ac:dyDescent="0.2">
      <c r="A5731" s="5">
        <v>5670</v>
      </c>
      <c r="B5731" s="138">
        <f ca="1">'Revenues 9-14'!G65</f>
        <v>0</v>
      </c>
      <c r="D5731" s="2" t="str">
        <f t="shared" ca="1" si="88"/>
        <v>Error?</v>
      </c>
    </row>
    <row r="5732" spans="1:4" x14ac:dyDescent="0.2">
      <c r="A5732" s="5">
        <v>5671</v>
      </c>
      <c r="B5732" s="138">
        <f ca="1">'Revenues 9-14'!G66</f>
        <v>0</v>
      </c>
      <c r="D5732" s="2" t="str">
        <f t="shared" ca="1" si="88"/>
        <v>Error?</v>
      </c>
    </row>
    <row r="5733" spans="1:4" x14ac:dyDescent="0.2">
      <c r="A5733" s="5">
        <v>5672</v>
      </c>
      <c r="B5733" s="138">
        <f ca="1">'Revenues 9-14'!G67</f>
        <v>0</v>
      </c>
      <c r="C5733" s="2" t="s">
        <v>573</v>
      </c>
      <c r="D5733" s="2" t="str">
        <f t="shared" ca="1" si="88"/>
        <v>Error?</v>
      </c>
    </row>
    <row r="5734" spans="1:4" x14ac:dyDescent="0.2">
      <c r="A5734" s="5">
        <v>5673</v>
      </c>
      <c r="B5734" s="138">
        <f ca="1">'Revenues 9-14'!G96</f>
        <v>0</v>
      </c>
      <c r="D5734" s="2" t="str">
        <f t="shared" ca="1" si="88"/>
        <v>Error?</v>
      </c>
    </row>
    <row r="5735" spans="1:4" x14ac:dyDescent="0.2">
      <c r="A5735" s="5">
        <v>5674</v>
      </c>
      <c r="B5735" s="138">
        <f ca="1">'Revenues 9-14'!G99</f>
        <v>0</v>
      </c>
      <c r="D5735" s="2" t="str">
        <f t="shared" ca="1" si="88"/>
        <v>Error?</v>
      </c>
    </row>
    <row r="5736" spans="1:4" x14ac:dyDescent="0.2">
      <c r="A5736" s="5">
        <v>5675</v>
      </c>
      <c r="B5736" s="138">
        <f ca="1">'Revenues 9-14'!G107</f>
        <v>0</v>
      </c>
      <c r="D5736" s="2" t="str">
        <f t="shared" ca="1" si="88"/>
        <v>Error?</v>
      </c>
    </row>
    <row r="5737" spans="1:4" x14ac:dyDescent="0.2">
      <c r="A5737" s="5">
        <v>5676</v>
      </c>
      <c r="B5737" s="138">
        <f ca="1">'Revenues 9-14'!G108</f>
        <v>0</v>
      </c>
      <c r="C5737" s="2" t="s">
        <v>573</v>
      </c>
      <c r="D5737" s="2" t="str">
        <f t="shared" ca="1" si="88"/>
        <v>Error?</v>
      </c>
    </row>
    <row r="5738" spans="1:4" x14ac:dyDescent="0.2">
      <c r="A5738" s="5">
        <v>5677</v>
      </c>
      <c r="B5738" s="138">
        <f ca="1">'Revenues 9-14'!G111</f>
        <v>0</v>
      </c>
      <c r="D5738" s="2" t="str">
        <f t="shared" ca="1" si="88"/>
        <v>Error?</v>
      </c>
    </row>
    <row r="5739" spans="1:4" x14ac:dyDescent="0.2">
      <c r="A5739" s="5">
        <v>5678</v>
      </c>
      <c r="B5739" s="138">
        <f ca="1">'Revenues 9-14'!G112</f>
        <v>0</v>
      </c>
      <c r="D5739" s="2" t="str">
        <f t="shared" ca="1" si="88"/>
        <v>Error?</v>
      </c>
    </row>
    <row r="5740" spans="1:4" x14ac:dyDescent="0.2">
      <c r="A5740" s="5">
        <v>5679</v>
      </c>
      <c r="B5740" s="138">
        <f ca="1">'Revenues 9-14'!G113</f>
        <v>0</v>
      </c>
      <c r="D5740" s="2" t="str">
        <f t="shared" ca="1" si="88"/>
        <v>Error?</v>
      </c>
    </row>
    <row r="5741" spans="1:4" x14ac:dyDescent="0.2">
      <c r="A5741" s="5">
        <v>5680</v>
      </c>
      <c r="B5741" s="138">
        <f ca="1">'Revenues 9-14'!G114</f>
        <v>0</v>
      </c>
      <c r="C5741" s="2" t="s">
        <v>573</v>
      </c>
      <c r="D5741" s="2" t="str">
        <f t="shared" ca="1" si="88"/>
        <v>Error?</v>
      </c>
    </row>
    <row r="5742" spans="1:4" x14ac:dyDescent="0.2">
      <c r="A5742" s="5">
        <v>5681</v>
      </c>
      <c r="B5742" s="138">
        <f ca="1">'Revenues 9-14'!G117</f>
        <v>0</v>
      </c>
      <c r="D5742" s="2" t="str">
        <f t="shared" ca="1" si="88"/>
        <v>Error?</v>
      </c>
    </row>
    <row r="5743" spans="1:4" x14ac:dyDescent="0.2">
      <c r="A5743" s="5">
        <v>5682</v>
      </c>
      <c r="B5743" s="138">
        <f ca="1">'Revenues 9-14'!G119</f>
        <v>0</v>
      </c>
      <c r="D5743" s="2" t="str">
        <f t="shared" ca="1"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 ca="1">'Revenues 9-14'!G122</f>
        <v>0</v>
      </c>
      <c r="C5748" s="2" t="s">
        <v>573</v>
      </c>
      <c r="D5748" s="2" t="str">
        <f t="shared" ca="1" si="88"/>
        <v>Error?</v>
      </c>
    </row>
    <row r="5749" spans="1:4" x14ac:dyDescent="0.2">
      <c r="A5749" s="5">
        <v>5688</v>
      </c>
      <c r="B5749" s="138">
        <f ca="1">'Revenues 9-14'!G134</f>
        <v>0</v>
      </c>
      <c r="D5749" s="2" t="str">
        <f t="shared" ca="1"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 ca="1">'Revenues 9-14'!G141</f>
        <v>0</v>
      </c>
      <c r="C5752" s="2" t="s">
        <v>573</v>
      </c>
      <c r="D5752" s="2" t="str">
        <f t="shared" ca="1" si="88"/>
        <v>Error?</v>
      </c>
    </row>
    <row r="5753" spans="1:4" x14ac:dyDescent="0.2">
      <c r="A5753" s="10">
        <v>5692</v>
      </c>
      <c r="D5753" s="2" t="str">
        <f t="shared" si="88"/>
        <v>OK</v>
      </c>
    </row>
    <row r="5754" spans="1:4" x14ac:dyDescent="0.2">
      <c r="A5754" s="5">
        <v>5693</v>
      </c>
      <c r="B5754" s="138">
        <f ca="1">'Revenues 9-14'!G143</f>
        <v>0</v>
      </c>
      <c r="D5754" s="2" t="str">
        <f t="shared" ca="1" si="88"/>
        <v>Error?</v>
      </c>
    </row>
    <row r="5755" spans="1:4" x14ac:dyDescent="0.2">
      <c r="A5755" s="5">
        <v>5694</v>
      </c>
      <c r="B5755" s="138">
        <f ca="1">'Revenues 9-14'!G144</f>
        <v>0</v>
      </c>
      <c r="D5755" s="2" t="str">
        <f t="shared" ca="1" si="88"/>
        <v>Error?</v>
      </c>
    </row>
    <row r="5756" spans="1:4" x14ac:dyDescent="0.2">
      <c r="A5756" s="5">
        <v>5695</v>
      </c>
      <c r="B5756" s="138">
        <f ca="1">'Revenues 9-14'!G145</f>
        <v>0</v>
      </c>
      <c r="C5756" s="2" t="s">
        <v>573</v>
      </c>
      <c r="D5756" s="2" t="str">
        <f t="shared" ca="1" si="88"/>
        <v>Error?</v>
      </c>
    </row>
    <row r="5757" spans="1:4" x14ac:dyDescent="0.2">
      <c r="A5757" s="5">
        <v>5696</v>
      </c>
      <c r="B5757" s="138">
        <f ca="1">'Revenues 9-14'!G157</f>
        <v>0</v>
      </c>
      <c r="D5757" s="2" t="str">
        <f t="shared" ca="1"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 ca="1">'Revenues 9-14'!G158</f>
        <v>0</v>
      </c>
      <c r="D5763" s="2" t="str">
        <f t="shared" ca="1" si="89"/>
        <v>Error?</v>
      </c>
    </row>
    <row r="5764" spans="1:5" x14ac:dyDescent="0.2">
      <c r="A5764" s="10">
        <v>5703</v>
      </c>
      <c r="D5764" s="2" t="str">
        <f t="shared" si="89"/>
        <v>OK</v>
      </c>
    </row>
    <row r="5765" spans="1:5" x14ac:dyDescent="0.2">
      <c r="A5765" s="5">
        <v>5704</v>
      </c>
      <c r="B5765" s="138">
        <f ca="1">'Revenues 9-14'!G159</f>
        <v>0</v>
      </c>
      <c r="D5765" s="2" t="str">
        <f t="shared" ca="1"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 ca="1">'Revenues 9-14'!G169</f>
        <v>0</v>
      </c>
      <c r="C5770" s="2" t="s">
        <v>573</v>
      </c>
      <c r="D5770" s="2" t="str">
        <f t="shared" ca="1"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 ca="1">'Revenues 9-14'!G170</f>
        <v>0</v>
      </c>
      <c r="C5778" s="2" t="s">
        <v>573</v>
      </c>
      <c r="D5778" s="2" t="str">
        <f t="shared" ca="1" si="89"/>
        <v>Error?</v>
      </c>
    </row>
    <row r="5779" spans="1:4" x14ac:dyDescent="0.2">
      <c r="A5779" s="5">
        <v>5718</v>
      </c>
      <c r="B5779" s="138">
        <f ca="1">'Revenues 9-14'!G173</f>
        <v>0</v>
      </c>
      <c r="D5779" s="2" t="str">
        <f t="shared" ca="1" si="89"/>
        <v>Error?</v>
      </c>
    </row>
    <row r="5780" spans="1:4" x14ac:dyDescent="0.2">
      <c r="A5780" s="5">
        <v>5719</v>
      </c>
      <c r="B5780" s="138">
        <f ca="1">'Revenues 9-14'!G175</f>
        <v>0</v>
      </c>
      <c r="C5780" s="2" t="s">
        <v>573</v>
      </c>
      <c r="D5780" s="2" t="str">
        <f t="shared" ca="1"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 ca="1">'Revenues 9-14'!G181</f>
        <v>0</v>
      </c>
      <c r="C5784" s="2" t="s">
        <v>573</v>
      </c>
      <c r="D5784" s="2" t="str">
        <f t="shared" ca="1" si="89"/>
        <v>Error?</v>
      </c>
    </row>
    <row r="5785" spans="1:4" x14ac:dyDescent="0.2">
      <c r="A5785" s="5">
        <v>5724</v>
      </c>
      <c r="B5785" s="138">
        <f ca="1">'Revenues 9-14'!G184</f>
        <v>0</v>
      </c>
      <c r="D5785" s="2" t="str">
        <f t="shared" ca="1"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 ca="1">'Revenues 9-14'!G200</f>
        <v>0</v>
      </c>
      <c r="D5790" s="2" t="str">
        <f t="shared" ca="1" si="89"/>
        <v>Error?</v>
      </c>
    </row>
    <row r="5791" spans="1:4" x14ac:dyDescent="0.2">
      <c r="A5791" s="5">
        <v>5730</v>
      </c>
      <c r="B5791" s="138">
        <f ca="1">'Revenues 9-14'!G201</f>
        <v>0</v>
      </c>
      <c r="D5791" s="2" t="str">
        <f t="shared" ca="1"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 ca="1">'Revenues 9-14'!G202</f>
        <v>0</v>
      </c>
      <c r="D5798" s="2" t="str">
        <f t="shared" ca="1" si="89"/>
        <v>Error?</v>
      </c>
    </row>
    <row r="5799" spans="1:5" x14ac:dyDescent="0.2">
      <c r="A5799" s="5">
        <v>5738</v>
      </c>
      <c r="B5799" s="138">
        <f ca="1">'Revenues 9-14'!G206</f>
        <v>0</v>
      </c>
      <c r="D5799" s="2" t="str">
        <f t="shared" ca="1"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 ca="1">'Revenues 9-14'!G204</f>
        <v>0</v>
      </c>
      <c r="C5803" s="2" t="s">
        <v>573</v>
      </c>
      <c r="D5803" s="2" t="str">
        <f t="shared" ca="1"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 ca="1">'Revenues 9-14'!G211</f>
        <v>0</v>
      </c>
      <c r="D5817" s="2" t="str">
        <f t="shared" ca="1" si="89"/>
        <v>Error?</v>
      </c>
    </row>
    <row r="5818" spans="1:4" x14ac:dyDescent="0.2">
      <c r="A5818" s="5">
        <v>5757</v>
      </c>
      <c r="B5818" s="138">
        <f ca="1">'Revenues 9-14'!G212</f>
        <v>0</v>
      </c>
      <c r="D5818" s="2" t="str">
        <f t="shared" ca="1"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 ca="1">'Revenues 9-14'!G213</f>
        <v>0</v>
      </c>
      <c r="D5821" s="2" t="str">
        <f t="shared" ca="1" si="89"/>
        <v>Error?</v>
      </c>
    </row>
    <row r="5822" spans="1:4" x14ac:dyDescent="0.2">
      <c r="A5822" s="5">
        <v>5761</v>
      </c>
      <c r="B5822" s="138">
        <f ca="1">'Revenues 9-14'!G214</f>
        <v>0</v>
      </c>
      <c r="D5822" s="2" t="str">
        <f t="shared" ca="1" si="89"/>
        <v>Error?</v>
      </c>
    </row>
    <row r="5823" spans="1:4" x14ac:dyDescent="0.2">
      <c r="A5823" s="5">
        <v>5762</v>
      </c>
      <c r="B5823" s="138">
        <f ca="1">'Revenues 9-14'!G215</f>
        <v>0</v>
      </c>
      <c r="D5823" s="2" t="str">
        <f t="shared" ref="D5823:D5886" ca="1"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 ca="1">'Revenues 9-14'!G217</f>
        <v>0</v>
      </c>
      <c r="C5829" s="2" t="s">
        <v>573</v>
      </c>
      <c r="D5829" s="2" t="str">
        <f t="shared" ca="1"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 ca="1">'Revenues 9-14'!G219</f>
        <v>0</v>
      </c>
      <c r="D5844" s="2" t="str">
        <f t="shared" ca="1"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 ca="1">'Revenues 9-14'!G221</f>
        <v>0</v>
      </c>
      <c r="C5847" s="2" t="s">
        <v>573</v>
      </c>
      <c r="D5847" s="2" t="str">
        <f t="shared" ca="1"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 ca="1">'Revenues 9-14'!G222</f>
        <v>0</v>
      </c>
      <c r="D5853" s="2" t="str">
        <f t="shared" ca="1" si="90"/>
        <v>Error?</v>
      </c>
    </row>
    <row r="5854" spans="1:5" x14ac:dyDescent="0.2">
      <c r="A5854" s="10">
        <v>5793</v>
      </c>
      <c r="D5854" s="2" t="str">
        <f t="shared" si="90"/>
        <v>OK</v>
      </c>
    </row>
    <row r="5855" spans="1:5" x14ac:dyDescent="0.2">
      <c r="A5855" s="5">
        <v>5794</v>
      </c>
      <c r="B5855" s="138">
        <f ca="1">'Revenues 9-14'!G255</f>
        <v>0</v>
      </c>
      <c r="D5855" s="2" t="str">
        <f t="shared" ca="1"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 ca="1">'Revenues 9-14'!G257</f>
        <v>0</v>
      </c>
      <c r="D5858" s="2" t="str">
        <f t="shared" ca="1" si="90"/>
        <v>Error?</v>
      </c>
    </row>
    <row r="5859" spans="1:4" x14ac:dyDescent="0.2">
      <c r="A5859" s="10">
        <v>5798</v>
      </c>
      <c r="D5859" s="2" t="str">
        <f t="shared" si="90"/>
        <v>OK</v>
      </c>
    </row>
    <row r="5860" spans="1:4" x14ac:dyDescent="0.2">
      <c r="A5860" s="5">
        <v>5799</v>
      </c>
      <c r="B5860" s="138">
        <f ca="1">'Revenues 9-14'!G258</f>
        <v>0</v>
      </c>
      <c r="D5860" s="2" t="str">
        <f t="shared" ca="1"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 ca="1">'Revenues 9-14'!G266</f>
        <v>0</v>
      </c>
      <c r="C5863" s="2" t="s">
        <v>573</v>
      </c>
      <c r="D5863" s="2" t="str">
        <f t="shared" ca="1"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 ca="1">'Revenues 9-14'!G267</f>
        <v>0</v>
      </c>
      <c r="C5869" s="2" t="s">
        <v>573</v>
      </c>
      <c r="D5869" s="2" t="str">
        <f t="shared" ca="1" si="90"/>
        <v>Error?</v>
      </c>
    </row>
    <row r="5870" spans="1:4" x14ac:dyDescent="0.2">
      <c r="A5870" s="5">
        <v>5809</v>
      </c>
      <c r="B5870" s="138">
        <f ca="1">'Revenues 9-14'!G268</f>
        <v>919956</v>
      </c>
      <c r="C5870" s="2" t="s">
        <v>573</v>
      </c>
      <c r="D5870" s="2" t="str">
        <f t="shared" ca="1" si="90"/>
        <v>Error?</v>
      </c>
    </row>
    <row r="5871" spans="1:4" x14ac:dyDescent="0.2">
      <c r="A5871" s="5">
        <v>5810</v>
      </c>
      <c r="B5871" s="138">
        <f ca="1">'Revenues 9-14'!H5</f>
        <v>0</v>
      </c>
      <c r="D5871" s="2" t="str">
        <f t="shared" ca="1" si="90"/>
        <v>Error?</v>
      </c>
    </row>
    <row r="5872" spans="1:4" x14ac:dyDescent="0.2">
      <c r="A5872" s="5">
        <v>5811</v>
      </c>
      <c r="B5872" s="138">
        <f ca="1">'Revenues 9-14'!H11</f>
        <v>0</v>
      </c>
      <c r="D5872" s="2" t="str">
        <f t="shared" ca="1" si="90"/>
        <v>Error?</v>
      </c>
    </row>
    <row r="5873" spans="1:4" x14ac:dyDescent="0.2">
      <c r="A5873" s="5">
        <v>5812</v>
      </c>
      <c r="B5873" s="138">
        <f ca="1">'Revenues 9-14'!H12</f>
        <v>0</v>
      </c>
      <c r="C5873" s="2" t="s">
        <v>573</v>
      </c>
      <c r="D5873" s="2" t="str">
        <f t="shared" ca="1" si="90"/>
        <v>Error?</v>
      </c>
    </row>
    <row r="5874" spans="1:4" x14ac:dyDescent="0.2">
      <c r="A5874" s="5">
        <v>5813</v>
      </c>
      <c r="B5874" s="138">
        <f ca="1">'Revenues 9-14'!H14</f>
        <v>0</v>
      </c>
      <c r="D5874" s="2" t="str">
        <f t="shared" ca="1" si="90"/>
        <v>Error?</v>
      </c>
    </row>
    <row r="5875" spans="1:4" x14ac:dyDescent="0.2">
      <c r="A5875" s="5">
        <v>5814</v>
      </c>
      <c r="B5875" s="138">
        <f ca="1">'Revenues 9-14'!H15</f>
        <v>0</v>
      </c>
      <c r="D5875" s="2" t="str">
        <f t="shared" ca="1" si="90"/>
        <v>Error?</v>
      </c>
    </row>
    <row r="5876" spans="1:4" x14ac:dyDescent="0.2">
      <c r="A5876" s="5">
        <v>5815</v>
      </c>
      <c r="B5876" s="138">
        <f ca="1">'Revenues 9-14'!H16</f>
        <v>0</v>
      </c>
      <c r="D5876" s="2" t="str">
        <f t="shared" ca="1" si="90"/>
        <v>Error?</v>
      </c>
    </row>
    <row r="5877" spans="1:4" x14ac:dyDescent="0.2">
      <c r="A5877" s="5">
        <v>5816</v>
      </c>
      <c r="B5877" s="138">
        <f ca="1">'Revenues 9-14'!H17</f>
        <v>0</v>
      </c>
      <c r="D5877" s="2" t="str">
        <f t="shared" ca="1" si="90"/>
        <v>Error?</v>
      </c>
    </row>
    <row r="5878" spans="1:4" x14ac:dyDescent="0.2">
      <c r="A5878" s="5">
        <v>5817</v>
      </c>
      <c r="B5878" s="138">
        <f ca="1">'Revenues 9-14'!H18</f>
        <v>0</v>
      </c>
      <c r="C5878" s="2" t="s">
        <v>573</v>
      </c>
      <c r="D5878" s="2" t="str">
        <f t="shared" ca="1" si="90"/>
        <v>Error?</v>
      </c>
    </row>
    <row r="5879" spans="1:4" x14ac:dyDescent="0.2">
      <c r="A5879" s="5">
        <v>5818</v>
      </c>
      <c r="B5879" s="138">
        <f ca="1">'Revenues 9-14'!H65</f>
        <v>0</v>
      </c>
      <c r="D5879" s="2" t="str">
        <f t="shared" ca="1" si="90"/>
        <v>Error?</v>
      </c>
    </row>
    <row r="5880" spans="1:4" x14ac:dyDescent="0.2">
      <c r="A5880" s="5">
        <v>5819</v>
      </c>
      <c r="B5880" s="138">
        <f ca="1">'Revenues 9-14'!H66</f>
        <v>0</v>
      </c>
      <c r="D5880" s="2" t="str">
        <f t="shared" ca="1" si="90"/>
        <v>Error?</v>
      </c>
    </row>
    <row r="5881" spans="1:4" x14ac:dyDescent="0.2">
      <c r="A5881" s="5">
        <v>5820</v>
      </c>
      <c r="B5881" s="138">
        <f ca="1">'Revenues 9-14'!H67</f>
        <v>0</v>
      </c>
      <c r="C5881" s="2" t="s">
        <v>573</v>
      </c>
      <c r="D5881" s="2" t="str">
        <f t="shared" ca="1" si="90"/>
        <v>Error?</v>
      </c>
    </row>
    <row r="5882" spans="1:4" x14ac:dyDescent="0.2">
      <c r="A5882" s="5">
        <v>5821</v>
      </c>
      <c r="B5882" s="138">
        <f ca="1">'Revenues 9-14'!H96</f>
        <v>0</v>
      </c>
      <c r="D5882" s="2" t="str">
        <f t="shared" ca="1" si="90"/>
        <v>Error?</v>
      </c>
    </row>
    <row r="5883" spans="1:4" x14ac:dyDescent="0.2">
      <c r="A5883" s="5">
        <v>5822</v>
      </c>
      <c r="B5883" s="138">
        <f ca="1">'Revenues 9-14'!H99</f>
        <v>0</v>
      </c>
      <c r="D5883" s="2" t="str">
        <f t="shared" ca="1" si="90"/>
        <v>Error?</v>
      </c>
    </row>
    <row r="5884" spans="1:4" x14ac:dyDescent="0.2">
      <c r="A5884" s="5">
        <v>5823</v>
      </c>
      <c r="B5884" s="138">
        <f ca="1">'Revenues 9-14'!H104</f>
        <v>0</v>
      </c>
      <c r="D5884" s="2" t="str">
        <f t="shared" ca="1" si="90"/>
        <v>Error?</v>
      </c>
    </row>
    <row r="5885" spans="1:4" x14ac:dyDescent="0.2">
      <c r="A5885" s="5">
        <v>5824</v>
      </c>
      <c r="B5885" s="138">
        <f ca="1">'Revenues 9-14'!H107</f>
        <v>0</v>
      </c>
      <c r="D5885" s="2" t="str">
        <f t="shared" ca="1" si="90"/>
        <v>Error?</v>
      </c>
    </row>
    <row r="5886" spans="1:4" x14ac:dyDescent="0.2">
      <c r="A5886" s="5">
        <v>5825</v>
      </c>
      <c r="B5886" s="138">
        <f ca="1">'Revenues 9-14'!H108</f>
        <v>0</v>
      </c>
      <c r="C5886" s="2" t="s">
        <v>573</v>
      </c>
      <c r="D5886" s="2" t="str">
        <f t="shared" ca="1" si="90"/>
        <v>Error?</v>
      </c>
    </row>
    <row r="5887" spans="1:4" x14ac:dyDescent="0.2">
      <c r="A5887" s="5">
        <v>5826</v>
      </c>
      <c r="B5887" s="138">
        <f ca="1">'Revenues 9-14'!H117</f>
        <v>0</v>
      </c>
      <c r="D5887" s="2" t="str">
        <f t="shared" ref="D5887:D5950" ca="1" si="91">IF(ISBLANK(B5887),"OK",IF(A5887-B5887=0,"OK","Error?"))</f>
        <v>Error?</v>
      </c>
    </row>
    <row r="5888" spans="1:4" x14ac:dyDescent="0.2">
      <c r="A5888" s="5">
        <v>5827</v>
      </c>
      <c r="B5888" s="138">
        <f ca="1">'Revenues 9-14'!H119</f>
        <v>0</v>
      </c>
      <c r="D5888" s="2" t="str">
        <f t="shared" ca="1"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 ca="1">'Revenues 9-14'!H122</f>
        <v>0</v>
      </c>
      <c r="C5893" s="2" t="s">
        <v>573</v>
      </c>
      <c r="D5893" s="2" t="str">
        <f t="shared" ca="1"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 ca="1">'Revenues 9-14'!H169</f>
        <v>0</v>
      </c>
      <c r="C5899" s="2" t="s">
        <v>573</v>
      </c>
      <c r="D5899" s="2" t="str">
        <f t="shared" ca="1"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 ca="1">'Revenues 9-14'!H170</f>
        <v>0</v>
      </c>
      <c r="C5906" s="2" t="s">
        <v>573</v>
      </c>
      <c r="D5906" s="2" t="str">
        <f t="shared" ca="1" si="91"/>
        <v>Error?</v>
      </c>
    </row>
    <row r="5907" spans="1:4" x14ac:dyDescent="0.2">
      <c r="A5907" s="5">
        <v>5846</v>
      </c>
      <c r="B5907" s="138">
        <f ca="1">'Revenues 9-14'!H178</f>
        <v>0</v>
      </c>
      <c r="D5907" s="2" t="str">
        <f t="shared" ca="1" si="91"/>
        <v>Error?</v>
      </c>
    </row>
    <row r="5908" spans="1:4" x14ac:dyDescent="0.2">
      <c r="A5908" s="5">
        <v>5847</v>
      </c>
      <c r="B5908" s="138">
        <f ca="1">'Revenues 9-14'!H181</f>
        <v>0</v>
      </c>
      <c r="C5908" s="2" t="s">
        <v>573</v>
      </c>
      <c r="D5908" s="2" t="str">
        <f t="shared" ca="1"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 ca="1">'Revenues 9-14'!H267</f>
        <v>0</v>
      </c>
      <c r="C5914" s="2" t="s">
        <v>573</v>
      </c>
      <c r="D5914" s="2" t="str">
        <f t="shared" ca="1" si="91"/>
        <v>Error?</v>
      </c>
    </row>
    <row r="5915" spans="1:4" x14ac:dyDescent="0.2">
      <c r="A5915" s="5">
        <v>5854</v>
      </c>
      <c r="B5915" s="138">
        <f ca="1">'Revenues 9-14'!H268</f>
        <v>0</v>
      </c>
      <c r="C5915" s="2" t="s">
        <v>573</v>
      </c>
      <c r="D5915" s="2" t="str">
        <f t="shared" ca="1" si="91"/>
        <v>Error?</v>
      </c>
    </row>
    <row r="5916" spans="1:4" x14ac:dyDescent="0.2">
      <c r="A5916" s="5">
        <v>5855</v>
      </c>
      <c r="B5916" s="138">
        <f ca="1">'Revenues 9-14'!I5</f>
        <v>141133</v>
      </c>
      <c r="D5916" s="2" t="str">
        <f t="shared" ca="1" si="91"/>
        <v>Error?</v>
      </c>
    </row>
    <row r="5917" spans="1:4" x14ac:dyDescent="0.2">
      <c r="A5917" s="5">
        <v>5856</v>
      </c>
      <c r="B5917" s="138">
        <f ca="1">'Revenues 9-14'!I11</f>
        <v>0</v>
      </c>
      <c r="D5917" s="2" t="str">
        <f t="shared" ca="1" si="91"/>
        <v>Error?</v>
      </c>
    </row>
    <row r="5918" spans="1:4" x14ac:dyDescent="0.2">
      <c r="A5918" s="5">
        <v>5857</v>
      </c>
      <c r="B5918" s="138">
        <f ca="1">'Revenues 9-14'!I12</f>
        <v>141133</v>
      </c>
      <c r="C5918" s="2" t="s">
        <v>573</v>
      </c>
      <c r="D5918" s="2" t="str">
        <f t="shared" ca="1" si="91"/>
        <v>Error?</v>
      </c>
    </row>
    <row r="5919" spans="1:4" x14ac:dyDescent="0.2">
      <c r="A5919" s="5">
        <v>5858</v>
      </c>
      <c r="B5919" s="138">
        <f ca="1">'Revenues 9-14'!I14</f>
        <v>0</v>
      </c>
      <c r="D5919" s="2" t="str">
        <f t="shared" ca="1" si="91"/>
        <v>Error?</v>
      </c>
    </row>
    <row r="5920" spans="1:4" x14ac:dyDescent="0.2">
      <c r="A5920" s="5">
        <v>5859</v>
      </c>
      <c r="B5920" s="138">
        <f ca="1">'Revenues 9-14'!I15</f>
        <v>0</v>
      </c>
      <c r="D5920" s="2" t="str">
        <f t="shared" ca="1" si="91"/>
        <v>Error?</v>
      </c>
    </row>
    <row r="5921" spans="1:4" x14ac:dyDescent="0.2">
      <c r="A5921" s="5">
        <v>5860</v>
      </c>
      <c r="B5921" s="138">
        <f ca="1">'Revenues 9-14'!I16</f>
        <v>0</v>
      </c>
      <c r="D5921" s="2" t="str">
        <f t="shared" ca="1" si="91"/>
        <v>Error?</v>
      </c>
    </row>
    <row r="5922" spans="1:4" x14ac:dyDescent="0.2">
      <c r="A5922" s="5">
        <v>5861</v>
      </c>
      <c r="B5922" s="138">
        <f ca="1">'Revenues 9-14'!I17</f>
        <v>0</v>
      </c>
      <c r="D5922" s="2" t="str">
        <f t="shared" ca="1" si="91"/>
        <v>Error?</v>
      </c>
    </row>
    <row r="5923" spans="1:4" x14ac:dyDescent="0.2">
      <c r="A5923" s="5">
        <v>5862</v>
      </c>
      <c r="B5923" s="138">
        <f ca="1">'Revenues 9-14'!I18</f>
        <v>0</v>
      </c>
      <c r="C5923" s="2" t="s">
        <v>573</v>
      </c>
      <c r="D5923" s="2" t="str">
        <f t="shared" ca="1" si="91"/>
        <v>Error?</v>
      </c>
    </row>
    <row r="5924" spans="1:4" x14ac:dyDescent="0.2">
      <c r="A5924" s="5">
        <v>5863</v>
      </c>
      <c r="B5924" s="138">
        <f ca="1">'Revenues 9-14'!I65</f>
        <v>126252</v>
      </c>
      <c r="D5924" s="2" t="str">
        <f t="shared" ca="1" si="91"/>
        <v>Error?</v>
      </c>
    </row>
    <row r="5925" spans="1:4" x14ac:dyDescent="0.2">
      <c r="A5925" s="5">
        <v>5864</v>
      </c>
      <c r="B5925" s="138">
        <f ca="1">'Revenues 9-14'!I66</f>
        <v>0</v>
      </c>
      <c r="D5925" s="2" t="str">
        <f t="shared" ca="1" si="91"/>
        <v>Error?</v>
      </c>
    </row>
    <row r="5926" spans="1:4" x14ac:dyDescent="0.2">
      <c r="A5926" s="5">
        <v>5865</v>
      </c>
      <c r="B5926" s="138">
        <f ca="1">'Revenues 9-14'!I67</f>
        <v>126252</v>
      </c>
      <c r="C5926" s="2" t="s">
        <v>573</v>
      </c>
      <c r="D5926" s="2" t="str">
        <f t="shared" ca="1" si="91"/>
        <v>Error?</v>
      </c>
    </row>
    <row r="5927" spans="1:4" x14ac:dyDescent="0.2">
      <c r="A5927" s="5">
        <v>5866</v>
      </c>
      <c r="B5927" s="138">
        <f ca="1">'Revenues 9-14'!I96</f>
        <v>0</v>
      </c>
      <c r="D5927" s="2" t="str">
        <f t="shared" ca="1" si="91"/>
        <v>Error?</v>
      </c>
    </row>
    <row r="5928" spans="1:4" x14ac:dyDescent="0.2">
      <c r="A5928" s="10">
        <v>5867</v>
      </c>
      <c r="D5928" s="2" t="str">
        <f t="shared" si="91"/>
        <v>OK</v>
      </c>
    </row>
    <row r="5929" spans="1:4" x14ac:dyDescent="0.2">
      <c r="A5929" s="5">
        <v>5868</v>
      </c>
      <c r="B5929" s="138">
        <f ca="1">'Revenues 9-14'!I107</f>
        <v>0</v>
      </c>
      <c r="D5929" s="2" t="str">
        <f t="shared" ca="1" si="91"/>
        <v>Error?</v>
      </c>
    </row>
    <row r="5930" spans="1:4" x14ac:dyDescent="0.2">
      <c r="A5930" s="5">
        <v>5869</v>
      </c>
      <c r="B5930" s="138">
        <f ca="1">'Revenues 9-14'!I108</f>
        <v>0</v>
      </c>
      <c r="C5930" s="2" t="s">
        <v>573</v>
      </c>
      <c r="D5930" s="2" t="str">
        <f t="shared" ca="1"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 ca="1">'Revenues 9-14'!I268</f>
        <v>267385</v>
      </c>
      <c r="C5946" s="2" t="s">
        <v>573</v>
      </c>
      <c r="D5946" s="2" t="str">
        <f t="shared" ca="1"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 ca="1">'Revenues 9-14'!K5</f>
        <v>0</v>
      </c>
      <c r="D5985" s="2" t="str">
        <f t="shared" ca="1" si="92"/>
        <v>Error?</v>
      </c>
    </row>
    <row r="5986" spans="1:4" x14ac:dyDescent="0.2">
      <c r="A5986" s="5">
        <v>5925</v>
      </c>
      <c r="B5986" s="138">
        <f ca="1">'Revenues 9-14'!K11</f>
        <v>0</v>
      </c>
      <c r="D5986" s="2" t="str">
        <f t="shared" ca="1" si="92"/>
        <v>Error?</v>
      </c>
    </row>
    <row r="5987" spans="1:4" x14ac:dyDescent="0.2">
      <c r="A5987" s="5">
        <v>5926</v>
      </c>
      <c r="B5987" s="138">
        <f ca="1">'Revenues 9-14'!K12</f>
        <v>0</v>
      </c>
      <c r="C5987" s="2" t="s">
        <v>573</v>
      </c>
      <c r="D5987" s="2" t="str">
        <f t="shared" ca="1" si="92"/>
        <v>Error?</v>
      </c>
    </row>
    <row r="5988" spans="1:4" x14ac:dyDescent="0.2">
      <c r="A5988" s="5">
        <v>5927</v>
      </c>
      <c r="B5988" s="138">
        <f ca="1">'Revenues 9-14'!K14</f>
        <v>0</v>
      </c>
      <c r="D5988" s="2" t="str">
        <f t="shared" ca="1" si="92"/>
        <v>Error?</v>
      </c>
    </row>
    <row r="5989" spans="1:4" x14ac:dyDescent="0.2">
      <c r="A5989" s="5">
        <v>5928</v>
      </c>
      <c r="B5989" s="138">
        <f ca="1">'Revenues 9-14'!K15</f>
        <v>0</v>
      </c>
      <c r="D5989" s="2" t="str">
        <f t="shared" ca="1" si="92"/>
        <v>Error?</v>
      </c>
    </row>
    <row r="5990" spans="1:4" x14ac:dyDescent="0.2">
      <c r="A5990" s="5">
        <v>5929</v>
      </c>
      <c r="B5990" s="138">
        <f ca="1">'Revenues 9-14'!K16</f>
        <v>0</v>
      </c>
      <c r="D5990" s="2" t="str">
        <f t="shared" ca="1" si="92"/>
        <v>Error?</v>
      </c>
    </row>
    <row r="5991" spans="1:4" x14ac:dyDescent="0.2">
      <c r="A5991" s="5">
        <v>5930</v>
      </c>
      <c r="B5991" s="138">
        <f ca="1">'Revenues 9-14'!K17</f>
        <v>0</v>
      </c>
      <c r="D5991" s="2" t="str">
        <f t="shared" ca="1" si="92"/>
        <v>Error?</v>
      </c>
    </row>
    <row r="5992" spans="1:4" x14ac:dyDescent="0.2">
      <c r="A5992" s="5">
        <v>5931</v>
      </c>
      <c r="B5992" s="138">
        <f ca="1">'Revenues 9-14'!K18</f>
        <v>0</v>
      </c>
      <c r="C5992" s="2" t="s">
        <v>573</v>
      </c>
      <c r="D5992" s="2" t="str">
        <f t="shared" ca="1" si="92"/>
        <v>Error?</v>
      </c>
    </row>
    <row r="5993" spans="1:4" x14ac:dyDescent="0.2">
      <c r="A5993" s="5">
        <v>5932</v>
      </c>
      <c r="B5993" s="138">
        <f ca="1">'Revenues 9-14'!K65</f>
        <v>10433</v>
      </c>
      <c r="D5993" s="2" t="str">
        <f t="shared" ca="1" si="92"/>
        <v>Error?</v>
      </c>
    </row>
    <row r="5994" spans="1:4" x14ac:dyDescent="0.2">
      <c r="A5994" s="5">
        <v>5933</v>
      </c>
      <c r="B5994" s="138">
        <f ca="1">'Revenues 9-14'!K66</f>
        <v>0</v>
      </c>
      <c r="D5994" s="2" t="str">
        <f t="shared" ca="1" si="92"/>
        <v>Error?</v>
      </c>
    </row>
    <row r="5995" spans="1:4" x14ac:dyDescent="0.2">
      <c r="A5995" s="5">
        <v>5934</v>
      </c>
      <c r="B5995" s="138">
        <f ca="1">'Revenues 9-14'!K67</f>
        <v>10433</v>
      </c>
      <c r="C5995" s="2" t="s">
        <v>573</v>
      </c>
      <c r="D5995" s="2" t="str">
        <f t="shared" ca="1" si="92"/>
        <v>Error?</v>
      </c>
    </row>
    <row r="5996" spans="1:4" x14ac:dyDescent="0.2">
      <c r="A5996" s="5">
        <v>5935</v>
      </c>
      <c r="B5996" s="138">
        <f ca="1">'Revenues 9-14'!K96</f>
        <v>0</v>
      </c>
      <c r="D5996" s="2" t="str">
        <f t="shared" ca="1" si="92"/>
        <v>Error?</v>
      </c>
    </row>
    <row r="5997" spans="1:4" x14ac:dyDescent="0.2">
      <c r="A5997" s="5">
        <v>5936</v>
      </c>
      <c r="B5997" s="138">
        <f ca="1">'Revenues 9-14'!K99</f>
        <v>0</v>
      </c>
      <c r="D5997" s="2" t="str">
        <f t="shared" ca="1" si="92"/>
        <v>Error?</v>
      </c>
    </row>
    <row r="5998" spans="1:4" x14ac:dyDescent="0.2">
      <c r="A5998" s="5">
        <v>5937</v>
      </c>
      <c r="B5998" s="138">
        <f ca="1">'Revenues 9-14'!K107</f>
        <v>0</v>
      </c>
      <c r="D5998" s="2" t="str">
        <f t="shared" ca="1" si="92"/>
        <v>Error?</v>
      </c>
    </row>
    <row r="5999" spans="1:4" x14ac:dyDescent="0.2">
      <c r="A5999" s="5">
        <v>5938</v>
      </c>
      <c r="B5999" s="138">
        <f ca="1">'Revenues 9-14'!K108</f>
        <v>0</v>
      </c>
      <c r="C5999" s="2" t="s">
        <v>573</v>
      </c>
      <c r="D5999" s="2" t="str">
        <f t="shared" ca="1" si="92"/>
        <v>Error?</v>
      </c>
    </row>
    <row r="6000" spans="1:4" x14ac:dyDescent="0.2">
      <c r="A6000" s="5">
        <v>5939</v>
      </c>
      <c r="B6000" s="138">
        <f ca="1">'Revenues 9-14'!K117</f>
        <v>0</v>
      </c>
      <c r="D6000" s="2" t="str">
        <f t="shared" ca="1" si="92"/>
        <v>Error?</v>
      </c>
    </row>
    <row r="6001" spans="1:4" x14ac:dyDescent="0.2">
      <c r="A6001" s="5">
        <v>5940</v>
      </c>
      <c r="B6001" s="138">
        <f ca="1">'Revenues 9-14'!K119</f>
        <v>0</v>
      </c>
      <c r="D6001" s="2" t="str">
        <f t="shared" ca="1"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 ca="1">'Revenues 9-14'!K122</f>
        <v>0</v>
      </c>
      <c r="C6006" s="2" t="s">
        <v>573</v>
      </c>
      <c r="D6006" s="2" t="str">
        <f t="shared" ca="1"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 ca="1">'Revenues 9-14'!K170</f>
        <v>0</v>
      </c>
      <c r="C6014" s="2" t="s">
        <v>573</v>
      </c>
      <c r="D6014" s="2" t="str">
        <f t="shared" ca="1" si="92"/>
        <v>Error?</v>
      </c>
    </row>
    <row r="6015" spans="1:4" x14ac:dyDescent="0.2">
      <c r="A6015" s="10">
        <v>5954</v>
      </c>
      <c r="D6015" s="2" t="str">
        <f t="shared" ref="D6015:D6078" si="93">IF(ISBLANK(B6015),"OK",IF(A6015-B6015=0,"OK","Error?"))</f>
        <v>OK</v>
      </c>
    </row>
    <row r="6016" spans="1:4" x14ac:dyDescent="0.2">
      <c r="A6016" s="5">
        <v>5955</v>
      </c>
      <c r="B6016" s="138">
        <f ca="1">'Revenues 9-14'!K181</f>
        <v>0</v>
      </c>
      <c r="C6016" s="2" t="s">
        <v>573</v>
      </c>
      <c r="D6016" s="2" t="str">
        <f t="shared" ca="1"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 ca="1">'Revenues 9-14'!K267</f>
        <v>0</v>
      </c>
      <c r="C6022" s="2" t="s">
        <v>573</v>
      </c>
      <c r="D6022" s="2" t="str">
        <f t="shared" ca="1" si="93"/>
        <v>Error?</v>
      </c>
    </row>
    <row r="6023" spans="1:5" x14ac:dyDescent="0.2">
      <c r="A6023" s="5">
        <v>5962</v>
      </c>
      <c r="B6023" s="138">
        <f ca="1">'Revenues 9-14'!K268</f>
        <v>10433</v>
      </c>
      <c r="C6023" s="2" t="s">
        <v>573</v>
      </c>
      <c r="D6023" s="2" t="str">
        <f t="shared" ca="1" si="93"/>
        <v>Error?</v>
      </c>
    </row>
    <row r="6024" spans="1:5" x14ac:dyDescent="0.2">
      <c r="A6024" s="5">
        <v>5963</v>
      </c>
      <c r="B6024" s="138">
        <f ca="1">'Revenues 9-14'!G109</f>
        <v>919956</v>
      </c>
      <c r="C6024" s="2" t="s">
        <v>573</v>
      </c>
      <c r="D6024" s="2" t="str">
        <f t="shared" ca="1" si="93"/>
        <v>Error?</v>
      </c>
    </row>
    <row r="6025" spans="1:5" x14ac:dyDescent="0.2">
      <c r="A6025" s="5">
        <v>5964</v>
      </c>
      <c r="B6025" s="138">
        <f ca="1">'Revenues 9-14'!H109</f>
        <v>0</v>
      </c>
      <c r="C6025" s="2" t="s">
        <v>573</v>
      </c>
      <c r="D6025" s="2" t="str">
        <f t="shared" ca="1" si="93"/>
        <v>Error?</v>
      </c>
    </row>
    <row r="6026" spans="1:5" x14ac:dyDescent="0.2">
      <c r="A6026" s="5">
        <v>5965</v>
      </c>
      <c r="B6026" s="138">
        <f ca="1">'Revenues 9-14'!I109</f>
        <v>267385</v>
      </c>
      <c r="C6026" s="2" t="s">
        <v>573</v>
      </c>
      <c r="D6026" s="2" t="str">
        <f t="shared" ca="1" si="93"/>
        <v>Error?</v>
      </c>
    </row>
    <row r="6027" spans="1:5" x14ac:dyDescent="0.2">
      <c r="A6027" s="10">
        <v>5966</v>
      </c>
      <c r="C6027" s="2" t="s">
        <v>573</v>
      </c>
      <c r="D6027" s="2" t="str">
        <f t="shared" si="93"/>
        <v>OK</v>
      </c>
    </row>
    <row r="6028" spans="1:5" x14ac:dyDescent="0.2">
      <c r="A6028" s="5">
        <v>5967</v>
      </c>
      <c r="B6028" s="138">
        <f ca="1">'Revenues 9-14'!K109</f>
        <v>10433</v>
      </c>
      <c r="C6028" s="2" t="s">
        <v>573</v>
      </c>
      <c r="D6028" s="2" t="str">
        <f t="shared" ca="1"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 ca="1">'Revenues 9-14'!C69</f>
        <v>160858</v>
      </c>
      <c r="D6031" s="2" t="str">
        <f t="shared" ca="1" si="93"/>
        <v>Error?</v>
      </c>
    </row>
    <row r="6032" spans="1:5" x14ac:dyDescent="0.2">
      <c r="A6032" s="5">
        <v>5971</v>
      </c>
      <c r="B6032" s="138">
        <f ca="1">'Acct Summary 7-8'!G15</f>
        <v>0</v>
      </c>
      <c r="C6032" s="2" t="s">
        <v>573</v>
      </c>
      <c r="D6032" s="2" t="str">
        <f t="shared" ca="1"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80614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1772.1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 ca="1">'Assets-Liab 5-6'!C7</f>
        <v>0</v>
      </c>
      <c r="D6081" s="2" t="str">
        <f t="shared" ca="1" si="94"/>
        <v>Error?</v>
      </c>
      <c r="E6081" s="2" t="s">
        <v>190</v>
      </c>
    </row>
    <row r="6082" spans="1:5" x14ac:dyDescent="0.2">
      <c r="A6082">
        <v>6021</v>
      </c>
      <c r="B6082" s="138">
        <f ca="1">'Assets-Liab 5-6'!D7</f>
        <v>0</v>
      </c>
      <c r="D6082" s="2" t="str">
        <f t="shared" ca="1" si="94"/>
        <v>Error?</v>
      </c>
      <c r="E6082" s="2" t="s">
        <v>190</v>
      </c>
    </row>
    <row r="6083" spans="1:5" x14ac:dyDescent="0.2">
      <c r="A6083">
        <v>6022</v>
      </c>
      <c r="B6083" s="138">
        <f ca="1">'Assets-Liab 5-6'!E7</f>
        <v>0</v>
      </c>
      <c r="D6083" s="2" t="str">
        <f t="shared" ca="1" si="94"/>
        <v>Error?</v>
      </c>
      <c r="E6083" s="2" t="s">
        <v>190</v>
      </c>
    </row>
    <row r="6084" spans="1:5" x14ac:dyDescent="0.2">
      <c r="A6084">
        <v>6023</v>
      </c>
      <c r="B6084" s="138">
        <f ca="1">'Assets-Liab 5-6'!F7</f>
        <v>0</v>
      </c>
      <c r="D6084" s="2" t="str">
        <f t="shared" ca="1" si="94"/>
        <v>Error?</v>
      </c>
      <c r="E6084" s="2" t="s">
        <v>190</v>
      </c>
    </row>
    <row r="6085" spans="1:5" x14ac:dyDescent="0.2">
      <c r="A6085">
        <v>6024</v>
      </c>
      <c r="B6085" s="138">
        <f ca="1">'Assets-Liab 5-6'!G7</f>
        <v>0</v>
      </c>
      <c r="D6085" s="2" t="str">
        <f t="shared" ca="1" si="94"/>
        <v>Error?</v>
      </c>
      <c r="E6085" s="2" t="s">
        <v>190</v>
      </c>
    </row>
    <row r="6086" spans="1:5" x14ac:dyDescent="0.2">
      <c r="A6086">
        <v>6025</v>
      </c>
      <c r="B6086" s="138">
        <f ca="1">'Assets-Liab 5-6'!H7</f>
        <v>0</v>
      </c>
      <c r="D6086" s="2" t="str">
        <f t="shared" ca="1" si="94"/>
        <v>Error?</v>
      </c>
      <c r="E6086" s="2" t="s">
        <v>190</v>
      </c>
    </row>
    <row r="6087" spans="1:5" x14ac:dyDescent="0.2">
      <c r="A6087">
        <v>6026</v>
      </c>
      <c r="B6087" s="138">
        <f ca="1">'Assets-Liab 5-6'!I7</f>
        <v>44746</v>
      </c>
      <c r="D6087" s="2" t="str">
        <f t="shared" ca="1" si="94"/>
        <v>Error?</v>
      </c>
      <c r="E6087" s="2" t="s">
        <v>190</v>
      </c>
    </row>
    <row r="6088" spans="1:5" x14ac:dyDescent="0.2">
      <c r="A6088">
        <v>6027</v>
      </c>
      <c r="B6088" s="138">
        <f ca="1">'Assets-Liab 5-6'!J7</f>
        <v>0</v>
      </c>
      <c r="D6088" s="2" t="str">
        <f t="shared" ca="1" si="94"/>
        <v>Error?</v>
      </c>
      <c r="E6088" s="2" t="s">
        <v>190</v>
      </c>
    </row>
    <row r="6089" spans="1:5" x14ac:dyDescent="0.2">
      <c r="A6089">
        <v>6028</v>
      </c>
      <c r="B6089" s="138">
        <f ca="1">'Assets-Liab 5-6'!K7</f>
        <v>0</v>
      </c>
      <c r="D6089" s="2" t="str">
        <f t="shared" ca="1" si="94"/>
        <v>Error?</v>
      </c>
      <c r="E6089" s="2" t="s">
        <v>190</v>
      </c>
    </row>
    <row r="6090" spans="1:5" x14ac:dyDescent="0.2">
      <c r="A6090">
        <v>6029</v>
      </c>
      <c r="B6090" s="138">
        <f ca="1">'Assets-Liab 5-6'!C8</f>
        <v>0</v>
      </c>
      <c r="D6090" s="2" t="str">
        <f t="shared" ca="1" si="94"/>
        <v>Error?</v>
      </c>
      <c r="E6090" s="2" t="s">
        <v>190</v>
      </c>
    </row>
    <row r="6091" spans="1:5" x14ac:dyDescent="0.2">
      <c r="A6091">
        <v>6030</v>
      </c>
      <c r="B6091" s="138">
        <f ca="1">'Assets-Liab 5-6'!D8</f>
        <v>0</v>
      </c>
      <c r="D6091" s="2" t="str">
        <f t="shared" ca="1" si="94"/>
        <v>Error?</v>
      </c>
      <c r="E6091" s="2" t="s">
        <v>190</v>
      </c>
    </row>
    <row r="6092" spans="1:5" x14ac:dyDescent="0.2">
      <c r="A6092">
        <v>6031</v>
      </c>
      <c r="B6092" s="138">
        <f ca="1">'Assets-Liab 5-6'!E8</f>
        <v>0</v>
      </c>
      <c r="D6092" s="2" t="str">
        <f t="shared" ca="1" si="94"/>
        <v>Error?</v>
      </c>
      <c r="E6092" s="2" t="s">
        <v>190</v>
      </c>
    </row>
    <row r="6093" spans="1:5" x14ac:dyDescent="0.2">
      <c r="A6093">
        <v>6032</v>
      </c>
      <c r="B6093" s="138">
        <f ca="1">'Assets-Liab 5-6'!F8</f>
        <v>0</v>
      </c>
      <c r="D6093" s="2" t="str">
        <f t="shared" ca="1" si="94"/>
        <v>Error?</v>
      </c>
      <c r="E6093" s="2" t="s">
        <v>190</v>
      </c>
    </row>
    <row r="6094" spans="1:5" x14ac:dyDescent="0.2">
      <c r="A6094">
        <v>6033</v>
      </c>
      <c r="B6094" s="138">
        <f ca="1">'Assets-Liab 5-6'!G8</f>
        <v>0</v>
      </c>
      <c r="D6094" s="2" t="str">
        <f t="shared" ca="1" si="94"/>
        <v>Error?</v>
      </c>
      <c r="E6094" s="2" t="s">
        <v>190</v>
      </c>
    </row>
    <row r="6095" spans="1:5" x14ac:dyDescent="0.2">
      <c r="A6095">
        <v>6034</v>
      </c>
      <c r="B6095" s="138">
        <f ca="1">'Assets-Liab 5-6'!H8</f>
        <v>0</v>
      </c>
      <c r="D6095" s="2" t="str">
        <f t="shared" ca="1" si="94"/>
        <v>Error?</v>
      </c>
      <c r="E6095" s="2" t="s">
        <v>190</v>
      </c>
    </row>
    <row r="6096" spans="1:5" x14ac:dyDescent="0.2">
      <c r="A6096">
        <v>6035</v>
      </c>
      <c r="B6096" s="138">
        <f ca="1">'Assets-Liab 5-6'!I8</f>
        <v>0</v>
      </c>
      <c r="D6096" s="2" t="str">
        <f t="shared" ca="1" si="94"/>
        <v>Error?</v>
      </c>
      <c r="E6096" s="2" t="s">
        <v>190</v>
      </c>
    </row>
    <row r="6097" spans="1:5" x14ac:dyDescent="0.2">
      <c r="A6097">
        <v>6036</v>
      </c>
      <c r="B6097" s="138">
        <f ca="1">'Assets-Liab 5-6'!J8</f>
        <v>0</v>
      </c>
      <c r="D6097" s="2" t="str">
        <f t="shared" ca="1" si="94"/>
        <v>Error?</v>
      </c>
      <c r="E6097" s="2" t="s">
        <v>190</v>
      </c>
    </row>
    <row r="6098" spans="1:5" x14ac:dyDescent="0.2">
      <c r="A6098">
        <v>6037</v>
      </c>
      <c r="B6098" s="138">
        <f ca="1">'Assets-Liab 5-6'!K8</f>
        <v>0</v>
      </c>
      <c r="D6098" s="2" t="str">
        <f t="shared" ca="1" si="94"/>
        <v>Error?</v>
      </c>
      <c r="E6098" s="2" t="s">
        <v>190</v>
      </c>
    </row>
    <row r="6099" spans="1:5" x14ac:dyDescent="0.2">
      <c r="A6099">
        <v>6038</v>
      </c>
      <c r="B6099" s="138">
        <f ca="1">'Assets-Liab 5-6'!C9</f>
        <v>0</v>
      </c>
      <c r="D6099" s="2" t="str">
        <f t="shared" ca="1" si="94"/>
        <v>Error?</v>
      </c>
      <c r="E6099" s="2" t="s">
        <v>190</v>
      </c>
    </row>
    <row r="6100" spans="1:5" x14ac:dyDescent="0.2">
      <c r="A6100">
        <v>6039</v>
      </c>
      <c r="B6100" s="138">
        <f ca="1">'Assets-Liab 5-6'!D9</f>
        <v>0</v>
      </c>
      <c r="D6100" s="2" t="str">
        <f t="shared" ca="1" si="94"/>
        <v>Error?</v>
      </c>
      <c r="E6100" s="2" t="s">
        <v>190</v>
      </c>
    </row>
    <row r="6101" spans="1:5" x14ac:dyDescent="0.2">
      <c r="A6101">
        <v>6040</v>
      </c>
      <c r="B6101" s="138">
        <f ca="1">'Assets-Liab 5-6'!E9</f>
        <v>0</v>
      </c>
      <c r="D6101" s="2" t="str">
        <f t="shared" ca="1" si="94"/>
        <v>Error?</v>
      </c>
      <c r="E6101" s="2" t="s">
        <v>190</v>
      </c>
    </row>
    <row r="6102" spans="1:5" x14ac:dyDescent="0.2">
      <c r="A6102">
        <v>6041</v>
      </c>
      <c r="B6102" s="138">
        <f ca="1">'Assets-Liab 5-6'!F9</f>
        <v>0</v>
      </c>
      <c r="D6102" s="2" t="str">
        <f t="shared" ca="1" si="94"/>
        <v>Error?</v>
      </c>
      <c r="E6102" s="2" t="s">
        <v>190</v>
      </c>
    </row>
    <row r="6103" spans="1:5" x14ac:dyDescent="0.2">
      <c r="A6103">
        <f>A6102+1</f>
        <v>6042</v>
      </c>
      <c r="B6103" s="138">
        <f ca="1">'Assets-Liab 5-6'!G9</f>
        <v>0</v>
      </c>
      <c r="D6103" s="2" t="str">
        <f t="shared" ca="1" si="94"/>
        <v>Error?</v>
      </c>
      <c r="E6103" s="2" t="s">
        <v>190</v>
      </c>
    </row>
    <row r="6104" spans="1:5" x14ac:dyDescent="0.2">
      <c r="A6104">
        <v>6043</v>
      </c>
      <c r="B6104" s="138">
        <f ca="1">'Assets-Liab 5-6'!H9</f>
        <v>0</v>
      </c>
      <c r="D6104" s="2" t="str">
        <f t="shared" ca="1" si="94"/>
        <v>Error?</v>
      </c>
      <c r="E6104" s="2" t="s">
        <v>190</v>
      </c>
    </row>
    <row r="6105" spans="1:5" x14ac:dyDescent="0.2">
      <c r="A6105">
        <v>6044</v>
      </c>
      <c r="B6105" s="138">
        <f ca="1">'Assets-Liab 5-6'!I9</f>
        <v>0</v>
      </c>
      <c r="D6105" s="2" t="str">
        <f t="shared" ca="1" si="94"/>
        <v>Error?</v>
      </c>
      <c r="E6105" s="2" t="s">
        <v>190</v>
      </c>
    </row>
    <row r="6106" spans="1:5" x14ac:dyDescent="0.2">
      <c r="A6106">
        <v>6045</v>
      </c>
      <c r="B6106" s="138">
        <f ca="1">'Assets-Liab 5-6'!J9</f>
        <v>0</v>
      </c>
      <c r="D6106" s="2" t="str">
        <f t="shared" ca="1" si="94"/>
        <v>Error?</v>
      </c>
      <c r="E6106" s="2" t="s">
        <v>190</v>
      </c>
    </row>
    <row r="6107" spans="1:5" x14ac:dyDescent="0.2">
      <c r="A6107">
        <v>6046</v>
      </c>
      <c r="B6107" s="138">
        <f ca="1">'Assets-Liab 5-6'!K9</f>
        <v>0</v>
      </c>
      <c r="D6107" s="2" t="str">
        <f t="shared" ca="1" si="94"/>
        <v>Error?</v>
      </c>
      <c r="E6107" s="2" t="s">
        <v>190</v>
      </c>
    </row>
    <row r="6108" spans="1:5" x14ac:dyDescent="0.2">
      <c r="A6108">
        <v>6047</v>
      </c>
      <c r="B6108" s="138">
        <f>'Assets-Liab 5-6'!L9</f>
        <v>0</v>
      </c>
      <c r="D6108" s="2" t="str">
        <f t="shared" si="94"/>
        <v>Error?</v>
      </c>
      <c r="E6108" s="2" t="s">
        <v>190</v>
      </c>
    </row>
    <row r="6109" spans="1:5" x14ac:dyDescent="0.2">
      <c r="A6109">
        <v>6048</v>
      </c>
      <c r="B6109" s="138">
        <f ca="1">'Assets-Liab 5-6'!E10</f>
        <v>0</v>
      </c>
      <c r="D6109" s="2" t="str">
        <f t="shared" ca="1" si="94"/>
        <v>Error?</v>
      </c>
      <c r="E6109" s="2" t="s">
        <v>190</v>
      </c>
    </row>
    <row r="6110" spans="1:5" x14ac:dyDescent="0.2">
      <c r="A6110">
        <v>6049</v>
      </c>
      <c r="B6110" s="138">
        <f ca="1">'Assets-Liab 5-6'!G10</f>
        <v>0</v>
      </c>
      <c r="D6110" s="2" t="str">
        <f t="shared" ca="1" si="94"/>
        <v>Error?</v>
      </c>
      <c r="E6110" s="2" t="s">
        <v>190</v>
      </c>
    </row>
    <row r="6111" spans="1:5" x14ac:dyDescent="0.2">
      <c r="A6111">
        <v>6050</v>
      </c>
      <c r="B6111" s="138">
        <f ca="1">'Assets-Liab 5-6'!I10</f>
        <v>0</v>
      </c>
      <c r="D6111" s="2" t="str">
        <f t="shared" ca="1" si="94"/>
        <v>Error?</v>
      </c>
      <c r="E6111" s="2" t="s">
        <v>190</v>
      </c>
    </row>
    <row r="6112" spans="1:5" x14ac:dyDescent="0.2">
      <c r="A6112">
        <v>6051</v>
      </c>
      <c r="B6112" s="138">
        <f ca="1">'Assets-Liab 5-6'!J10</f>
        <v>0</v>
      </c>
      <c r="D6112" s="2" t="str">
        <f t="shared" ca="1" si="94"/>
        <v>Error?</v>
      </c>
      <c r="E6112" s="2" t="s">
        <v>190</v>
      </c>
    </row>
    <row r="6113" spans="1:5" x14ac:dyDescent="0.2">
      <c r="A6113">
        <v>6052</v>
      </c>
      <c r="B6113" s="138">
        <f ca="1">'Assets-Liab 5-6'!C11</f>
        <v>0</v>
      </c>
      <c r="D6113" s="2" t="str">
        <f t="shared" ca="1" si="94"/>
        <v>Error?</v>
      </c>
      <c r="E6113" s="2" t="s">
        <v>190</v>
      </c>
    </row>
    <row r="6114" spans="1:5" x14ac:dyDescent="0.2">
      <c r="A6114">
        <v>6053</v>
      </c>
      <c r="B6114" s="138">
        <f ca="1">'Assets-Liab 5-6'!D11</f>
        <v>0</v>
      </c>
      <c r="D6114" s="2" t="str">
        <f t="shared" ca="1" si="94"/>
        <v>Error?</v>
      </c>
      <c r="E6114" s="2" t="s">
        <v>190</v>
      </c>
    </row>
    <row r="6115" spans="1:5" x14ac:dyDescent="0.2">
      <c r="A6115">
        <v>6054</v>
      </c>
      <c r="B6115" s="138">
        <f ca="1">'Assets-Liab 5-6'!E11</f>
        <v>0</v>
      </c>
      <c r="D6115" s="2" t="str">
        <f t="shared" ca="1" si="94"/>
        <v>Error?</v>
      </c>
      <c r="E6115" s="2" t="s">
        <v>190</v>
      </c>
    </row>
    <row r="6116" spans="1:5" x14ac:dyDescent="0.2">
      <c r="A6116">
        <v>6055</v>
      </c>
      <c r="B6116" s="138">
        <f ca="1">'Assets-Liab 5-6'!F11</f>
        <v>0</v>
      </c>
      <c r="D6116" s="2" t="str">
        <f t="shared" ca="1" si="94"/>
        <v>Error?</v>
      </c>
      <c r="E6116" s="2" t="s">
        <v>190</v>
      </c>
    </row>
    <row r="6117" spans="1:5" x14ac:dyDescent="0.2">
      <c r="A6117">
        <v>6056</v>
      </c>
      <c r="B6117" s="138">
        <f ca="1">'Assets-Liab 5-6'!G11</f>
        <v>0</v>
      </c>
      <c r="D6117" s="2" t="str">
        <f t="shared" ca="1" si="94"/>
        <v>Error?</v>
      </c>
      <c r="E6117" s="2" t="s">
        <v>190</v>
      </c>
    </row>
    <row r="6118" spans="1:5" x14ac:dyDescent="0.2">
      <c r="A6118">
        <v>6057</v>
      </c>
      <c r="B6118" s="138">
        <f ca="1">'Assets-Liab 5-6'!H11</f>
        <v>0</v>
      </c>
      <c r="D6118" s="2" t="str">
        <f t="shared" ca="1" si="94"/>
        <v>Error?</v>
      </c>
      <c r="E6118" s="2" t="s">
        <v>190</v>
      </c>
    </row>
    <row r="6119" spans="1:5" x14ac:dyDescent="0.2">
      <c r="A6119">
        <v>6058</v>
      </c>
      <c r="B6119" s="138">
        <f ca="1">'Assets-Liab 5-6'!I11</f>
        <v>0</v>
      </c>
      <c r="D6119" s="2" t="str">
        <f t="shared" ca="1" si="94"/>
        <v>Error?</v>
      </c>
      <c r="E6119" s="2" t="s">
        <v>190</v>
      </c>
    </row>
    <row r="6120" spans="1:5" x14ac:dyDescent="0.2">
      <c r="A6120">
        <v>6059</v>
      </c>
      <c r="B6120" s="138">
        <f ca="1">'Assets-Liab 5-6'!J11</f>
        <v>0</v>
      </c>
      <c r="D6120" s="2" t="str">
        <f t="shared" ca="1" si="94"/>
        <v>Error?</v>
      </c>
      <c r="E6120" s="2" t="s">
        <v>190</v>
      </c>
    </row>
    <row r="6121" spans="1:5" x14ac:dyDescent="0.2">
      <c r="A6121">
        <v>6060</v>
      </c>
      <c r="B6121" s="138">
        <f ca="1">'Assets-Liab 5-6'!K11</f>
        <v>0</v>
      </c>
      <c r="D6121" s="2" t="str">
        <f t="shared" ca="1" si="94"/>
        <v>Error?</v>
      </c>
      <c r="E6121" s="2" t="s">
        <v>190</v>
      </c>
    </row>
    <row r="6122" spans="1:5" x14ac:dyDescent="0.2">
      <c r="A6122">
        <v>6061</v>
      </c>
      <c r="B6122" s="138">
        <f>'Assets-Liab 5-6'!L11</f>
        <v>0</v>
      </c>
      <c r="D6122" s="2" t="str">
        <f t="shared" si="94"/>
        <v>Error?</v>
      </c>
      <c r="E6122" s="2" t="s">
        <v>190</v>
      </c>
    </row>
    <row r="6123" spans="1:5" x14ac:dyDescent="0.2">
      <c r="A6123">
        <v>6062</v>
      </c>
      <c r="B6123" s="138">
        <f ca="1">'Assets-Liab 5-6'!J12</f>
        <v>0</v>
      </c>
      <c r="D6123" s="2" t="str">
        <f t="shared" ca="1" si="94"/>
        <v>Error?</v>
      </c>
      <c r="E6123" s="2" t="s">
        <v>190</v>
      </c>
    </row>
    <row r="6124" spans="1:5" x14ac:dyDescent="0.2">
      <c r="A6124">
        <v>6063</v>
      </c>
      <c r="B6124" s="138">
        <f ca="1">'Assets-Liab 5-6'!J13</f>
        <v>146441</v>
      </c>
      <c r="D6124" s="2" t="str">
        <f t="shared" ca="1" si="94"/>
        <v>Error?</v>
      </c>
      <c r="E6124" s="2" t="s">
        <v>190</v>
      </c>
    </row>
    <row r="6125" spans="1:5" x14ac:dyDescent="0.2">
      <c r="A6125">
        <v>6064</v>
      </c>
      <c r="B6125" s="138">
        <f ca="1">'Assets-Liab 5-6'!C25</f>
        <v>0</v>
      </c>
      <c r="D6125" s="2" t="str">
        <f t="shared" ca="1" si="94"/>
        <v>Error?</v>
      </c>
      <c r="E6125" s="2" t="s">
        <v>190</v>
      </c>
    </row>
    <row r="6126" spans="1:5" x14ac:dyDescent="0.2">
      <c r="A6126">
        <v>6065</v>
      </c>
      <c r="B6126" s="138">
        <f ca="1">'Assets-Liab 5-6'!D25</f>
        <v>0</v>
      </c>
      <c r="D6126" s="2" t="str">
        <f t="shared" ca="1" si="94"/>
        <v>Error?</v>
      </c>
      <c r="E6126" s="2" t="s">
        <v>190</v>
      </c>
    </row>
    <row r="6127" spans="1:5" x14ac:dyDescent="0.2">
      <c r="A6127">
        <v>6066</v>
      </c>
      <c r="B6127" s="138">
        <f ca="1">'Assets-Liab 5-6'!E25</f>
        <v>44746</v>
      </c>
      <c r="D6127" s="2" t="str">
        <f t="shared" ca="1" si="94"/>
        <v>Error?</v>
      </c>
      <c r="E6127" s="2" t="s">
        <v>190</v>
      </c>
    </row>
    <row r="6128" spans="1:5" x14ac:dyDescent="0.2">
      <c r="A6128">
        <v>6067</v>
      </c>
      <c r="B6128" s="138">
        <f ca="1">'Assets-Liab 5-6'!F25</f>
        <v>0</v>
      </c>
      <c r="D6128" s="2" t="str">
        <f t="shared" ca="1" si="94"/>
        <v>Error?</v>
      </c>
      <c r="E6128" s="2" t="s">
        <v>190</v>
      </c>
    </row>
    <row r="6129" spans="1:5" x14ac:dyDescent="0.2">
      <c r="A6129">
        <v>6068</v>
      </c>
      <c r="B6129" s="138">
        <f ca="1">'Assets-Liab 5-6'!G25</f>
        <v>0</v>
      </c>
      <c r="D6129" s="2" t="str">
        <f t="shared" ca="1" si="94"/>
        <v>Error?</v>
      </c>
      <c r="E6129" s="2" t="s">
        <v>190</v>
      </c>
    </row>
    <row r="6130" spans="1:5" x14ac:dyDescent="0.2">
      <c r="A6130">
        <v>6069</v>
      </c>
      <c r="B6130" s="138">
        <f ca="1">'Assets-Liab 5-6'!H25</f>
        <v>0</v>
      </c>
      <c r="D6130" s="2" t="str">
        <f t="shared" ca="1" si="94"/>
        <v>Error?</v>
      </c>
      <c r="E6130" s="2" t="s">
        <v>190</v>
      </c>
    </row>
    <row r="6131" spans="1:5" x14ac:dyDescent="0.2">
      <c r="A6131">
        <v>6070</v>
      </c>
      <c r="B6131" s="138">
        <f ca="1">'Assets-Liab 5-6'!J25</f>
        <v>0</v>
      </c>
      <c r="D6131" s="2" t="str">
        <f t="shared" ca="1" si="94"/>
        <v>Error?</v>
      </c>
      <c r="E6131" s="2" t="s">
        <v>190</v>
      </c>
    </row>
    <row r="6132" spans="1:5" x14ac:dyDescent="0.2">
      <c r="A6132">
        <v>6071</v>
      </c>
      <c r="B6132" s="138">
        <f ca="1">'Assets-Liab 5-6'!K25</f>
        <v>0</v>
      </c>
      <c r="D6132" s="2" t="str">
        <f t="shared" ca="1" si="94"/>
        <v>Error?</v>
      </c>
      <c r="E6132" s="2" t="s">
        <v>190</v>
      </c>
    </row>
    <row r="6133" spans="1:5" x14ac:dyDescent="0.2">
      <c r="A6133">
        <v>6072</v>
      </c>
      <c r="B6133" s="138">
        <f ca="1">'Assets-Liab 5-6'!C26</f>
        <v>0</v>
      </c>
      <c r="D6133" s="2" t="str">
        <f t="shared" ca="1" si="94"/>
        <v>Error?</v>
      </c>
      <c r="E6133" s="2" t="s">
        <v>190</v>
      </c>
    </row>
    <row r="6134" spans="1:5" x14ac:dyDescent="0.2">
      <c r="A6134">
        <v>6073</v>
      </c>
      <c r="B6134" s="138">
        <f ca="1">'Assets-Liab 5-6'!D26</f>
        <v>0</v>
      </c>
      <c r="D6134" s="2" t="str">
        <f t="shared" ca="1" si="94"/>
        <v>Error?</v>
      </c>
      <c r="E6134" s="2" t="s">
        <v>190</v>
      </c>
    </row>
    <row r="6135" spans="1:5" x14ac:dyDescent="0.2">
      <c r="A6135">
        <v>6074</v>
      </c>
      <c r="B6135" s="138">
        <f ca="1">'Assets-Liab 5-6'!E26</f>
        <v>0</v>
      </c>
      <c r="D6135" s="2" t="str">
        <f t="shared" ca="1" si="94"/>
        <v>Error?</v>
      </c>
      <c r="E6135" s="2" t="s">
        <v>190</v>
      </c>
    </row>
    <row r="6136" spans="1:5" x14ac:dyDescent="0.2">
      <c r="A6136">
        <v>6075</v>
      </c>
      <c r="B6136" s="138">
        <f ca="1">'Assets-Liab 5-6'!F26</f>
        <v>0</v>
      </c>
      <c r="D6136" s="2" t="str">
        <f t="shared" ca="1" si="94"/>
        <v>Error?</v>
      </c>
      <c r="E6136" s="2" t="s">
        <v>190</v>
      </c>
    </row>
    <row r="6137" spans="1:5" x14ac:dyDescent="0.2">
      <c r="A6137">
        <v>6076</v>
      </c>
      <c r="B6137" s="138">
        <f ca="1">'Assets-Liab 5-6'!G26</f>
        <v>0</v>
      </c>
      <c r="D6137" s="2" t="str">
        <f t="shared" ca="1" si="94"/>
        <v>Error?</v>
      </c>
      <c r="E6137" s="2" t="s">
        <v>190</v>
      </c>
    </row>
    <row r="6138" spans="1:5" x14ac:dyDescent="0.2">
      <c r="A6138">
        <v>6077</v>
      </c>
      <c r="B6138" s="138">
        <f ca="1">'Assets-Liab 5-6'!H26</f>
        <v>0</v>
      </c>
      <c r="D6138" s="2" t="str">
        <f t="shared" ca="1" si="94"/>
        <v>Error?</v>
      </c>
      <c r="E6138" s="2" t="s">
        <v>190</v>
      </c>
    </row>
    <row r="6139" spans="1:5" x14ac:dyDescent="0.2">
      <c r="A6139">
        <v>6078</v>
      </c>
      <c r="B6139" s="138">
        <f ca="1">'Assets-Liab 5-6'!I26</f>
        <v>0</v>
      </c>
      <c r="D6139" s="2" t="str">
        <f t="shared" ca="1" si="94"/>
        <v>Error?</v>
      </c>
      <c r="E6139" s="2" t="s">
        <v>190</v>
      </c>
    </row>
    <row r="6140" spans="1:5" x14ac:dyDescent="0.2">
      <c r="A6140">
        <v>6079</v>
      </c>
      <c r="B6140" s="138">
        <f ca="1">'Assets-Liab 5-6'!J26</f>
        <v>0</v>
      </c>
      <c r="D6140" s="2" t="str">
        <f t="shared" ca="1" si="94"/>
        <v>Error?</v>
      </c>
      <c r="E6140" s="2" t="s">
        <v>190</v>
      </c>
    </row>
    <row r="6141" spans="1:5" x14ac:dyDescent="0.2">
      <c r="A6141">
        <v>6080</v>
      </c>
      <c r="B6141" s="138">
        <f ca="1">'Assets-Liab 5-6'!K26</f>
        <v>0</v>
      </c>
      <c r="D6141" s="2" t="str">
        <f t="shared" ca="1" si="94"/>
        <v>Error?</v>
      </c>
      <c r="E6141" s="2" t="s">
        <v>190</v>
      </c>
    </row>
    <row r="6142" spans="1:5" x14ac:dyDescent="0.2">
      <c r="A6142">
        <v>6081</v>
      </c>
      <c r="B6142" s="138">
        <f ca="1">'Assets-Liab 5-6'!C27</f>
        <v>4407</v>
      </c>
      <c r="D6142" s="2" t="str">
        <f t="shared" ca="1" si="94"/>
        <v>Error?</v>
      </c>
      <c r="E6142" s="2" t="s">
        <v>190</v>
      </c>
    </row>
    <row r="6143" spans="1:5" x14ac:dyDescent="0.2">
      <c r="A6143">
        <v>6082</v>
      </c>
      <c r="B6143" s="138">
        <f ca="1">'Assets-Liab 5-6'!D27</f>
        <v>0</v>
      </c>
      <c r="D6143" s="2" t="str">
        <f t="shared" ref="D6143:D6206" ca="1" si="95">IF(ISBLANK(B6143),"OK",IF(A6143-B6143=0,"OK","Error?"))</f>
        <v>Error?</v>
      </c>
      <c r="E6143" s="2" t="s">
        <v>190</v>
      </c>
    </row>
    <row r="6144" spans="1:5" x14ac:dyDescent="0.2">
      <c r="A6144">
        <v>6083</v>
      </c>
      <c r="B6144" s="138">
        <f ca="1">'Assets-Liab 5-6'!E27</f>
        <v>0</v>
      </c>
      <c r="D6144" s="2" t="str">
        <f t="shared" ca="1" si="95"/>
        <v>Error?</v>
      </c>
      <c r="E6144" s="2" t="s">
        <v>190</v>
      </c>
    </row>
    <row r="6145" spans="1:5" x14ac:dyDescent="0.2">
      <c r="A6145">
        <v>6084</v>
      </c>
      <c r="B6145" s="138">
        <f ca="1">'Assets-Liab 5-6'!F27</f>
        <v>0</v>
      </c>
      <c r="D6145" s="2" t="str">
        <f t="shared" ca="1" si="95"/>
        <v>Error?</v>
      </c>
      <c r="E6145" s="2" t="s">
        <v>190</v>
      </c>
    </row>
    <row r="6146" spans="1:5" x14ac:dyDescent="0.2">
      <c r="A6146">
        <v>6085</v>
      </c>
      <c r="B6146" s="138">
        <f ca="1">'Assets-Liab 5-6'!G27</f>
        <v>216</v>
      </c>
      <c r="D6146" s="2" t="str">
        <f t="shared" ca="1" si="95"/>
        <v>Error?</v>
      </c>
      <c r="E6146" s="2" t="s">
        <v>190</v>
      </c>
    </row>
    <row r="6147" spans="1:5" x14ac:dyDescent="0.2">
      <c r="A6147">
        <v>6086</v>
      </c>
      <c r="B6147" s="138">
        <f ca="1">'Assets-Liab 5-6'!H27</f>
        <v>0</v>
      </c>
      <c r="D6147" s="2" t="str">
        <f t="shared" ca="1" si="95"/>
        <v>Error?</v>
      </c>
      <c r="E6147" s="2" t="s">
        <v>190</v>
      </c>
    </row>
    <row r="6148" spans="1:5" x14ac:dyDescent="0.2">
      <c r="A6148">
        <v>6087</v>
      </c>
      <c r="B6148" s="138">
        <f ca="1">'Assets-Liab 5-6'!I27</f>
        <v>743394</v>
      </c>
      <c r="D6148" s="2" t="str">
        <f t="shared" ca="1" si="95"/>
        <v>Error?</v>
      </c>
      <c r="E6148" s="2" t="s">
        <v>190</v>
      </c>
    </row>
    <row r="6149" spans="1:5" x14ac:dyDescent="0.2">
      <c r="A6149">
        <v>6088</v>
      </c>
      <c r="B6149" s="138">
        <f ca="1">'Assets-Liab 5-6'!J27</f>
        <v>0</v>
      </c>
      <c r="D6149" s="2" t="str">
        <f t="shared" ca="1" si="95"/>
        <v>Error?</v>
      </c>
      <c r="E6149" s="2" t="s">
        <v>190</v>
      </c>
    </row>
    <row r="6150" spans="1:5" x14ac:dyDescent="0.2">
      <c r="A6150">
        <v>6089</v>
      </c>
      <c r="B6150" s="138">
        <f ca="1">'Assets-Liab 5-6'!K27</f>
        <v>0</v>
      </c>
      <c r="D6150" s="2" t="str">
        <f t="shared" ca="1" si="95"/>
        <v>Error?</v>
      </c>
      <c r="E6150" s="2" t="s">
        <v>190</v>
      </c>
    </row>
    <row r="6151" spans="1:5" x14ac:dyDescent="0.2">
      <c r="A6151">
        <v>6090</v>
      </c>
      <c r="B6151" s="138">
        <f ca="1">'Assets-Liab 5-6'!C28</f>
        <v>0</v>
      </c>
      <c r="D6151" s="2" t="str">
        <f t="shared" ca="1" si="95"/>
        <v>Error?</v>
      </c>
      <c r="E6151" s="2" t="s">
        <v>190</v>
      </c>
    </row>
    <row r="6152" spans="1:5" x14ac:dyDescent="0.2">
      <c r="A6152">
        <v>6091</v>
      </c>
      <c r="B6152" s="138">
        <f ca="1">'Assets-Liab 5-6'!D28</f>
        <v>0</v>
      </c>
      <c r="D6152" s="2" t="str">
        <f t="shared" ca="1" si="95"/>
        <v>Error?</v>
      </c>
      <c r="E6152" s="2" t="s">
        <v>190</v>
      </c>
    </row>
    <row r="6153" spans="1:5" x14ac:dyDescent="0.2">
      <c r="A6153">
        <v>6092</v>
      </c>
      <c r="B6153" s="138">
        <f ca="1">'Assets-Liab 5-6'!E28</f>
        <v>0</v>
      </c>
      <c r="D6153" s="2" t="str">
        <f t="shared" ca="1" si="95"/>
        <v>Error?</v>
      </c>
      <c r="E6153" s="2" t="s">
        <v>190</v>
      </c>
    </row>
    <row r="6154" spans="1:5" x14ac:dyDescent="0.2">
      <c r="A6154">
        <v>6093</v>
      </c>
      <c r="B6154" s="138">
        <f ca="1">'Assets-Liab 5-6'!F28</f>
        <v>0</v>
      </c>
      <c r="D6154" s="2" t="str">
        <f t="shared" ca="1" si="95"/>
        <v>Error?</v>
      </c>
      <c r="E6154" s="2" t="s">
        <v>190</v>
      </c>
    </row>
    <row r="6155" spans="1:5" x14ac:dyDescent="0.2">
      <c r="A6155">
        <v>6094</v>
      </c>
      <c r="B6155" s="138">
        <f ca="1">'Assets-Liab 5-6'!G28</f>
        <v>0</v>
      </c>
      <c r="D6155" s="2" t="str">
        <f t="shared" ca="1" si="95"/>
        <v>Error?</v>
      </c>
      <c r="E6155" s="2" t="s">
        <v>190</v>
      </c>
    </row>
    <row r="6156" spans="1:5" x14ac:dyDescent="0.2">
      <c r="A6156">
        <v>6095</v>
      </c>
      <c r="B6156" s="138">
        <f ca="1">'Assets-Liab 5-6'!H28</f>
        <v>0</v>
      </c>
      <c r="D6156" s="2" t="str">
        <f t="shared" ca="1" si="95"/>
        <v>Error?</v>
      </c>
      <c r="E6156" s="2" t="s">
        <v>190</v>
      </c>
    </row>
    <row r="6157" spans="1:5" x14ac:dyDescent="0.2">
      <c r="A6157">
        <v>6096</v>
      </c>
      <c r="B6157" s="138">
        <f ca="1">'Assets-Liab 5-6'!I28</f>
        <v>0</v>
      </c>
      <c r="D6157" s="2" t="str">
        <f t="shared" ca="1" si="95"/>
        <v>Error?</v>
      </c>
      <c r="E6157" s="2" t="s">
        <v>190</v>
      </c>
    </row>
    <row r="6158" spans="1:5" x14ac:dyDescent="0.2">
      <c r="A6158">
        <v>6097</v>
      </c>
      <c r="B6158" s="138">
        <f ca="1">'Assets-Liab 5-6'!J28</f>
        <v>0</v>
      </c>
      <c r="D6158" s="2" t="str">
        <f t="shared" ca="1" si="95"/>
        <v>Error?</v>
      </c>
      <c r="E6158" s="2" t="s">
        <v>190</v>
      </c>
    </row>
    <row r="6159" spans="1:5" x14ac:dyDescent="0.2">
      <c r="A6159">
        <v>6098</v>
      </c>
      <c r="B6159" s="138">
        <f ca="1">'Assets-Liab 5-6'!K28</f>
        <v>0</v>
      </c>
      <c r="D6159" s="2" t="str">
        <f t="shared" ca="1" si="95"/>
        <v>Error?</v>
      </c>
      <c r="E6159" s="2" t="s">
        <v>190</v>
      </c>
    </row>
    <row r="6160" spans="1:5" x14ac:dyDescent="0.2">
      <c r="A6160">
        <v>6099</v>
      </c>
      <c r="B6160" s="138">
        <f ca="1">'Assets-Liab 5-6'!C29</f>
        <v>6675</v>
      </c>
      <c r="D6160" s="2" t="str">
        <f t="shared" ca="1" si="95"/>
        <v>Error?</v>
      </c>
      <c r="E6160" s="2" t="s">
        <v>190</v>
      </c>
    </row>
    <row r="6161" spans="1:5" x14ac:dyDescent="0.2">
      <c r="A6161">
        <v>6100</v>
      </c>
      <c r="B6161" s="138">
        <f ca="1">'Assets-Liab 5-6'!D29</f>
        <v>0</v>
      </c>
      <c r="D6161" s="2" t="str">
        <f t="shared" ca="1" si="95"/>
        <v>Error?</v>
      </c>
      <c r="E6161" s="2" t="s">
        <v>190</v>
      </c>
    </row>
    <row r="6162" spans="1:5" x14ac:dyDescent="0.2">
      <c r="A6162">
        <v>6101</v>
      </c>
      <c r="B6162" s="138">
        <f ca="1">'Assets-Liab 5-6'!E29</f>
        <v>0</v>
      </c>
      <c r="D6162" s="2" t="str">
        <f t="shared" ca="1" si="95"/>
        <v>Error?</v>
      </c>
      <c r="E6162" s="2" t="s">
        <v>190</v>
      </c>
    </row>
    <row r="6163" spans="1:5" x14ac:dyDescent="0.2">
      <c r="A6163">
        <v>6102</v>
      </c>
      <c r="B6163" s="138">
        <f ca="1">'Assets-Liab 5-6'!F29</f>
        <v>0</v>
      </c>
      <c r="D6163" s="2" t="str">
        <f t="shared" ca="1" si="95"/>
        <v>Error?</v>
      </c>
      <c r="E6163" s="2" t="s">
        <v>190</v>
      </c>
    </row>
    <row r="6164" spans="1:5" x14ac:dyDescent="0.2">
      <c r="A6164">
        <v>6103</v>
      </c>
      <c r="B6164" s="138">
        <f ca="1">'Assets-Liab 5-6'!G29</f>
        <v>0</v>
      </c>
      <c r="D6164" s="2" t="str">
        <f t="shared" ca="1" si="95"/>
        <v>Error?</v>
      </c>
      <c r="E6164" s="2" t="s">
        <v>190</v>
      </c>
    </row>
    <row r="6165" spans="1:5" x14ac:dyDescent="0.2">
      <c r="A6165">
        <v>6104</v>
      </c>
      <c r="B6165" s="138">
        <f ca="1">'Assets-Liab 5-6'!H29</f>
        <v>0</v>
      </c>
      <c r="D6165" s="2" t="str">
        <f t="shared" ca="1" si="95"/>
        <v>Error?</v>
      </c>
      <c r="E6165" s="2" t="s">
        <v>190</v>
      </c>
    </row>
    <row r="6166" spans="1:5" x14ac:dyDescent="0.2">
      <c r="A6166">
        <v>6105</v>
      </c>
      <c r="B6166" s="138">
        <f ca="1">'Assets-Liab 5-6'!I29</f>
        <v>0</v>
      </c>
      <c r="D6166" s="2" t="str">
        <f t="shared" ca="1" si="95"/>
        <v>Error?</v>
      </c>
      <c r="E6166" s="2" t="s">
        <v>190</v>
      </c>
    </row>
    <row r="6167" spans="1:5" x14ac:dyDescent="0.2">
      <c r="A6167">
        <v>6106</v>
      </c>
      <c r="B6167" s="138">
        <f ca="1">'Assets-Liab 5-6'!J29</f>
        <v>0</v>
      </c>
      <c r="D6167" s="2" t="str">
        <f t="shared" ca="1" si="95"/>
        <v>Error?</v>
      </c>
      <c r="E6167" s="2" t="s">
        <v>190</v>
      </c>
    </row>
    <row r="6168" spans="1:5" x14ac:dyDescent="0.2">
      <c r="A6168">
        <v>6107</v>
      </c>
      <c r="B6168" s="138">
        <f ca="1">'Assets-Liab 5-6'!K29</f>
        <v>0</v>
      </c>
      <c r="D6168" s="2" t="str">
        <f t="shared" ca="1" si="95"/>
        <v>Error?</v>
      </c>
      <c r="E6168" s="2" t="s">
        <v>190</v>
      </c>
    </row>
    <row r="6169" spans="1:5" x14ac:dyDescent="0.2">
      <c r="A6169">
        <v>6108</v>
      </c>
      <c r="B6169" s="138">
        <f ca="1">'Assets-Liab 5-6'!C30</f>
        <v>0</v>
      </c>
      <c r="D6169" s="2" t="str">
        <f t="shared" ca="1" si="95"/>
        <v>Error?</v>
      </c>
      <c r="E6169" s="2" t="s">
        <v>190</v>
      </c>
    </row>
    <row r="6170" spans="1:5" x14ac:dyDescent="0.2">
      <c r="A6170">
        <v>6109</v>
      </c>
      <c r="B6170" s="138">
        <f ca="1">'Assets-Liab 5-6'!D30</f>
        <v>0</v>
      </c>
      <c r="D6170" s="2" t="str">
        <f t="shared" ca="1" si="95"/>
        <v>Error?</v>
      </c>
      <c r="E6170" s="2" t="s">
        <v>190</v>
      </c>
    </row>
    <row r="6171" spans="1:5" x14ac:dyDescent="0.2">
      <c r="A6171">
        <v>6110</v>
      </c>
      <c r="B6171" s="138">
        <f ca="1">'Assets-Liab 5-6'!E30</f>
        <v>0</v>
      </c>
      <c r="D6171" s="2" t="str">
        <f t="shared" ca="1" si="95"/>
        <v>Error?</v>
      </c>
      <c r="E6171" s="2" t="s">
        <v>190</v>
      </c>
    </row>
    <row r="6172" spans="1:5" x14ac:dyDescent="0.2">
      <c r="A6172">
        <v>6111</v>
      </c>
      <c r="B6172" s="138">
        <f ca="1">'Assets-Liab 5-6'!F30</f>
        <v>0</v>
      </c>
      <c r="D6172" s="2" t="str">
        <f t="shared" ca="1" si="95"/>
        <v>Error?</v>
      </c>
      <c r="E6172" s="2" t="s">
        <v>190</v>
      </c>
    </row>
    <row r="6173" spans="1:5" x14ac:dyDescent="0.2">
      <c r="A6173">
        <v>6112</v>
      </c>
      <c r="B6173" s="138">
        <f ca="1">'Assets-Liab 5-6'!G30</f>
        <v>0</v>
      </c>
      <c r="D6173" s="2" t="str">
        <f t="shared" ca="1" si="95"/>
        <v>Error?</v>
      </c>
      <c r="E6173" s="2" t="s">
        <v>190</v>
      </c>
    </row>
    <row r="6174" spans="1:5" x14ac:dyDescent="0.2">
      <c r="A6174">
        <v>6113</v>
      </c>
      <c r="B6174" s="138">
        <f ca="1">'Assets-Liab 5-6'!H30</f>
        <v>0</v>
      </c>
      <c r="D6174" s="2" t="str">
        <f t="shared" ca="1" si="95"/>
        <v>Error?</v>
      </c>
      <c r="E6174" s="2" t="s">
        <v>190</v>
      </c>
    </row>
    <row r="6175" spans="1:5" x14ac:dyDescent="0.2">
      <c r="A6175">
        <v>6114</v>
      </c>
      <c r="B6175" s="138">
        <f ca="1">'Assets-Liab 5-6'!I30</f>
        <v>0</v>
      </c>
      <c r="D6175" s="2" t="str">
        <f t="shared" ca="1" si="95"/>
        <v>Error?</v>
      </c>
      <c r="E6175" s="2" t="s">
        <v>190</v>
      </c>
    </row>
    <row r="6176" spans="1:5" x14ac:dyDescent="0.2">
      <c r="A6176">
        <v>6115</v>
      </c>
      <c r="B6176" s="138">
        <f ca="1">'Assets-Liab 5-6'!J30</f>
        <v>0</v>
      </c>
      <c r="D6176" s="2" t="str">
        <f t="shared" ca="1" si="95"/>
        <v>Error?</v>
      </c>
      <c r="E6176" s="2" t="s">
        <v>190</v>
      </c>
    </row>
    <row r="6177" spans="1:5" x14ac:dyDescent="0.2">
      <c r="A6177">
        <v>6116</v>
      </c>
      <c r="B6177" s="138">
        <f ca="1">'Assets-Liab 5-6'!K30</f>
        <v>0</v>
      </c>
      <c r="D6177" s="2" t="str">
        <f t="shared" ca="1" si="95"/>
        <v>Error?</v>
      </c>
      <c r="E6177" s="2" t="s">
        <v>190</v>
      </c>
    </row>
    <row r="6178" spans="1:5" x14ac:dyDescent="0.2">
      <c r="A6178">
        <v>6117</v>
      </c>
      <c r="B6178" s="138">
        <f ca="1">'Assets-Liab 5-6'!E31</f>
        <v>0</v>
      </c>
      <c r="D6178" s="2" t="str">
        <f t="shared" ca="1" si="95"/>
        <v>Error?</v>
      </c>
      <c r="E6178" s="2" t="s">
        <v>190</v>
      </c>
    </row>
    <row r="6179" spans="1:5" x14ac:dyDescent="0.2">
      <c r="A6179">
        <v>6118</v>
      </c>
      <c r="B6179" s="138">
        <f ca="1">'Assets-Liab 5-6'!I31</f>
        <v>0</v>
      </c>
      <c r="D6179" s="2" t="str">
        <f t="shared" ca="1" si="95"/>
        <v>Error?</v>
      </c>
      <c r="E6179" s="2" t="s">
        <v>190</v>
      </c>
    </row>
    <row r="6180" spans="1:5" x14ac:dyDescent="0.2">
      <c r="A6180">
        <v>6119</v>
      </c>
      <c r="B6180" s="138">
        <f ca="1">'Assets-Liab 5-6'!J31</f>
        <v>0</v>
      </c>
      <c r="D6180" s="2" t="str">
        <f t="shared" ca="1" si="95"/>
        <v>Error?</v>
      </c>
      <c r="E6180" s="2" t="s">
        <v>190</v>
      </c>
    </row>
    <row r="6181" spans="1:5" x14ac:dyDescent="0.2">
      <c r="A6181">
        <v>6120</v>
      </c>
      <c r="B6181" s="138">
        <f ca="1">'Assets-Liab 5-6'!J32</f>
        <v>0</v>
      </c>
      <c r="D6181" s="2" t="str">
        <f t="shared" ca="1" si="95"/>
        <v>Error?</v>
      </c>
      <c r="E6181" s="2" t="s">
        <v>190</v>
      </c>
    </row>
    <row r="6182" spans="1:5" x14ac:dyDescent="0.2">
      <c r="A6182">
        <v>6121</v>
      </c>
      <c r="B6182" s="138">
        <f>'Assets-Liab 5-6'!C33</f>
        <v>0</v>
      </c>
      <c r="D6182" s="2" t="str">
        <f t="shared" si="95"/>
        <v>Error?</v>
      </c>
      <c r="E6182" s="2" t="s">
        <v>190</v>
      </c>
    </row>
    <row r="6183" spans="1:5" x14ac:dyDescent="0.2">
      <c r="A6183">
        <v>6122</v>
      </c>
      <c r="B6183" s="138">
        <f ca="1">'Assets-Liab 5-6'!D33</f>
        <v>0</v>
      </c>
      <c r="D6183" s="2" t="str">
        <f t="shared" ca="1" si="95"/>
        <v>Error?</v>
      </c>
      <c r="E6183" s="2" t="s">
        <v>190</v>
      </c>
    </row>
    <row r="6184" spans="1:5" x14ac:dyDescent="0.2">
      <c r="A6184">
        <v>6123</v>
      </c>
      <c r="B6184" s="138">
        <f ca="1">'Assets-Liab 5-6'!E33</f>
        <v>0</v>
      </c>
      <c r="D6184" s="2" t="str">
        <f t="shared" ca="1" si="95"/>
        <v>Error?</v>
      </c>
      <c r="E6184" s="2" t="s">
        <v>190</v>
      </c>
    </row>
    <row r="6185" spans="1:5" x14ac:dyDescent="0.2">
      <c r="A6185">
        <v>6124</v>
      </c>
      <c r="B6185" s="138">
        <f ca="1">'Assets-Liab 5-6'!F33</f>
        <v>0</v>
      </c>
      <c r="D6185" s="2" t="str">
        <f t="shared" ca="1" si="95"/>
        <v>Error?</v>
      </c>
      <c r="E6185" s="2" t="s">
        <v>190</v>
      </c>
    </row>
    <row r="6186" spans="1:5" x14ac:dyDescent="0.2">
      <c r="A6186">
        <v>6125</v>
      </c>
      <c r="B6186" s="138">
        <f ca="1">'Assets-Liab 5-6'!G33</f>
        <v>0</v>
      </c>
      <c r="D6186" s="2" t="str">
        <f t="shared" ca="1" si="95"/>
        <v>Error?</v>
      </c>
      <c r="E6186" s="2" t="s">
        <v>190</v>
      </c>
    </row>
    <row r="6187" spans="1:5" x14ac:dyDescent="0.2">
      <c r="A6187">
        <v>6126</v>
      </c>
      <c r="B6187" s="138">
        <f ca="1">'Assets-Liab 5-6'!H33</f>
        <v>0</v>
      </c>
      <c r="D6187" s="2" t="str">
        <f t="shared" ca="1" si="95"/>
        <v>Error?</v>
      </c>
      <c r="E6187" s="2" t="s">
        <v>190</v>
      </c>
    </row>
    <row r="6188" spans="1:5" x14ac:dyDescent="0.2">
      <c r="A6188">
        <v>6127</v>
      </c>
      <c r="B6188" s="138">
        <f ca="1">'Assets-Liab 5-6'!I33</f>
        <v>0</v>
      </c>
      <c r="D6188" s="2" t="str">
        <f t="shared" ca="1" si="95"/>
        <v>Error?</v>
      </c>
      <c r="E6188" s="2" t="s">
        <v>190</v>
      </c>
    </row>
    <row r="6189" spans="1:5" x14ac:dyDescent="0.2">
      <c r="A6189">
        <v>6128</v>
      </c>
      <c r="B6189" s="138">
        <f ca="1">'Assets-Liab 5-6'!J33</f>
        <v>0</v>
      </c>
      <c r="D6189" s="2" t="str">
        <f t="shared" ca="1" si="95"/>
        <v>Error?</v>
      </c>
      <c r="E6189" s="2" t="s">
        <v>190</v>
      </c>
    </row>
    <row r="6190" spans="1:5" x14ac:dyDescent="0.2">
      <c r="A6190">
        <v>6129</v>
      </c>
      <c r="B6190" s="138">
        <f ca="1">'Assets-Liab 5-6'!K33</f>
        <v>0</v>
      </c>
      <c r="D6190" s="2" t="str">
        <f t="shared" ca="1" si="95"/>
        <v>Error?</v>
      </c>
      <c r="E6190" s="2" t="s">
        <v>190</v>
      </c>
    </row>
    <row r="6191" spans="1:5" x14ac:dyDescent="0.2">
      <c r="A6191">
        <v>6130</v>
      </c>
      <c r="B6191" s="138">
        <f ca="1">'Assets-Liab 5-6'!J34</f>
        <v>0</v>
      </c>
      <c r="D6191" s="2" t="str">
        <f t="shared" ca="1"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146441</v>
      </c>
      <c r="D6215" s="2" t="str">
        <f t="shared" si="96"/>
        <v>Error?</v>
      </c>
      <c r="E6215" s="2" t="s">
        <v>190</v>
      </c>
    </row>
    <row r="6216" spans="1:5" x14ac:dyDescent="0.2">
      <c r="A6216">
        <v>6155</v>
      </c>
      <c r="B6216" s="138">
        <f ca="1">'Assets-Liab 5-6'!J41</f>
        <v>146441</v>
      </c>
      <c r="D6216" s="2" t="str">
        <f t="shared" ca="1" si="96"/>
        <v>Error?</v>
      </c>
      <c r="E6216" s="2" t="s">
        <v>190</v>
      </c>
    </row>
    <row r="6217" spans="1:5" x14ac:dyDescent="0.2">
      <c r="A6217">
        <v>6156</v>
      </c>
      <c r="B6217" s="138">
        <f ca="1">'Assets-Liab 5-6'!J4</f>
        <v>146441</v>
      </c>
      <c r="D6217" s="2" t="str">
        <f t="shared" ca="1" si="96"/>
        <v>Error?</v>
      </c>
      <c r="E6217" s="2" t="s">
        <v>190</v>
      </c>
    </row>
    <row r="6218" spans="1:5" x14ac:dyDescent="0.2">
      <c r="A6218">
        <v>6157</v>
      </c>
      <c r="B6218" s="138">
        <f ca="1">'Assets-Liab 5-6'!J5</f>
        <v>0</v>
      </c>
      <c r="D6218" s="2" t="str">
        <f t="shared" ca="1" si="96"/>
        <v>Error?</v>
      </c>
      <c r="E6218" s="2" t="s">
        <v>190</v>
      </c>
    </row>
    <row r="6219" spans="1:5" x14ac:dyDescent="0.2">
      <c r="A6219">
        <v>6158</v>
      </c>
      <c r="B6219" s="138">
        <f ca="1">'Assets-Liab 5-6'!J6</f>
        <v>0</v>
      </c>
      <c r="D6219" s="2" t="str">
        <f t="shared" ca="1" si="96"/>
        <v>Error?</v>
      </c>
      <c r="E6219" s="2" t="s">
        <v>190</v>
      </c>
    </row>
    <row r="6220" spans="1:5" x14ac:dyDescent="0.2">
      <c r="A6220">
        <v>6159</v>
      </c>
      <c r="B6220" s="138">
        <f ca="1">'Acct Summary 7-8'!J4</f>
        <v>554361</v>
      </c>
      <c r="D6220" s="2" t="str">
        <f t="shared" ca="1" si="96"/>
        <v>Error?</v>
      </c>
      <c r="E6220" s="2" t="s">
        <v>190</v>
      </c>
    </row>
    <row r="6221" spans="1:5" x14ac:dyDescent="0.2">
      <c r="A6221">
        <v>6160</v>
      </c>
      <c r="B6221" s="138">
        <f ca="1">'Acct Summary 7-8'!J6</f>
        <v>0</v>
      </c>
      <c r="D6221" s="2" t="str">
        <f t="shared" ca="1" si="96"/>
        <v>Error?</v>
      </c>
      <c r="E6221" s="2" t="s">
        <v>190</v>
      </c>
    </row>
    <row r="6222" spans="1:5" x14ac:dyDescent="0.2">
      <c r="A6222">
        <v>6161</v>
      </c>
      <c r="B6222" s="138">
        <f ca="1">'Acct Summary 7-8'!J7</f>
        <v>0</v>
      </c>
      <c r="D6222" s="2" t="str">
        <f t="shared" ca="1" si="96"/>
        <v>Error?</v>
      </c>
      <c r="E6222" s="2" t="s">
        <v>190</v>
      </c>
    </row>
    <row r="6223" spans="1:5" x14ac:dyDescent="0.2">
      <c r="A6223">
        <v>6162</v>
      </c>
      <c r="B6223" s="138">
        <f ca="1">'Acct Summary 7-8'!J8</f>
        <v>554361</v>
      </c>
      <c r="D6223" s="2" t="str">
        <f t="shared" ca="1" si="96"/>
        <v>Error?</v>
      </c>
      <c r="E6223" s="2" t="s">
        <v>190</v>
      </c>
    </row>
    <row r="6224" spans="1:5" x14ac:dyDescent="0.2">
      <c r="A6224">
        <v>6163</v>
      </c>
      <c r="B6224" s="138">
        <f>'Acct Summary 7-8'!J9</f>
        <v>0</v>
      </c>
      <c r="D6224" s="2" t="str">
        <f t="shared" si="96"/>
        <v>Error?</v>
      </c>
      <c r="E6224" s="2" t="s">
        <v>190</v>
      </c>
    </row>
    <row r="6225" spans="1:5" x14ac:dyDescent="0.2">
      <c r="A6225">
        <v>6164</v>
      </c>
      <c r="B6225" s="138">
        <f ca="1">'Acct Summary 7-8'!J10</f>
        <v>554361</v>
      </c>
      <c r="D6225" s="2" t="str">
        <f t="shared" ca="1" si="96"/>
        <v>Error?</v>
      </c>
      <c r="E6225" s="2" t="s">
        <v>190</v>
      </c>
    </row>
    <row r="6226" spans="1:5" x14ac:dyDescent="0.2">
      <c r="A6226">
        <v>6165</v>
      </c>
      <c r="B6226" s="138">
        <f ca="1">'Acct Summary 7-8'!J16</f>
        <v>0</v>
      </c>
      <c r="D6226" s="2" t="str">
        <f t="shared" ca="1" si="96"/>
        <v>Error?</v>
      </c>
      <c r="E6226" s="2" t="s">
        <v>190</v>
      </c>
    </row>
    <row r="6227" spans="1:5" x14ac:dyDescent="0.2">
      <c r="A6227">
        <v>6166</v>
      </c>
      <c r="B6227" s="138">
        <f ca="1">'Acct Summary 7-8'!J17</f>
        <v>526774</v>
      </c>
      <c r="D6227" s="2" t="str">
        <f t="shared" ca="1" si="96"/>
        <v>Error?</v>
      </c>
      <c r="E6227" s="2" t="s">
        <v>190</v>
      </c>
    </row>
    <row r="6228" spans="1:5" x14ac:dyDescent="0.2">
      <c r="A6228">
        <v>6167</v>
      </c>
      <c r="B6228" s="138">
        <f>'Acct Summary 7-8'!J18</f>
        <v>0</v>
      </c>
      <c r="D6228" s="2" t="str">
        <f t="shared" si="96"/>
        <v>Error?</v>
      </c>
      <c r="E6228" s="2" t="s">
        <v>190</v>
      </c>
    </row>
    <row r="6229" spans="1:5" x14ac:dyDescent="0.2">
      <c r="A6229">
        <v>6168</v>
      </c>
      <c r="B6229" s="138">
        <f ca="1">'Acct Summary 7-8'!J19</f>
        <v>526774</v>
      </c>
      <c r="D6229" s="2" t="str">
        <f t="shared" ca="1" si="96"/>
        <v>Error?</v>
      </c>
      <c r="E6229" s="2" t="s">
        <v>190</v>
      </c>
    </row>
    <row r="6230" spans="1:5" x14ac:dyDescent="0.2">
      <c r="A6230">
        <v>6169</v>
      </c>
      <c r="B6230" s="138">
        <f ca="1">'Acct Summary 7-8'!J20</f>
        <v>27587</v>
      </c>
      <c r="D6230" s="2" t="str">
        <f t="shared" ca="1" si="96"/>
        <v>Error?</v>
      </c>
      <c r="E6230" s="2" t="s">
        <v>190</v>
      </c>
    </row>
    <row r="6231" spans="1:5" x14ac:dyDescent="0.2">
      <c r="A6231">
        <v>6170</v>
      </c>
      <c r="B6231" s="138">
        <f ca="1">'Acct Summary 7-8'!J26</f>
        <v>0</v>
      </c>
      <c r="D6231" s="2" t="str">
        <f t="shared" ca="1" si="96"/>
        <v>Error?</v>
      </c>
      <c r="E6231" s="2" t="s">
        <v>190</v>
      </c>
    </row>
    <row r="6232" spans="1:5" x14ac:dyDescent="0.2">
      <c r="A6232">
        <v>6171</v>
      </c>
      <c r="B6232" s="138">
        <f ca="1">'Acct Summary 7-8'!J28</f>
        <v>0</v>
      </c>
      <c r="D6232" s="2" t="str">
        <f t="shared" ca="1" si="96"/>
        <v>Error?</v>
      </c>
      <c r="E6232" s="2" t="s">
        <v>190</v>
      </c>
    </row>
    <row r="6233" spans="1:5" x14ac:dyDescent="0.2">
      <c r="A6233">
        <v>6172</v>
      </c>
      <c r="B6233" s="138">
        <f ca="1">'Acct Summary 7-8'!J33</f>
        <v>0</v>
      </c>
      <c r="D6233" s="2" t="str">
        <f t="shared" ca="1" si="96"/>
        <v>Error?</v>
      </c>
      <c r="E6233" s="2" t="s">
        <v>190</v>
      </c>
    </row>
    <row r="6234" spans="1:5" x14ac:dyDescent="0.2">
      <c r="A6234">
        <v>6173</v>
      </c>
      <c r="B6234" s="138">
        <f ca="1">'Acct Summary 7-8'!J34</f>
        <v>0</v>
      </c>
      <c r="D6234" s="2" t="str">
        <f t="shared" ca="1" si="96"/>
        <v>Error?</v>
      </c>
      <c r="E6234" s="2" t="s">
        <v>190</v>
      </c>
    </row>
    <row r="6235" spans="1:5" x14ac:dyDescent="0.2">
      <c r="A6235">
        <v>6174</v>
      </c>
      <c r="B6235" s="138">
        <f ca="1">'Acct Summary 7-8'!J35</f>
        <v>0</v>
      </c>
      <c r="D6235" s="2" t="str">
        <f t="shared" ca="1" si="96"/>
        <v>Error?</v>
      </c>
      <c r="E6235" s="2" t="s">
        <v>190</v>
      </c>
    </row>
    <row r="6236" spans="1:5" x14ac:dyDescent="0.2">
      <c r="A6236">
        <v>6175</v>
      </c>
      <c r="B6236" s="138">
        <f ca="1">'Acct Summary 7-8'!J36</f>
        <v>0</v>
      </c>
      <c r="D6236" s="2" t="str">
        <f t="shared" ca="1" si="96"/>
        <v>Error?</v>
      </c>
      <c r="E6236" s="2" t="s">
        <v>190</v>
      </c>
    </row>
    <row r="6237" spans="1:5" x14ac:dyDescent="0.2">
      <c r="A6237">
        <v>6176</v>
      </c>
      <c r="B6237" s="138">
        <f ca="1">'Acct Summary 7-8'!J43</f>
        <v>0</v>
      </c>
      <c r="D6237" s="2" t="str">
        <f t="shared" ca="1" si="96"/>
        <v>Error?</v>
      </c>
      <c r="E6237" s="2" t="s">
        <v>190</v>
      </c>
    </row>
    <row r="6238" spans="1:5" x14ac:dyDescent="0.2">
      <c r="A6238">
        <v>6177</v>
      </c>
      <c r="B6238" s="138">
        <f ca="1">'Acct Summary 7-8'!J44</f>
        <v>0</v>
      </c>
      <c r="D6238" s="2" t="str">
        <f t="shared" ca="1" si="96"/>
        <v>Error?</v>
      </c>
      <c r="E6238" s="2" t="s">
        <v>190</v>
      </c>
    </row>
    <row r="6239" spans="1:5" x14ac:dyDescent="0.2">
      <c r="A6239">
        <v>6178</v>
      </c>
      <c r="B6239" s="138">
        <f ca="1">'Acct Summary 7-8'!J50</f>
        <v>0</v>
      </c>
      <c r="D6239" s="2" t="str">
        <f t="shared" ca="1" si="96"/>
        <v>Error?</v>
      </c>
      <c r="E6239" s="2" t="s">
        <v>190</v>
      </c>
    </row>
    <row r="6240" spans="1:5" x14ac:dyDescent="0.2">
      <c r="A6240">
        <v>6179</v>
      </c>
      <c r="B6240" s="138">
        <f ca="1">'Acct Summary 7-8'!C54</f>
        <v>235486</v>
      </c>
      <c r="D6240" s="2" t="str">
        <f t="shared" ca="1" si="96"/>
        <v>Error?</v>
      </c>
      <c r="E6240" s="2" t="s">
        <v>190</v>
      </c>
    </row>
    <row r="6241" spans="1:5" x14ac:dyDescent="0.2">
      <c r="A6241">
        <v>6180</v>
      </c>
      <c r="B6241" s="138">
        <f ca="1">'Acct Summary 7-8'!D54</f>
        <v>0</v>
      </c>
      <c r="D6241" s="2" t="str">
        <f t="shared" ca="1" si="96"/>
        <v>Error?</v>
      </c>
      <c r="E6241" s="2" t="s">
        <v>190</v>
      </c>
    </row>
    <row r="6242" spans="1:5" x14ac:dyDescent="0.2">
      <c r="A6242">
        <v>6181</v>
      </c>
      <c r="B6242" s="138">
        <f ca="1">'Acct Summary 7-8'!H54</f>
        <v>0</v>
      </c>
      <c r="D6242" s="2" t="str">
        <f t="shared" ca="1" si="96"/>
        <v>Error?</v>
      </c>
      <c r="E6242" s="2" t="s">
        <v>190</v>
      </c>
    </row>
    <row r="6243" spans="1:5" x14ac:dyDescent="0.2">
      <c r="A6243">
        <v>6182</v>
      </c>
      <c r="B6243" s="138">
        <f ca="1">'Acct Summary 7-8'!C58</f>
        <v>3938</v>
      </c>
      <c r="D6243" s="2" t="str">
        <f t="shared" ca="1" si="96"/>
        <v>Error?</v>
      </c>
      <c r="E6243" s="2" t="s">
        <v>190</v>
      </c>
    </row>
    <row r="6244" spans="1:5" x14ac:dyDescent="0.2">
      <c r="A6244">
        <v>6183</v>
      </c>
      <c r="B6244" s="138">
        <f ca="1">'Acct Summary 7-8'!D58</f>
        <v>0</v>
      </c>
      <c r="D6244" s="2" t="str">
        <f t="shared" ca="1" si="96"/>
        <v>Error?</v>
      </c>
      <c r="E6244" s="2" t="s">
        <v>190</v>
      </c>
    </row>
    <row r="6245" spans="1:5" x14ac:dyDescent="0.2">
      <c r="A6245">
        <v>6184</v>
      </c>
      <c r="B6245" s="138">
        <f ca="1">'Acct Summary 7-8'!H58</f>
        <v>0</v>
      </c>
      <c r="D6245" s="2" t="str">
        <f t="shared" ca="1" si="96"/>
        <v>Error?</v>
      </c>
      <c r="E6245" s="2" t="s">
        <v>190</v>
      </c>
    </row>
    <row r="6246" spans="1:5" x14ac:dyDescent="0.2">
      <c r="A6246">
        <v>6185</v>
      </c>
      <c r="B6246" s="138">
        <f ca="1">'Acct Summary 7-8'!C62</f>
        <v>0</v>
      </c>
      <c r="D6246" s="2" t="str">
        <f t="shared" ca="1" si="96"/>
        <v>Error?</v>
      </c>
      <c r="E6246" s="2" t="s">
        <v>190</v>
      </c>
    </row>
    <row r="6247" spans="1:5" x14ac:dyDescent="0.2">
      <c r="A6247">
        <v>6186</v>
      </c>
      <c r="B6247" s="138">
        <f ca="1">'Acct Summary 7-8'!D62</f>
        <v>0</v>
      </c>
      <c r="D6247" s="2" t="str">
        <f t="shared" ca="1" si="96"/>
        <v>Error?</v>
      </c>
      <c r="E6247" s="2" t="s">
        <v>190</v>
      </c>
    </row>
    <row r="6248" spans="1:5" x14ac:dyDescent="0.2">
      <c r="A6248">
        <v>6187</v>
      </c>
      <c r="B6248" s="138">
        <f ca="1">'Acct Summary 7-8'!C66</f>
        <v>0</v>
      </c>
      <c r="D6248" s="2" t="str">
        <f t="shared" ca="1" si="96"/>
        <v>Error?</v>
      </c>
      <c r="E6248" s="2" t="s">
        <v>190</v>
      </c>
    </row>
    <row r="6249" spans="1:5" x14ac:dyDescent="0.2">
      <c r="A6249">
        <v>6188</v>
      </c>
      <c r="B6249" s="138">
        <f ca="1">'Acct Summary 7-8'!D66</f>
        <v>0</v>
      </c>
      <c r="D6249" s="2" t="str">
        <f t="shared" ca="1" si="96"/>
        <v>Error?</v>
      </c>
      <c r="E6249" s="2" t="s">
        <v>190</v>
      </c>
    </row>
    <row r="6250" spans="1:5" x14ac:dyDescent="0.2">
      <c r="A6250">
        <v>6189</v>
      </c>
      <c r="B6250" s="138">
        <f ca="1">'Acct Summary 7-8'!C70</f>
        <v>0</v>
      </c>
      <c r="D6250" s="2" t="str">
        <f t="shared" ca="1" si="96"/>
        <v>Error?</v>
      </c>
      <c r="E6250" s="2" t="s">
        <v>190</v>
      </c>
    </row>
    <row r="6251" spans="1:5" x14ac:dyDescent="0.2">
      <c r="A6251">
        <v>6190</v>
      </c>
      <c r="B6251" s="138">
        <f ca="1">'Acct Summary 7-8'!D70</f>
        <v>0</v>
      </c>
      <c r="D6251" s="2" t="str">
        <f t="shared" ca="1" si="96"/>
        <v>Error?</v>
      </c>
      <c r="E6251" s="2" t="s">
        <v>190</v>
      </c>
    </row>
    <row r="6252" spans="1:5" x14ac:dyDescent="0.2">
      <c r="A6252">
        <v>6191</v>
      </c>
      <c r="B6252" s="138">
        <f ca="1">'Acct Summary 7-8'!C74</f>
        <v>0</v>
      </c>
      <c r="D6252" s="2" t="str">
        <f t="shared" ca="1" si="96"/>
        <v>Error?</v>
      </c>
      <c r="E6252" s="2" t="s">
        <v>190</v>
      </c>
    </row>
    <row r="6253" spans="1:5" x14ac:dyDescent="0.2">
      <c r="A6253">
        <v>6192</v>
      </c>
      <c r="B6253" s="138">
        <f ca="1">'Acct Summary 7-8'!D74</f>
        <v>0</v>
      </c>
      <c r="D6253" s="2" t="str">
        <f t="shared" ca="1" si="96"/>
        <v>Error?</v>
      </c>
      <c r="E6253" s="2" t="s">
        <v>190</v>
      </c>
    </row>
    <row r="6254" spans="1:5" x14ac:dyDescent="0.2">
      <c r="A6254">
        <v>6193</v>
      </c>
      <c r="B6254" s="138">
        <f ca="1">'Acct Summary 7-8'!F74</f>
        <v>0</v>
      </c>
      <c r="D6254" s="2" t="str">
        <f t="shared" ca="1" si="96"/>
        <v>Error?</v>
      </c>
      <c r="E6254" s="2" t="s">
        <v>190</v>
      </c>
    </row>
    <row r="6255" spans="1:5" x14ac:dyDescent="0.2">
      <c r="A6255">
        <v>6194</v>
      </c>
      <c r="B6255" s="138">
        <f ca="1">'Acct Summary 7-8'!G74</f>
        <v>0</v>
      </c>
      <c r="D6255" s="2" t="str">
        <f t="shared" ca="1" si="96"/>
        <v>Error?</v>
      </c>
      <c r="E6255" s="2" t="s">
        <v>190</v>
      </c>
    </row>
    <row r="6256" spans="1:5" x14ac:dyDescent="0.2">
      <c r="A6256">
        <v>6195</v>
      </c>
      <c r="B6256" s="138">
        <f ca="1">'Acct Summary 7-8'!H74</f>
        <v>0</v>
      </c>
      <c r="D6256" s="2" t="str">
        <f t="shared" ca="1" si="96"/>
        <v>Error?</v>
      </c>
      <c r="E6256" s="2" t="s">
        <v>190</v>
      </c>
    </row>
    <row r="6257" spans="1:5" x14ac:dyDescent="0.2">
      <c r="A6257">
        <v>6196</v>
      </c>
      <c r="B6257" s="138">
        <f ca="1">'Acct Summary 7-8'!K74</f>
        <v>0</v>
      </c>
      <c r="D6257" s="2" t="str">
        <f t="shared" ca="1" si="96"/>
        <v>Error?</v>
      </c>
      <c r="E6257" s="2" t="s">
        <v>190</v>
      </c>
    </row>
    <row r="6258" spans="1:5" x14ac:dyDescent="0.2">
      <c r="A6258">
        <v>6197</v>
      </c>
      <c r="B6258" s="138">
        <f ca="1">'Acct Summary 7-8'!G75</f>
        <v>0</v>
      </c>
      <c r="D6258" s="2" t="str">
        <f t="shared" ca="1" si="96"/>
        <v>Error?</v>
      </c>
      <c r="E6258" s="2" t="s">
        <v>190</v>
      </c>
    </row>
    <row r="6259" spans="1:5" x14ac:dyDescent="0.2">
      <c r="A6259">
        <v>6198</v>
      </c>
      <c r="B6259" s="138">
        <f ca="1">'Acct Summary 7-8'!I75</f>
        <v>0</v>
      </c>
      <c r="D6259" s="2" t="str">
        <f t="shared" ca="1" si="96"/>
        <v>Error?</v>
      </c>
      <c r="E6259" s="2" t="s">
        <v>190</v>
      </c>
    </row>
    <row r="6260" spans="1:5" x14ac:dyDescent="0.2">
      <c r="A6260">
        <v>6199</v>
      </c>
      <c r="B6260" s="138">
        <f ca="1">'Acct Summary 7-8'!J75</f>
        <v>0</v>
      </c>
      <c r="D6260" s="2" t="str">
        <f t="shared" ca="1" si="96"/>
        <v>Error?</v>
      </c>
      <c r="E6260" s="2" t="s">
        <v>190</v>
      </c>
    </row>
    <row r="6261" spans="1:5" x14ac:dyDescent="0.2">
      <c r="A6261">
        <v>6200</v>
      </c>
      <c r="B6261" s="138">
        <f ca="1">'Acct Summary 7-8'!J76</f>
        <v>0</v>
      </c>
      <c r="D6261" s="2" t="str">
        <f t="shared" ca="1" si="96"/>
        <v>Error?</v>
      </c>
      <c r="E6261" s="2" t="s">
        <v>190</v>
      </c>
    </row>
    <row r="6262" spans="1:5" x14ac:dyDescent="0.2">
      <c r="A6262">
        <v>6201</v>
      </c>
      <c r="B6262" s="138">
        <f ca="1">'Acct Summary 7-8'!J77</f>
        <v>0</v>
      </c>
      <c r="D6262" s="2" t="str">
        <f t="shared" ca="1" si="96"/>
        <v>Error?</v>
      </c>
      <c r="E6262" s="2" t="s">
        <v>190</v>
      </c>
    </row>
    <row r="6263" spans="1:5" x14ac:dyDescent="0.2">
      <c r="A6263">
        <v>6202</v>
      </c>
      <c r="B6263" s="138">
        <f ca="1">'Acct Summary 7-8'!J78</f>
        <v>27587</v>
      </c>
      <c r="D6263" s="2" t="str">
        <f t="shared" ca="1" si="96"/>
        <v>Error?</v>
      </c>
      <c r="E6263" s="2" t="s">
        <v>190</v>
      </c>
    </row>
    <row r="6264" spans="1:5" x14ac:dyDescent="0.2">
      <c r="A6264">
        <v>6203</v>
      </c>
      <c r="B6264" s="138">
        <f>'Acct Summary 7-8'!J79</f>
        <v>118854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 ca="1">'Acct Summary 7-8'!J81</f>
        <v>146441</v>
      </c>
      <c r="D6266" s="2" t="str">
        <f t="shared" ca="1" si="96"/>
        <v>Error?</v>
      </c>
      <c r="E6266" s="2" t="s">
        <v>190</v>
      </c>
    </row>
    <row r="6267" spans="1:5" x14ac:dyDescent="0.2">
      <c r="A6267">
        <v>6206</v>
      </c>
      <c r="B6267" s="138">
        <f ca="1">'Acct Summary 7-8'!C82</f>
        <v>59668</v>
      </c>
      <c r="D6267" s="2" t="str">
        <f t="shared" ca="1" si="96"/>
        <v>Error?</v>
      </c>
      <c r="E6267" s="2" t="s">
        <v>190</v>
      </c>
    </row>
    <row r="6268" spans="1:5" x14ac:dyDescent="0.2">
      <c r="A6268">
        <v>6207</v>
      </c>
      <c r="B6268" s="138">
        <f ca="1">'Acct Summary 7-8'!D82</f>
        <v>-323965</v>
      </c>
      <c r="D6268" s="2" t="str">
        <f t="shared" ca="1" si="96"/>
        <v>Error?</v>
      </c>
      <c r="E6268" s="2" t="s">
        <v>190</v>
      </c>
    </row>
    <row r="6269" spans="1:5" x14ac:dyDescent="0.2">
      <c r="A6269">
        <v>6208</v>
      </c>
      <c r="B6269" s="138">
        <f ca="1">'Acct Summary 7-8'!E82</f>
        <v>-3834</v>
      </c>
      <c r="D6269" s="2" t="str">
        <f t="shared" ca="1" si="96"/>
        <v>Error?</v>
      </c>
      <c r="E6269" s="2" t="s">
        <v>190</v>
      </c>
    </row>
    <row r="6270" spans="1:5" x14ac:dyDescent="0.2">
      <c r="A6270">
        <v>6209</v>
      </c>
      <c r="B6270" s="138">
        <f ca="1">'Acct Summary 7-8'!F82</f>
        <v>88110</v>
      </c>
      <c r="D6270" s="2" t="str">
        <f t="shared" ca="1" si="96"/>
        <v>Error?</v>
      </c>
      <c r="E6270" s="2" t="s">
        <v>190</v>
      </c>
    </row>
    <row r="6271" spans="1:5" x14ac:dyDescent="0.2">
      <c r="A6271">
        <v>6210</v>
      </c>
      <c r="B6271" s="138">
        <f ca="1">'Acct Summary 7-8'!G82</f>
        <v>51698</v>
      </c>
      <c r="D6271" s="2" t="str">
        <f t="shared" ref="D6271:D6334" ca="1" si="97">IF(ISBLANK(B6271),"OK",IF(A6271-B6271=0,"OK","Error?"))</f>
        <v>Error?</v>
      </c>
      <c r="E6271" s="2" t="s">
        <v>190</v>
      </c>
    </row>
    <row r="6272" spans="1:5" x14ac:dyDescent="0.2">
      <c r="A6272">
        <v>6211</v>
      </c>
      <c r="B6272" s="138">
        <f ca="1">'Acct Summary 7-8'!H82</f>
        <v>0</v>
      </c>
      <c r="D6272" s="2" t="str">
        <f t="shared" ca="1" si="97"/>
        <v>Error?</v>
      </c>
      <c r="E6272" s="2" t="s">
        <v>190</v>
      </c>
    </row>
    <row r="6273" spans="1:5" x14ac:dyDescent="0.2">
      <c r="A6273">
        <v>6212</v>
      </c>
      <c r="B6273" s="138">
        <f ca="1">'Acct Summary 7-8'!I82</f>
        <v>-482615</v>
      </c>
      <c r="D6273" s="2" t="str">
        <f t="shared" ca="1" si="97"/>
        <v>Error?</v>
      </c>
      <c r="E6273" s="2" t="s">
        <v>190</v>
      </c>
    </row>
    <row r="6274" spans="1:5" x14ac:dyDescent="0.2">
      <c r="A6274">
        <v>6213</v>
      </c>
      <c r="B6274" s="138">
        <f ca="1">'Acct Summary 7-8'!J82</f>
        <v>27587</v>
      </c>
      <c r="D6274" s="2" t="str">
        <f t="shared" ca="1" si="97"/>
        <v>Error?</v>
      </c>
      <c r="E6274" s="2" t="s">
        <v>190</v>
      </c>
    </row>
    <row r="6275" spans="1:5" x14ac:dyDescent="0.2">
      <c r="A6275">
        <v>6214</v>
      </c>
      <c r="B6275" s="138">
        <f ca="1">'Acct Summary 7-8'!K82</f>
        <v>10433</v>
      </c>
      <c r="D6275" s="2" t="str">
        <f t="shared" ca="1" si="97"/>
        <v>Error?</v>
      </c>
      <c r="E6275" s="2" t="s">
        <v>190</v>
      </c>
    </row>
    <row r="6276" spans="1:5" x14ac:dyDescent="0.2">
      <c r="A6276">
        <v>6215</v>
      </c>
      <c r="B6276" s="138">
        <f ca="1">'Acct Summary 7-8'!C83</f>
        <v>2.2701435865438026E-2</v>
      </c>
      <c r="D6276" s="2" t="str">
        <f t="shared" ca="1" si="97"/>
        <v>Error?</v>
      </c>
      <c r="E6276" s="2" t="s">
        <v>190</v>
      </c>
    </row>
    <row r="6277" spans="1:5" x14ac:dyDescent="0.2">
      <c r="A6277">
        <v>6216</v>
      </c>
      <c r="B6277" s="138">
        <f ca="1">'Acct Summary 7-8'!D83</f>
        <v>-1.6736322777289869</v>
      </c>
      <c r="D6277" s="2" t="str">
        <f t="shared" ca="1" si="97"/>
        <v>Error?</v>
      </c>
      <c r="E6277" s="2" t="s">
        <v>190</v>
      </c>
    </row>
    <row r="6278" spans="1:5" x14ac:dyDescent="0.2">
      <c r="A6278">
        <v>6217</v>
      </c>
      <c r="B6278" s="138">
        <f ca="1">'Acct Summary 7-8'!E83</f>
        <v>8.5683636526169935E-2</v>
      </c>
      <c r="D6278" s="2" t="str">
        <f t="shared" ca="1" si="97"/>
        <v>Error?</v>
      </c>
      <c r="E6278" s="2" t="s">
        <v>190</v>
      </c>
    </row>
    <row r="6279" spans="1:5" x14ac:dyDescent="0.2">
      <c r="A6279">
        <v>6218</v>
      </c>
      <c r="B6279" s="138">
        <f ca="1">'Acct Summary 7-8'!F83</f>
        <v>0.13540011494641468</v>
      </c>
      <c r="D6279" s="2" t="str">
        <f t="shared" ca="1" si="97"/>
        <v>Error?</v>
      </c>
      <c r="E6279" s="2" t="s">
        <v>190</v>
      </c>
    </row>
    <row r="6280" spans="1:5" x14ac:dyDescent="0.2">
      <c r="A6280">
        <v>6219</v>
      </c>
      <c r="B6280" s="138">
        <f ca="1">'Acct Summary 7-8'!G83</f>
        <v>0.32538613562266339</v>
      </c>
      <c r="D6280" s="2" t="str">
        <f t="shared" ca="1" si="97"/>
        <v>Error?</v>
      </c>
      <c r="E6280" s="2" t="s">
        <v>190</v>
      </c>
    </row>
    <row r="6281" spans="1:5" x14ac:dyDescent="0.2">
      <c r="A6281">
        <v>6220</v>
      </c>
      <c r="B6281" s="138" t="e">
        <f ca="1">'Acct Summary 7-8'!H83</f>
        <v>#DIV/0!</v>
      </c>
      <c r="D6281" s="2" t="e">
        <f t="shared" ca="1" si="97"/>
        <v>#DIV/0!</v>
      </c>
      <c r="E6281" s="2" t="s">
        <v>190</v>
      </c>
    </row>
    <row r="6282" spans="1:5" x14ac:dyDescent="0.2">
      <c r="A6282">
        <v>6221</v>
      </c>
      <c r="B6282" s="138">
        <f ca="1">'Acct Summary 7-8'!I83</f>
        <v>-8.2779500343646034E-2</v>
      </c>
      <c r="D6282" s="2" t="str">
        <f t="shared" ca="1" si="97"/>
        <v>Error?</v>
      </c>
      <c r="E6282" s="2" t="s">
        <v>190</v>
      </c>
    </row>
    <row r="6283" spans="1:5" x14ac:dyDescent="0.2">
      <c r="A6283">
        <v>6222</v>
      </c>
      <c r="B6283" s="138">
        <f ca="1">'Acct Summary 7-8'!J83</f>
        <v>0.18838303480582624</v>
      </c>
      <c r="D6283" s="2" t="str">
        <f t="shared" ca="1" si="97"/>
        <v>Error?</v>
      </c>
      <c r="E6283" s="2" t="s">
        <v>190</v>
      </c>
    </row>
    <row r="6284" spans="1:5" x14ac:dyDescent="0.2">
      <c r="A6284">
        <v>6223</v>
      </c>
      <c r="B6284" s="138">
        <f ca="1">'Acct Summary 7-8'!K83</f>
        <v>2.25961902905472E-2</v>
      </c>
      <c r="D6284" s="2" t="str">
        <f t="shared" ca="1" si="97"/>
        <v>Error?</v>
      </c>
      <c r="E6284" s="2" t="s">
        <v>190</v>
      </c>
    </row>
    <row r="6285" spans="1:5" x14ac:dyDescent="0.2">
      <c r="A6285">
        <v>6224</v>
      </c>
      <c r="B6285" s="138">
        <f ca="1">'Acct Summary 7-8'!E37</f>
        <v>235486</v>
      </c>
      <c r="D6285" s="2" t="str">
        <f t="shared" ca="1" si="97"/>
        <v>Error?</v>
      </c>
      <c r="E6285" s="2" t="s">
        <v>190</v>
      </c>
    </row>
    <row r="6286" spans="1:5" x14ac:dyDescent="0.2">
      <c r="A6286">
        <v>6225</v>
      </c>
      <c r="B6286" s="138">
        <f ca="1">'Acct Summary 7-8'!E38</f>
        <v>3938</v>
      </c>
      <c r="D6286" s="2" t="str">
        <f t="shared" ca="1" si="97"/>
        <v>Error?</v>
      </c>
      <c r="E6286" s="2" t="s">
        <v>190</v>
      </c>
    </row>
    <row r="6287" spans="1:5" x14ac:dyDescent="0.2">
      <c r="A6287">
        <v>6226</v>
      </c>
      <c r="B6287" s="138">
        <f ca="1">'Acct Summary 7-8'!E39</f>
        <v>0</v>
      </c>
      <c r="D6287" s="2" t="str">
        <f t="shared" ca="1" si="97"/>
        <v>Error?</v>
      </c>
      <c r="E6287" s="2" t="s">
        <v>190</v>
      </c>
    </row>
    <row r="6288" spans="1:5" x14ac:dyDescent="0.2">
      <c r="A6288">
        <v>6227</v>
      </c>
      <c r="B6288" s="138">
        <f ca="1">'Acct Summary 7-8'!E40</f>
        <v>0</v>
      </c>
      <c r="D6288" s="2" t="str">
        <f t="shared" ca="1" si="97"/>
        <v>Error?</v>
      </c>
      <c r="E6288" s="2" t="s">
        <v>190</v>
      </c>
    </row>
    <row r="6289" spans="1:5" x14ac:dyDescent="0.2">
      <c r="A6289">
        <v>6228</v>
      </c>
      <c r="B6289" s="138">
        <f ca="1">'Acct Summary 7-8'!H41</f>
        <v>0</v>
      </c>
      <c r="D6289" s="2" t="str">
        <f t="shared" ca="1" si="97"/>
        <v>Error?</v>
      </c>
      <c r="E6289" s="2" t="s">
        <v>190</v>
      </c>
    </row>
    <row r="6290" spans="1:5" x14ac:dyDescent="0.2">
      <c r="A6290">
        <v>6229</v>
      </c>
      <c r="B6290" s="138">
        <f ca="1">'Acct Summary 7-8'!C42</f>
        <v>0</v>
      </c>
      <c r="D6290" s="2" t="str">
        <f t="shared" ca="1" si="97"/>
        <v>Error?</v>
      </c>
      <c r="E6290" s="2" t="s">
        <v>190</v>
      </c>
    </row>
    <row r="6291" spans="1:5" x14ac:dyDescent="0.2">
      <c r="A6291">
        <v>6230</v>
      </c>
      <c r="B6291" s="138">
        <f ca="1">'Acct Summary 7-8'!D42</f>
        <v>0</v>
      </c>
      <c r="D6291" s="2" t="str">
        <f t="shared" ca="1" si="97"/>
        <v>Error?</v>
      </c>
      <c r="E6291" s="2" t="s">
        <v>190</v>
      </c>
    </row>
    <row r="6292" spans="1:5" x14ac:dyDescent="0.2">
      <c r="A6292">
        <v>6231</v>
      </c>
      <c r="B6292" s="138">
        <f ca="1">'Acct Summary 7-8'!E42</f>
        <v>0</v>
      </c>
      <c r="D6292" s="2" t="str">
        <f t="shared" ca="1" si="97"/>
        <v>Error?</v>
      </c>
      <c r="E6292" s="2" t="s">
        <v>190</v>
      </c>
    </row>
    <row r="6293" spans="1:5" x14ac:dyDescent="0.2">
      <c r="A6293">
        <v>6232</v>
      </c>
      <c r="B6293" s="138">
        <f ca="1">'Acct Summary 7-8'!F42</f>
        <v>0</v>
      </c>
      <c r="D6293" s="2" t="str">
        <f t="shared" ca="1" si="97"/>
        <v>Error?</v>
      </c>
      <c r="E6293" s="2" t="s">
        <v>190</v>
      </c>
    </row>
    <row r="6294" spans="1:5" x14ac:dyDescent="0.2">
      <c r="A6294">
        <v>6233</v>
      </c>
      <c r="B6294" s="138">
        <f ca="1">'Acct Summary 7-8'!G42</f>
        <v>0</v>
      </c>
      <c r="D6294" s="2" t="str">
        <f t="shared" ca="1" si="97"/>
        <v>Error?</v>
      </c>
      <c r="E6294" s="2" t="s">
        <v>190</v>
      </c>
    </row>
    <row r="6295" spans="1:5" x14ac:dyDescent="0.2">
      <c r="A6295">
        <v>6234</v>
      </c>
      <c r="B6295" s="138">
        <f ca="1">'Acct Summary 7-8'!H42</f>
        <v>0</v>
      </c>
      <c r="D6295" s="2" t="str">
        <f t="shared" ca="1" si="97"/>
        <v>Error?</v>
      </c>
      <c r="E6295" s="2" t="s">
        <v>190</v>
      </c>
    </row>
    <row r="6296" spans="1:5" x14ac:dyDescent="0.2">
      <c r="A6296">
        <v>6235</v>
      </c>
      <c r="B6296" s="138">
        <f ca="1">'Acct Summary 7-8'!K42</f>
        <v>0</v>
      </c>
      <c r="D6296" s="2" t="str">
        <f t="shared" ca="1" si="97"/>
        <v>Error?</v>
      </c>
      <c r="E6296" s="2" t="s">
        <v>190</v>
      </c>
    </row>
    <row r="6297" spans="1:5" x14ac:dyDescent="0.2">
      <c r="A6297">
        <v>6236</v>
      </c>
      <c r="B6297" s="138">
        <f>'Assets-Liab 5-6'!M15</f>
        <v>0</v>
      </c>
      <c r="D6297" s="2" t="str">
        <f t="shared" si="97"/>
        <v>Error?</v>
      </c>
      <c r="E6297" s="2" t="s">
        <v>190</v>
      </c>
    </row>
    <row r="6298" spans="1:5" x14ac:dyDescent="0.2">
      <c r="A6298">
        <v>6237</v>
      </c>
      <c r="B6298" s="138">
        <f ca="1">'Revenues 9-14'!J5</f>
        <v>497555</v>
      </c>
      <c r="D6298" s="2" t="str">
        <f t="shared" ca="1" si="97"/>
        <v>Error?</v>
      </c>
      <c r="E6298" s="2" t="s">
        <v>190</v>
      </c>
    </row>
    <row r="6299" spans="1:5" x14ac:dyDescent="0.2">
      <c r="A6299">
        <v>6238</v>
      </c>
      <c r="B6299" s="138">
        <f ca="1">'Revenues 9-14'!H7</f>
        <v>0</v>
      </c>
      <c r="D6299" s="2" t="str">
        <f t="shared" ca="1" si="97"/>
        <v>Error?</v>
      </c>
      <c r="E6299" s="2" t="s">
        <v>190</v>
      </c>
    </row>
    <row r="6300" spans="1:5" x14ac:dyDescent="0.2">
      <c r="A6300">
        <v>6239</v>
      </c>
      <c r="B6300" s="138">
        <f ca="1">'Revenues 9-14'!J11</f>
        <v>0</v>
      </c>
      <c r="D6300" s="2" t="str">
        <f t="shared" ca="1" si="97"/>
        <v>Error?</v>
      </c>
      <c r="E6300" s="2" t="s">
        <v>190</v>
      </c>
    </row>
    <row r="6301" spans="1:5" x14ac:dyDescent="0.2">
      <c r="A6301">
        <v>6240</v>
      </c>
      <c r="B6301" s="138">
        <f ca="1">'Revenues 9-14'!J12</f>
        <v>497555</v>
      </c>
      <c r="D6301" s="2" t="str">
        <f t="shared" ca="1" si="97"/>
        <v>Error?</v>
      </c>
      <c r="E6301" s="2" t="s">
        <v>190</v>
      </c>
    </row>
    <row r="6302" spans="1:5" x14ac:dyDescent="0.2">
      <c r="A6302">
        <v>6241</v>
      </c>
      <c r="B6302" s="138">
        <f ca="1">'Revenues 9-14'!J14</f>
        <v>0</v>
      </c>
      <c r="D6302" s="2" t="str">
        <f t="shared" ca="1" si="97"/>
        <v>Error?</v>
      </c>
      <c r="E6302" s="2" t="s">
        <v>190</v>
      </c>
    </row>
    <row r="6303" spans="1:5" x14ac:dyDescent="0.2">
      <c r="A6303">
        <v>6242</v>
      </c>
      <c r="B6303" s="138">
        <f ca="1">'Revenues 9-14'!J15</f>
        <v>0</v>
      </c>
      <c r="D6303" s="2" t="str">
        <f t="shared" ca="1" si="97"/>
        <v>Error?</v>
      </c>
      <c r="E6303" s="2" t="s">
        <v>190</v>
      </c>
    </row>
    <row r="6304" spans="1:5" x14ac:dyDescent="0.2">
      <c r="A6304">
        <v>6243</v>
      </c>
      <c r="B6304" s="138">
        <f ca="1">'Revenues 9-14'!J16</f>
        <v>0</v>
      </c>
      <c r="D6304" s="2" t="str">
        <f t="shared" ca="1" si="97"/>
        <v>Error?</v>
      </c>
      <c r="E6304" s="2" t="s">
        <v>190</v>
      </c>
    </row>
    <row r="6305" spans="1:5" x14ac:dyDescent="0.2">
      <c r="A6305">
        <v>6244</v>
      </c>
      <c r="B6305" s="138">
        <f ca="1">'Revenues 9-14'!J17</f>
        <v>0</v>
      </c>
      <c r="D6305" s="2" t="str">
        <f t="shared" ca="1" si="97"/>
        <v>Error?</v>
      </c>
      <c r="E6305" s="2" t="s">
        <v>190</v>
      </c>
    </row>
    <row r="6306" spans="1:5" x14ac:dyDescent="0.2">
      <c r="A6306">
        <v>6245</v>
      </c>
      <c r="B6306" s="138">
        <f ca="1">'Revenues 9-14'!J18</f>
        <v>0</v>
      </c>
      <c r="D6306" s="2" t="str">
        <f t="shared" ca="1" si="97"/>
        <v>Error?</v>
      </c>
      <c r="E6306" s="2" t="s">
        <v>190</v>
      </c>
    </row>
    <row r="6307" spans="1:5" x14ac:dyDescent="0.2">
      <c r="A6307">
        <v>6246</v>
      </c>
      <c r="B6307" s="138">
        <f ca="1">'Revenues 9-14'!C23</f>
        <v>0</v>
      </c>
      <c r="D6307" s="2" t="str">
        <f t="shared" ca="1" si="97"/>
        <v>Error?</v>
      </c>
      <c r="E6307" s="2" t="s">
        <v>190</v>
      </c>
    </row>
    <row r="6308" spans="1:5" x14ac:dyDescent="0.2">
      <c r="A6308">
        <v>6247</v>
      </c>
      <c r="B6308" s="138">
        <f ca="1">'Revenues 9-14'!C27</f>
        <v>0</v>
      </c>
      <c r="D6308" s="2" t="str">
        <f t="shared" ca="1" si="97"/>
        <v>Error?</v>
      </c>
      <c r="E6308" s="2" t="s">
        <v>190</v>
      </c>
    </row>
    <row r="6309" spans="1:5" x14ac:dyDescent="0.2">
      <c r="A6309">
        <v>6248</v>
      </c>
      <c r="B6309" s="138">
        <f ca="1">'Revenues 9-14'!C31</f>
        <v>0</v>
      </c>
      <c r="D6309" s="2" t="str">
        <f t="shared" ca="1" si="97"/>
        <v>Error?</v>
      </c>
      <c r="E6309" s="2" t="s">
        <v>190</v>
      </c>
    </row>
    <row r="6310" spans="1:5" x14ac:dyDescent="0.2">
      <c r="A6310">
        <v>6249</v>
      </c>
      <c r="B6310" s="138">
        <f ca="1">'Revenues 9-14'!C35</f>
        <v>0</v>
      </c>
      <c r="D6310" s="2" t="str">
        <f t="shared" ca="1" si="97"/>
        <v>Error?</v>
      </c>
      <c r="E6310" s="2" t="s">
        <v>190</v>
      </c>
    </row>
    <row r="6311" spans="1:5" x14ac:dyDescent="0.2">
      <c r="A6311">
        <v>6250</v>
      </c>
      <c r="B6311" s="138">
        <f ca="1">'Revenues 9-14'!C39</f>
        <v>0</v>
      </c>
      <c r="D6311" s="2" t="str">
        <f t="shared" ca="1" si="97"/>
        <v>Error?</v>
      </c>
      <c r="E6311" s="2" t="s">
        <v>190</v>
      </c>
    </row>
    <row r="6312" spans="1:5" x14ac:dyDescent="0.2">
      <c r="A6312">
        <v>6251</v>
      </c>
      <c r="B6312" s="138">
        <f ca="1">'Revenues 9-14'!F46</f>
        <v>0</v>
      </c>
      <c r="D6312" s="2" t="str">
        <f t="shared" ca="1" si="97"/>
        <v>Error?</v>
      </c>
      <c r="E6312" s="2" t="s">
        <v>190</v>
      </c>
    </row>
    <row r="6313" spans="1:5" x14ac:dyDescent="0.2">
      <c r="A6313">
        <v>6252</v>
      </c>
      <c r="B6313" s="138">
        <f ca="1">'Revenues 9-14'!F50</f>
        <v>0</v>
      </c>
      <c r="D6313" s="2" t="str">
        <f t="shared" ca="1" si="97"/>
        <v>Error?</v>
      </c>
      <c r="E6313" s="2" t="s">
        <v>190</v>
      </c>
    </row>
    <row r="6314" spans="1:5" x14ac:dyDescent="0.2">
      <c r="A6314">
        <v>6253</v>
      </c>
      <c r="B6314" s="138">
        <f ca="1">'Revenues 9-14'!F54</f>
        <v>0</v>
      </c>
      <c r="D6314" s="2" t="str">
        <f t="shared" ca="1" si="97"/>
        <v>Error?</v>
      </c>
      <c r="E6314" s="2" t="s">
        <v>190</v>
      </c>
    </row>
    <row r="6315" spans="1:5" x14ac:dyDescent="0.2">
      <c r="A6315">
        <v>6254</v>
      </c>
      <c r="B6315" s="138">
        <f ca="1">'Revenues 9-14'!F62</f>
        <v>0</v>
      </c>
      <c r="D6315" s="2" t="str">
        <f t="shared" ca="1" si="97"/>
        <v>Error?</v>
      </c>
      <c r="E6315" s="2" t="s">
        <v>190</v>
      </c>
    </row>
    <row r="6316" spans="1:5" x14ac:dyDescent="0.2">
      <c r="A6316">
        <v>6255</v>
      </c>
      <c r="B6316" s="138">
        <f ca="1">'Revenues 9-14'!J65</f>
        <v>0</v>
      </c>
      <c r="D6316" s="2" t="str">
        <f t="shared" ca="1" si="97"/>
        <v>Error?</v>
      </c>
      <c r="E6316" s="2" t="s">
        <v>190</v>
      </c>
    </row>
    <row r="6317" spans="1:5" x14ac:dyDescent="0.2">
      <c r="A6317">
        <v>6256</v>
      </c>
      <c r="B6317" s="138">
        <f ca="1">'Revenues 9-14'!J66</f>
        <v>0</v>
      </c>
      <c r="D6317" s="2" t="str">
        <f t="shared" ca="1" si="97"/>
        <v>Error?</v>
      </c>
      <c r="E6317" s="2" t="s">
        <v>190</v>
      </c>
    </row>
    <row r="6318" spans="1:5" x14ac:dyDescent="0.2">
      <c r="A6318">
        <v>6257</v>
      </c>
      <c r="B6318" s="138">
        <f ca="1">'Revenues 9-14'!J67</f>
        <v>0</v>
      </c>
      <c r="D6318" s="2" t="str">
        <f t="shared" ca="1" si="97"/>
        <v>Error?</v>
      </c>
      <c r="E6318" s="2" t="s">
        <v>190</v>
      </c>
    </row>
    <row r="6319" spans="1:5" x14ac:dyDescent="0.2">
      <c r="A6319">
        <v>6258</v>
      </c>
      <c r="B6319" s="138">
        <f ca="1">'Revenues 9-14'!J96</f>
        <v>0</v>
      </c>
      <c r="D6319" s="2" t="str">
        <f t="shared" ca="1" si="97"/>
        <v>Error?</v>
      </c>
      <c r="E6319" s="2" t="s">
        <v>190</v>
      </c>
    </row>
    <row r="6320" spans="1:5" x14ac:dyDescent="0.2">
      <c r="A6320">
        <v>6259</v>
      </c>
      <c r="B6320" s="138">
        <f ca="1">'Revenues 9-14'!C97</f>
        <v>0</v>
      </c>
      <c r="D6320" s="2" t="str">
        <f t="shared" ca="1" si="97"/>
        <v>Error?</v>
      </c>
      <c r="E6320" s="2" t="s">
        <v>190</v>
      </c>
    </row>
    <row r="6321" spans="1:5" x14ac:dyDescent="0.2">
      <c r="A6321">
        <v>6260</v>
      </c>
      <c r="B6321" s="138">
        <f ca="1">'Revenues 9-14'!D97</f>
        <v>0</v>
      </c>
      <c r="D6321" s="2" t="str">
        <f t="shared" ca="1" si="97"/>
        <v>Error?</v>
      </c>
      <c r="E6321" s="2" t="s">
        <v>190</v>
      </c>
    </row>
    <row r="6322" spans="1:5" x14ac:dyDescent="0.2">
      <c r="A6322">
        <v>6261</v>
      </c>
      <c r="B6322" s="138">
        <f ca="1">'Revenues 9-14'!E97</f>
        <v>0</v>
      </c>
      <c r="D6322" s="2" t="str">
        <f t="shared" ca="1" si="97"/>
        <v>Error?</v>
      </c>
      <c r="E6322" s="2" t="s">
        <v>190</v>
      </c>
    </row>
    <row r="6323" spans="1:5" x14ac:dyDescent="0.2">
      <c r="A6323">
        <v>6262</v>
      </c>
      <c r="B6323" s="138">
        <f ca="1">'Revenues 9-14'!F97</f>
        <v>0</v>
      </c>
      <c r="D6323" s="2" t="str">
        <f t="shared" ca="1" si="97"/>
        <v>Error?</v>
      </c>
      <c r="E6323" s="2" t="s">
        <v>190</v>
      </c>
    </row>
    <row r="6324" spans="1:5" x14ac:dyDescent="0.2">
      <c r="A6324">
        <v>6263</v>
      </c>
      <c r="B6324" s="138">
        <f ca="1">'Revenues 9-14'!G97</f>
        <v>0</v>
      </c>
      <c r="D6324" s="2" t="str">
        <f t="shared" ca="1" si="97"/>
        <v>Error?</v>
      </c>
      <c r="E6324" s="2" t="s">
        <v>190</v>
      </c>
    </row>
    <row r="6325" spans="1:5" x14ac:dyDescent="0.2">
      <c r="A6325">
        <v>6264</v>
      </c>
      <c r="B6325" s="138">
        <f ca="1">'Revenues 9-14'!H97</f>
        <v>0</v>
      </c>
      <c r="D6325" s="2" t="str">
        <f t="shared" ca="1" si="97"/>
        <v>Error?</v>
      </c>
      <c r="E6325" s="2" t="s">
        <v>190</v>
      </c>
    </row>
    <row r="6326" spans="1:5" x14ac:dyDescent="0.2">
      <c r="A6326">
        <v>6265</v>
      </c>
      <c r="B6326" s="138">
        <f ca="1">'Revenues 9-14'!I97</f>
        <v>0</v>
      </c>
      <c r="D6326" s="2" t="str">
        <f t="shared" ca="1" si="97"/>
        <v>Error?</v>
      </c>
      <c r="E6326" s="2" t="s">
        <v>190</v>
      </c>
    </row>
    <row r="6327" spans="1:5" x14ac:dyDescent="0.2">
      <c r="A6327">
        <v>6266</v>
      </c>
      <c r="B6327" s="138">
        <f ca="1">'Revenues 9-14'!J97</f>
        <v>0</v>
      </c>
      <c r="D6327" s="2" t="str">
        <f t="shared" ca="1" si="97"/>
        <v>Error?</v>
      </c>
      <c r="E6327" s="2" t="s">
        <v>190</v>
      </c>
    </row>
    <row r="6328" spans="1:5" x14ac:dyDescent="0.2">
      <c r="A6328">
        <v>6267</v>
      </c>
      <c r="B6328" s="138">
        <f ca="1">'Revenues 9-14'!K97</f>
        <v>0</v>
      </c>
      <c r="D6328" s="2" t="str">
        <f t="shared" ca="1" si="97"/>
        <v>Error?</v>
      </c>
      <c r="E6328" s="2" t="s">
        <v>190</v>
      </c>
    </row>
    <row r="6329" spans="1:5" x14ac:dyDescent="0.2">
      <c r="A6329">
        <v>6268</v>
      </c>
      <c r="B6329" s="138">
        <f ca="1">'Revenues 9-14'!J99</f>
        <v>0</v>
      </c>
      <c r="D6329" s="2" t="str">
        <f t="shared" ca="1" si="97"/>
        <v>Error?</v>
      </c>
      <c r="E6329" s="2" t="s">
        <v>190</v>
      </c>
    </row>
    <row r="6330" spans="1:5" x14ac:dyDescent="0.2">
      <c r="A6330">
        <v>6269</v>
      </c>
      <c r="B6330" s="138">
        <f ca="1">'Revenues 9-14'!C100</f>
        <v>0</v>
      </c>
      <c r="D6330" s="2" t="str">
        <f t="shared" ca="1" si="97"/>
        <v>Error?</v>
      </c>
      <c r="E6330" s="2" t="s">
        <v>190</v>
      </c>
    </row>
    <row r="6331" spans="1:5" x14ac:dyDescent="0.2">
      <c r="A6331">
        <v>6270</v>
      </c>
      <c r="B6331" s="138">
        <f ca="1">'Revenues 9-14'!D100</f>
        <v>0</v>
      </c>
      <c r="D6331" s="2" t="str">
        <f t="shared" ca="1" si="97"/>
        <v>Error?</v>
      </c>
      <c r="E6331" s="2" t="s">
        <v>190</v>
      </c>
    </row>
    <row r="6332" spans="1:5" x14ac:dyDescent="0.2">
      <c r="A6332">
        <v>6271</v>
      </c>
      <c r="B6332" s="138">
        <f ca="1">'Revenues 9-14'!E100</f>
        <v>0</v>
      </c>
      <c r="D6332" s="2" t="str">
        <f t="shared" ca="1" si="97"/>
        <v>Error?</v>
      </c>
      <c r="E6332" s="2" t="s">
        <v>190</v>
      </c>
    </row>
    <row r="6333" spans="1:5" x14ac:dyDescent="0.2">
      <c r="A6333">
        <v>6272</v>
      </c>
      <c r="B6333" s="138">
        <f ca="1">'Revenues 9-14'!F100</f>
        <v>0</v>
      </c>
      <c r="D6333" s="2" t="str">
        <f t="shared" ca="1" si="97"/>
        <v>Error?</v>
      </c>
      <c r="E6333" s="2" t="s">
        <v>190</v>
      </c>
    </row>
    <row r="6334" spans="1:5" x14ac:dyDescent="0.2">
      <c r="A6334">
        <v>6273</v>
      </c>
      <c r="B6334" s="138">
        <f ca="1">'Revenues 9-14'!G100</f>
        <v>0</v>
      </c>
      <c r="D6334" s="2" t="str">
        <f t="shared" ca="1" si="97"/>
        <v>Error?</v>
      </c>
      <c r="E6334" s="2" t="s">
        <v>190</v>
      </c>
    </row>
    <row r="6335" spans="1:5" x14ac:dyDescent="0.2">
      <c r="A6335">
        <v>6274</v>
      </c>
      <c r="B6335" s="138">
        <f ca="1">'Revenues 9-14'!H100</f>
        <v>0</v>
      </c>
      <c r="D6335" s="2" t="str">
        <f t="shared" ref="D6335:D6398" ca="1" si="98">IF(ISBLANK(B6335),"OK",IF(A6335-B6335=0,"OK","Error?"))</f>
        <v>Error?</v>
      </c>
      <c r="E6335" s="2" t="s">
        <v>190</v>
      </c>
    </row>
    <row r="6336" spans="1:5" x14ac:dyDescent="0.2">
      <c r="A6336">
        <v>6275</v>
      </c>
      <c r="B6336" s="138">
        <f ca="1">'Revenues 9-14'!I100</f>
        <v>0</v>
      </c>
      <c r="D6336" s="2" t="str">
        <f t="shared" ca="1" si="98"/>
        <v>Error?</v>
      </c>
      <c r="E6336" s="2" t="s">
        <v>190</v>
      </c>
    </row>
    <row r="6337" spans="1:5" x14ac:dyDescent="0.2">
      <c r="A6337">
        <v>6276</v>
      </c>
      <c r="B6337" s="138">
        <f ca="1">'Revenues 9-14'!J100</f>
        <v>0</v>
      </c>
      <c r="D6337" s="2" t="str">
        <f t="shared" ca="1" si="98"/>
        <v>Error?</v>
      </c>
      <c r="E6337" s="2" t="s">
        <v>190</v>
      </c>
    </row>
    <row r="6338" spans="1:5" x14ac:dyDescent="0.2">
      <c r="A6338">
        <v>6277</v>
      </c>
      <c r="B6338" s="138">
        <f ca="1">'Revenues 9-14'!K100</f>
        <v>0</v>
      </c>
      <c r="D6338" s="2" t="str">
        <f t="shared" ca="1" si="98"/>
        <v>Error?</v>
      </c>
      <c r="E6338" s="2" t="s">
        <v>190</v>
      </c>
    </row>
    <row r="6339" spans="1:5" x14ac:dyDescent="0.2">
      <c r="A6339">
        <v>6278</v>
      </c>
      <c r="B6339" s="138">
        <f ca="1">'Revenues 9-14'!C101</f>
        <v>0</v>
      </c>
      <c r="D6339" s="2" t="str">
        <f t="shared" ca="1" si="98"/>
        <v>Error?</v>
      </c>
      <c r="E6339" s="2" t="s">
        <v>190</v>
      </c>
    </row>
    <row r="6340" spans="1:5" x14ac:dyDescent="0.2">
      <c r="A6340">
        <v>6279</v>
      </c>
      <c r="B6340" s="138">
        <f ca="1">'Revenues 9-14'!C102</f>
        <v>0</v>
      </c>
      <c r="D6340" s="2" t="str">
        <f t="shared" ca="1" si="98"/>
        <v>Error?</v>
      </c>
      <c r="E6340" s="2" t="s">
        <v>190</v>
      </c>
    </row>
    <row r="6341" spans="1:5" x14ac:dyDescent="0.2">
      <c r="A6341">
        <v>6280</v>
      </c>
      <c r="B6341" s="138">
        <f ca="1">'Revenues 9-14'!D102</f>
        <v>0</v>
      </c>
      <c r="D6341" s="2" t="str">
        <f t="shared" ca="1" si="98"/>
        <v>Error?</v>
      </c>
      <c r="E6341" s="2" t="s">
        <v>190</v>
      </c>
    </row>
    <row r="6342" spans="1:5" x14ac:dyDescent="0.2">
      <c r="A6342">
        <v>6281</v>
      </c>
      <c r="B6342" s="138">
        <f ca="1">'Revenues 9-14'!E102</f>
        <v>0</v>
      </c>
      <c r="D6342" s="2" t="str">
        <f t="shared" ca="1" si="98"/>
        <v>Error?</v>
      </c>
      <c r="E6342" s="2" t="s">
        <v>190</v>
      </c>
    </row>
    <row r="6343" spans="1:5" x14ac:dyDescent="0.2">
      <c r="A6343">
        <v>6282</v>
      </c>
      <c r="B6343" s="138">
        <f ca="1">'Revenues 9-14'!F102</f>
        <v>0</v>
      </c>
      <c r="D6343" s="2" t="str">
        <f t="shared" ca="1" si="98"/>
        <v>Error?</v>
      </c>
      <c r="E6343" s="2" t="s">
        <v>190</v>
      </c>
    </row>
    <row r="6344" spans="1:5" x14ac:dyDescent="0.2">
      <c r="A6344">
        <v>6283</v>
      </c>
      <c r="B6344" s="138">
        <f ca="1">'Revenues 9-14'!G102</f>
        <v>0</v>
      </c>
      <c r="D6344" s="2" t="str">
        <f t="shared" ca="1" si="98"/>
        <v>Error?</v>
      </c>
      <c r="E6344" s="2" t="s">
        <v>190</v>
      </c>
    </row>
    <row r="6345" spans="1:5" x14ac:dyDescent="0.2">
      <c r="A6345">
        <v>6284</v>
      </c>
      <c r="B6345" s="138">
        <f ca="1">'Revenues 9-14'!H102</f>
        <v>0</v>
      </c>
      <c r="D6345" s="2" t="str">
        <f t="shared" ca="1" si="98"/>
        <v>Error?</v>
      </c>
      <c r="E6345" s="2" t="s">
        <v>190</v>
      </c>
    </row>
    <row r="6346" spans="1:5" x14ac:dyDescent="0.2">
      <c r="A6346">
        <v>6285</v>
      </c>
      <c r="B6346" s="138">
        <f ca="1">'Revenues 9-14'!I102</f>
        <v>0</v>
      </c>
      <c r="D6346" s="2" t="str">
        <f t="shared" ca="1" si="98"/>
        <v>Error?</v>
      </c>
      <c r="E6346" s="2" t="s">
        <v>190</v>
      </c>
    </row>
    <row r="6347" spans="1:5" x14ac:dyDescent="0.2">
      <c r="A6347">
        <v>6286</v>
      </c>
      <c r="B6347" s="138">
        <f ca="1">'Revenues 9-14'!J102</f>
        <v>0</v>
      </c>
      <c r="D6347" s="2" t="str">
        <f t="shared" ca="1" si="98"/>
        <v>Error?</v>
      </c>
      <c r="E6347" s="2" t="s">
        <v>190</v>
      </c>
    </row>
    <row r="6348" spans="1:5" x14ac:dyDescent="0.2">
      <c r="A6348">
        <v>6287</v>
      </c>
      <c r="B6348" s="138">
        <f ca="1">'Revenues 9-14'!K102</f>
        <v>0</v>
      </c>
      <c r="D6348" s="2" t="str">
        <f t="shared" ca="1" si="98"/>
        <v>Error?</v>
      </c>
      <c r="E6348" s="2" t="s">
        <v>190</v>
      </c>
    </row>
    <row r="6349" spans="1:5" x14ac:dyDescent="0.2">
      <c r="A6349">
        <v>6288</v>
      </c>
      <c r="B6349" s="138">
        <f ca="1">'Revenues 9-14'!G104</f>
        <v>0</v>
      </c>
      <c r="D6349" s="2" t="str">
        <f t="shared" ca="1" si="98"/>
        <v>Error?</v>
      </c>
      <c r="E6349" s="2" t="s">
        <v>190</v>
      </c>
    </row>
    <row r="6350" spans="1:5" x14ac:dyDescent="0.2">
      <c r="A6350">
        <v>6289</v>
      </c>
      <c r="B6350" s="138">
        <f ca="1">'Revenues 9-14'!J107</f>
        <v>56806</v>
      </c>
      <c r="D6350" s="2" t="str">
        <f t="shared" ca="1" si="98"/>
        <v>Error?</v>
      </c>
      <c r="E6350" s="2" t="s">
        <v>190</v>
      </c>
    </row>
    <row r="6351" spans="1:5" x14ac:dyDescent="0.2">
      <c r="A6351">
        <v>6290</v>
      </c>
      <c r="B6351" s="138">
        <f ca="1">'Revenues 9-14'!J108</f>
        <v>56806</v>
      </c>
      <c r="D6351" s="2" t="str">
        <f t="shared" ca="1" si="98"/>
        <v>Error?</v>
      </c>
      <c r="E6351" s="2" t="s">
        <v>190</v>
      </c>
    </row>
    <row r="6352" spans="1:5" x14ac:dyDescent="0.2">
      <c r="A6352">
        <v>6291</v>
      </c>
      <c r="B6352" s="138">
        <f ca="1">'Revenues 9-14'!J109</f>
        <v>554361</v>
      </c>
      <c r="D6352" s="2" t="str">
        <f t="shared" ca="1" si="98"/>
        <v>Error?</v>
      </c>
      <c r="E6352" s="2" t="s">
        <v>190</v>
      </c>
    </row>
    <row r="6353" spans="1:5" x14ac:dyDescent="0.2">
      <c r="A6353">
        <v>6292</v>
      </c>
      <c r="B6353" s="138">
        <f ca="1">'Revenues 9-14'!J117</f>
        <v>0</v>
      </c>
      <c r="D6353" s="2" t="str">
        <f t="shared" ca="1" si="98"/>
        <v>Error?</v>
      </c>
      <c r="E6353" s="2" t="s">
        <v>190</v>
      </c>
    </row>
    <row r="6354" spans="1:5" x14ac:dyDescent="0.2">
      <c r="A6354">
        <v>6293</v>
      </c>
      <c r="B6354" s="138">
        <f ca="1">'Revenues 9-14'!J118</f>
        <v>0</v>
      </c>
      <c r="D6354" s="2" t="str">
        <f t="shared" ca="1" si="98"/>
        <v>Error?</v>
      </c>
      <c r="E6354" s="2" t="s">
        <v>190</v>
      </c>
    </row>
    <row r="6355" spans="1:5" x14ac:dyDescent="0.2">
      <c r="A6355">
        <v>6294</v>
      </c>
      <c r="B6355" s="138">
        <f ca="1">'Revenues 9-14'!J119</f>
        <v>0</v>
      </c>
      <c r="D6355" s="2" t="str">
        <f t="shared" ca="1" si="98"/>
        <v>Error?</v>
      </c>
      <c r="E6355" s="2" t="s">
        <v>190</v>
      </c>
    </row>
    <row r="6356" spans="1:5" x14ac:dyDescent="0.2">
      <c r="A6356">
        <v>6295</v>
      </c>
      <c r="B6356" s="138">
        <f ca="1">'Revenues 9-14'!J121</f>
        <v>0</v>
      </c>
      <c r="D6356" s="2" t="str">
        <f t="shared" ca="1" si="98"/>
        <v>Error?</v>
      </c>
      <c r="E6356" s="2" t="s">
        <v>190</v>
      </c>
    </row>
    <row r="6357" spans="1:5" x14ac:dyDescent="0.2">
      <c r="A6357">
        <v>6296</v>
      </c>
      <c r="B6357" s="138">
        <f ca="1">'Revenues 9-14'!J122</f>
        <v>0</v>
      </c>
      <c r="D6357" s="2" t="str">
        <f t="shared" ca="1" si="98"/>
        <v>Error?</v>
      </c>
      <c r="E6357" s="2" t="s">
        <v>190</v>
      </c>
    </row>
    <row r="6358" spans="1:5" x14ac:dyDescent="0.2">
      <c r="A6358">
        <v>6297</v>
      </c>
      <c r="B6358" s="138">
        <f ca="1">'Revenues 9-14'!G135</f>
        <v>0</v>
      </c>
      <c r="D6358" s="2" t="str">
        <f t="shared" ca="1" si="98"/>
        <v>Error?</v>
      </c>
      <c r="E6358" s="2" t="s">
        <v>190</v>
      </c>
    </row>
    <row r="6359" spans="1:5" x14ac:dyDescent="0.2">
      <c r="A6359">
        <v>6298</v>
      </c>
      <c r="B6359" s="138">
        <f ca="1">'Revenues 9-14'!C137</f>
        <v>0</v>
      </c>
      <c r="D6359" s="2" t="str">
        <f t="shared" ca="1" si="98"/>
        <v>Error?</v>
      </c>
      <c r="E6359" s="2" t="s">
        <v>190</v>
      </c>
    </row>
    <row r="6360" spans="1:5" x14ac:dyDescent="0.2">
      <c r="A6360">
        <v>6299</v>
      </c>
      <c r="B6360" s="138">
        <f ca="1">'Revenues 9-14'!D137</f>
        <v>0</v>
      </c>
      <c r="D6360" s="2" t="str">
        <f t="shared" ca="1" si="98"/>
        <v>Error?</v>
      </c>
      <c r="E6360" s="2" t="s">
        <v>190</v>
      </c>
    </row>
    <row r="6361" spans="1:5" x14ac:dyDescent="0.2">
      <c r="A6361">
        <v>6300</v>
      </c>
      <c r="B6361" s="138">
        <f ca="1">'Revenues 9-14'!G137</f>
        <v>0</v>
      </c>
      <c r="D6361" s="2" t="str">
        <f t="shared" ca="1" si="98"/>
        <v>Error?</v>
      </c>
      <c r="E6361" s="2" t="s">
        <v>190</v>
      </c>
    </row>
    <row r="6362" spans="1:5" x14ac:dyDescent="0.2">
      <c r="A6362">
        <v>6301</v>
      </c>
      <c r="B6362" s="138">
        <f ca="1">'Revenues 9-14'!C138</f>
        <v>0</v>
      </c>
      <c r="D6362" s="2" t="str">
        <f t="shared" ca="1" si="98"/>
        <v>Error?</v>
      </c>
      <c r="E6362" s="2" t="s">
        <v>190</v>
      </c>
    </row>
    <row r="6363" spans="1:5" x14ac:dyDescent="0.2">
      <c r="A6363">
        <v>6302</v>
      </c>
      <c r="B6363" s="138">
        <f ca="1">'Revenues 9-14'!D138</f>
        <v>0</v>
      </c>
      <c r="D6363" s="2" t="str">
        <f t="shared" ca="1" si="98"/>
        <v>Error?</v>
      </c>
      <c r="E6363" s="2" t="s">
        <v>190</v>
      </c>
    </row>
    <row r="6364" spans="1:5" x14ac:dyDescent="0.2">
      <c r="A6364">
        <v>6303</v>
      </c>
      <c r="B6364" s="138">
        <f ca="1">'Revenues 9-14'!G138</f>
        <v>0</v>
      </c>
      <c r="D6364" s="2" t="str">
        <f t="shared" ca="1" si="98"/>
        <v>Error?</v>
      </c>
      <c r="E6364" s="2" t="s">
        <v>190</v>
      </c>
    </row>
    <row r="6365" spans="1:5" x14ac:dyDescent="0.2">
      <c r="A6365">
        <v>6304</v>
      </c>
      <c r="B6365" s="138">
        <f ca="1">'Revenues 9-14'!C139</f>
        <v>0</v>
      </c>
      <c r="D6365" s="2" t="str">
        <f t="shared" ca="1" si="98"/>
        <v>Error?</v>
      </c>
      <c r="E6365" s="2" t="s">
        <v>190</v>
      </c>
    </row>
    <row r="6366" spans="1:5" x14ac:dyDescent="0.2">
      <c r="A6366">
        <v>6305</v>
      </c>
      <c r="B6366" s="138">
        <f ca="1">'Revenues 9-14'!D139</f>
        <v>0</v>
      </c>
      <c r="D6366" s="2" t="str">
        <f t="shared" ca="1" si="98"/>
        <v>Error?</v>
      </c>
      <c r="E6366" s="2" t="s">
        <v>190</v>
      </c>
    </row>
    <row r="6367" spans="1:5" x14ac:dyDescent="0.2">
      <c r="A6367">
        <v>6306</v>
      </c>
      <c r="B6367" s="138">
        <f ca="1">'Revenues 9-14'!G139</f>
        <v>0</v>
      </c>
      <c r="D6367" s="2" t="str">
        <f t="shared" ca="1" si="98"/>
        <v>Error?</v>
      </c>
      <c r="E6367" s="2" t="s">
        <v>190</v>
      </c>
    </row>
    <row r="6368" spans="1:5" x14ac:dyDescent="0.2">
      <c r="A6368">
        <v>6307</v>
      </c>
      <c r="B6368" s="138">
        <f ca="1">'Revenues 9-14'!E149</f>
        <v>0</v>
      </c>
      <c r="D6368" s="2" t="str">
        <f t="shared" ca="1" si="98"/>
        <v>Error?</v>
      </c>
      <c r="E6368" s="2" t="s">
        <v>190</v>
      </c>
    </row>
    <row r="6369" spans="1:6" x14ac:dyDescent="0.2">
      <c r="A6369">
        <v>6308</v>
      </c>
      <c r="B6369" s="138">
        <f ca="1">'Revenues 9-14'!F149</f>
        <v>0</v>
      </c>
      <c r="D6369" s="2" t="str">
        <f t="shared" ca="1" si="98"/>
        <v>Error?</v>
      </c>
      <c r="E6369" s="2" t="s">
        <v>190</v>
      </c>
    </row>
    <row r="6370" spans="1:6" x14ac:dyDescent="0.2">
      <c r="A6370">
        <v>6309</v>
      </c>
      <c r="B6370" s="138">
        <f ca="1">'Revenues 9-14'!G149</f>
        <v>0</v>
      </c>
      <c r="D6370" s="2" t="str">
        <f t="shared" ca="1" si="98"/>
        <v>Error?</v>
      </c>
      <c r="E6370" s="2" t="s">
        <v>190</v>
      </c>
    </row>
    <row r="6371" spans="1:6" x14ac:dyDescent="0.2">
      <c r="A6371">
        <v>6310</v>
      </c>
      <c r="B6371" s="138">
        <f ca="1">'Revenues 9-14'!H149</f>
        <v>0</v>
      </c>
      <c r="D6371" s="2" t="str">
        <f t="shared" ca="1" si="98"/>
        <v>Error?</v>
      </c>
      <c r="E6371" s="2" t="s">
        <v>190</v>
      </c>
    </row>
    <row r="6372" spans="1:6" x14ac:dyDescent="0.2">
      <c r="A6372">
        <v>6311</v>
      </c>
      <c r="B6372" s="138">
        <f ca="1">'Revenues 9-14'!I149</f>
        <v>0</v>
      </c>
      <c r="D6372" s="2" t="str">
        <f t="shared" ca="1" si="98"/>
        <v>Error?</v>
      </c>
      <c r="E6372" s="2" t="s">
        <v>190</v>
      </c>
    </row>
    <row r="6373" spans="1:6" x14ac:dyDescent="0.2">
      <c r="A6373">
        <v>6312</v>
      </c>
      <c r="B6373" s="138">
        <f ca="1">'Revenues 9-14'!J149</f>
        <v>0</v>
      </c>
      <c r="D6373" s="2" t="str">
        <f t="shared" ca="1" si="98"/>
        <v>Error?</v>
      </c>
      <c r="E6373" s="2" t="s">
        <v>190</v>
      </c>
    </row>
    <row r="6374" spans="1:6" x14ac:dyDescent="0.2">
      <c r="A6374">
        <v>6313</v>
      </c>
      <c r="B6374" s="138">
        <f ca="1">'Revenues 9-14'!K149</f>
        <v>0</v>
      </c>
      <c r="D6374" s="2" t="str">
        <f t="shared" ca="1" si="98"/>
        <v>Error?</v>
      </c>
      <c r="E6374" s="2" t="s">
        <v>190</v>
      </c>
    </row>
    <row r="6375" spans="1:6" x14ac:dyDescent="0.2">
      <c r="A6375">
        <v>6314</v>
      </c>
      <c r="B6375" s="138">
        <f ca="1">'Revenues 9-14'!E150</f>
        <v>0</v>
      </c>
      <c r="D6375" s="2" t="str">
        <f t="shared" ca="1" si="98"/>
        <v>Error?</v>
      </c>
      <c r="E6375" s="2" t="s">
        <v>190</v>
      </c>
    </row>
    <row r="6376" spans="1:6" x14ac:dyDescent="0.2">
      <c r="A6376">
        <v>6315</v>
      </c>
      <c r="B6376" s="138">
        <f ca="1">'Revenues 9-14'!H150</f>
        <v>0</v>
      </c>
      <c r="D6376" s="2" t="str">
        <f t="shared" ca="1" si="98"/>
        <v>Error?</v>
      </c>
      <c r="E6376" s="2" t="s">
        <v>190</v>
      </c>
    </row>
    <row r="6377" spans="1:6" x14ac:dyDescent="0.2">
      <c r="A6377">
        <v>6316</v>
      </c>
      <c r="B6377" s="138">
        <f ca="1">'Revenues 9-14'!I150</f>
        <v>0</v>
      </c>
      <c r="D6377" s="2" t="str">
        <f t="shared" ca="1" si="98"/>
        <v>Error?</v>
      </c>
      <c r="E6377" s="2" t="s">
        <v>190</v>
      </c>
    </row>
    <row r="6378" spans="1:6" x14ac:dyDescent="0.2">
      <c r="A6378">
        <v>6317</v>
      </c>
      <c r="B6378" s="138">
        <f ca="1">'Revenues 9-14'!J150</f>
        <v>0</v>
      </c>
      <c r="D6378" s="2" t="str">
        <f t="shared" ca="1" si="98"/>
        <v>Error?</v>
      </c>
      <c r="E6378" s="2" t="s">
        <v>190</v>
      </c>
    </row>
    <row r="6379" spans="1:6" x14ac:dyDescent="0.2">
      <c r="A6379">
        <v>6318</v>
      </c>
      <c r="B6379" s="138">
        <f ca="1">'Revenues 9-14'!K150</f>
        <v>0</v>
      </c>
      <c r="D6379" s="2" t="str">
        <f t="shared" ca="1" si="98"/>
        <v>Error?</v>
      </c>
      <c r="E6379" s="2" t="s">
        <v>190</v>
      </c>
    </row>
    <row r="6380" spans="1:6" x14ac:dyDescent="0.2">
      <c r="A6380">
        <v>6319</v>
      </c>
      <c r="B6380" s="138">
        <f ca="1">'Revenues 9-14'!G152</f>
        <v>0</v>
      </c>
      <c r="D6380" s="2" t="str">
        <f t="shared" ca="1" si="98"/>
        <v>Error?</v>
      </c>
      <c r="E6380" s="2" t="s">
        <v>190</v>
      </c>
    </row>
    <row r="6381" spans="1:6" x14ac:dyDescent="0.2">
      <c r="A6381">
        <v>6320</v>
      </c>
      <c r="B6381" s="138">
        <f ca="1">'Revenues 9-14'!G153</f>
        <v>0</v>
      </c>
      <c r="D6381" s="2" t="str">
        <f t="shared" ca="1"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 ca="1">'Revenues 9-14'!C163</f>
        <v>0</v>
      </c>
      <c r="D6388" s="2" t="str">
        <f t="shared" ca="1" si="98"/>
        <v>Error?</v>
      </c>
      <c r="E6388" s="2" t="s">
        <v>190</v>
      </c>
    </row>
    <row r="6389" spans="1:6" x14ac:dyDescent="0.2">
      <c r="A6389">
        <v>6328</v>
      </c>
      <c r="B6389" s="138">
        <f ca="1">'Revenues 9-14'!D163</f>
        <v>0</v>
      </c>
      <c r="D6389" s="2" t="str">
        <f t="shared" ca="1" si="98"/>
        <v>Error?</v>
      </c>
      <c r="E6389" s="2" t="s">
        <v>190</v>
      </c>
    </row>
    <row r="6390" spans="1:6" x14ac:dyDescent="0.2">
      <c r="A6390">
        <v>6329</v>
      </c>
      <c r="B6390" s="138">
        <f ca="1">'Revenues 9-14'!E163</f>
        <v>0</v>
      </c>
      <c r="D6390" s="2" t="str">
        <f t="shared" ca="1" si="98"/>
        <v>Error?</v>
      </c>
      <c r="E6390" s="2" t="s">
        <v>190</v>
      </c>
    </row>
    <row r="6391" spans="1:6" x14ac:dyDescent="0.2">
      <c r="A6391">
        <v>6330</v>
      </c>
      <c r="B6391" s="138">
        <f ca="1">'Revenues 9-14'!F163</f>
        <v>0</v>
      </c>
      <c r="D6391" s="2" t="str">
        <f t="shared" ca="1" si="98"/>
        <v>Error?</v>
      </c>
      <c r="E6391" s="2" t="s">
        <v>190</v>
      </c>
    </row>
    <row r="6392" spans="1:6" x14ac:dyDescent="0.2">
      <c r="A6392">
        <v>6331</v>
      </c>
      <c r="B6392" s="138">
        <f ca="1">'Revenues 9-14'!G163</f>
        <v>0</v>
      </c>
      <c r="D6392" s="2" t="str">
        <f t="shared" ca="1" si="98"/>
        <v>Error?</v>
      </c>
      <c r="E6392" s="2" t="s">
        <v>190</v>
      </c>
    </row>
    <row r="6393" spans="1:6" x14ac:dyDescent="0.2">
      <c r="A6393">
        <v>6332</v>
      </c>
      <c r="B6393" s="138">
        <f ca="1">'Revenues 9-14'!H163</f>
        <v>0</v>
      </c>
      <c r="D6393" s="2" t="str">
        <f t="shared" ca="1" si="98"/>
        <v>Error?</v>
      </c>
      <c r="E6393" s="2" t="s">
        <v>190</v>
      </c>
    </row>
    <row r="6394" spans="1:6" x14ac:dyDescent="0.2">
      <c r="A6394">
        <v>6333</v>
      </c>
      <c r="B6394" s="138">
        <f ca="1">'Revenues 9-14'!K163</f>
        <v>0</v>
      </c>
      <c r="D6394" s="2" t="str">
        <f t="shared" ca="1" si="98"/>
        <v>Error?</v>
      </c>
      <c r="E6394" s="2" t="s">
        <v>190</v>
      </c>
    </row>
    <row r="6395" spans="1:6" x14ac:dyDescent="0.2">
      <c r="A6395">
        <v>6334</v>
      </c>
      <c r="B6395" s="138">
        <f ca="1">'Revenues 9-14'!J168</f>
        <v>0</v>
      </c>
      <c r="D6395" s="2" t="str">
        <f t="shared" ca="1" si="98"/>
        <v>Error?</v>
      </c>
      <c r="E6395" s="2" t="s">
        <v>190</v>
      </c>
    </row>
    <row r="6396" spans="1:6" x14ac:dyDescent="0.2">
      <c r="A6396">
        <v>6335</v>
      </c>
      <c r="B6396" s="138">
        <f ca="1">'Revenues 9-14'!J169</f>
        <v>0</v>
      </c>
      <c r="D6396" s="2" t="str">
        <f t="shared" ca="1" si="98"/>
        <v>Error?</v>
      </c>
      <c r="E6396" s="2" t="s">
        <v>190</v>
      </c>
    </row>
    <row r="6397" spans="1:6" x14ac:dyDescent="0.2">
      <c r="A6397">
        <v>6336</v>
      </c>
      <c r="B6397" s="138">
        <f ca="1">'Revenues 9-14'!J170</f>
        <v>0</v>
      </c>
      <c r="D6397" s="2" t="str">
        <f t="shared" ca="1" si="98"/>
        <v>Error?</v>
      </c>
      <c r="E6397" s="2" t="s">
        <v>190</v>
      </c>
    </row>
    <row r="6398" spans="1:6" x14ac:dyDescent="0.2">
      <c r="A6398">
        <v>6337</v>
      </c>
      <c r="B6398" s="138">
        <f ca="1">'Revenues 9-14'!J173</f>
        <v>0</v>
      </c>
      <c r="D6398" s="2" t="str">
        <f t="shared" ca="1" si="98"/>
        <v>Error?</v>
      </c>
      <c r="E6398" s="2" t="s">
        <v>190</v>
      </c>
    </row>
    <row r="6399" spans="1:6" x14ac:dyDescent="0.2">
      <c r="A6399">
        <v>6338</v>
      </c>
      <c r="B6399" s="138">
        <f ca="1">'Revenues 9-14'!J174</f>
        <v>0</v>
      </c>
      <c r="D6399" s="2" t="str">
        <f t="shared" ref="D6399:D6462" ca="1" si="99">IF(ISBLANK(B6399),"OK",IF(A6399-B6399=0,"OK","Error?"))</f>
        <v>Error?</v>
      </c>
      <c r="E6399" s="2" t="s">
        <v>190</v>
      </c>
    </row>
    <row r="6400" spans="1:6" x14ac:dyDescent="0.2">
      <c r="A6400">
        <v>6339</v>
      </c>
      <c r="B6400" s="138">
        <f ca="1">'Revenues 9-14'!J175</f>
        <v>0</v>
      </c>
      <c r="D6400" s="2" t="str">
        <f t="shared" ca="1" si="99"/>
        <v>Error?</v>
      </c>
      <c r="E6400" s="2" t="s">
        <v>190</v>
      </c>
    </row>
    <row r="6401" spans="1:6" x14ac:dyDescent="0.2">
      <c r="A6401">
        <v>6340</v>
      </c>
      <c r="B6401" s="138">
        <f ca="1">'Revenues 9-14'!C190</f>
        <v>0</v>
      </c>
      <c r="D6401" s="2" t="str">
        <f t="shared" ca="1" si="99"/>
        <v>Error?</v>
      </c>
      <c r="E6401" s="2" t="s">
        <v>190</v>
      </c>
    </row>
    <row r="6402" spans="1:6" x14ac:dyDescent="0.2">
      <c r="A6402">
        <v>6341</v>
      </c>
      <c r="B6402" s="138">
        <f ca="1">'Revenues 9-14'!G190</f>
        <v>0</v>
      </c>
      <c r="D6402" s="2" t="str">
        <f t="shared" ca="1" si="99"/>
        <v>Error?</v>
      </c>
      <c r="E6402" s="2" t="s">
        <v>190</v>
      </c>
    </row>
    <row r="6403" spans="1:6" x14ac:dyDescent="0.2">
      <c r="A6403">
        <v>6342</v>
      </c>
      <c r="B6403" s="138">
        <f ca="1">'Revenues 9-14'!G191</f>
        <v>0</v>
      </c>
      <c r="D6403" s="2" t="str">
        <f t="shared" ca="1" si="99"/>
        <v>Error?</v>
      </c>
      <c r="E6403" s="2" t="s">
        <v>190</v>
      </c>
    </row>
    <row r="6404" spans="1:6" x14ac:dyDescent="0.2">
      <c r="A6404">
        <v>6343</v>
      </c>
      <c r="B6404" s="138">
        <f ca="1">'Revenues 9-14'!G192</f>
        <v>0</v>
      </c>
      <c r="D6404" s="2" t="str">
        <f t="shared" ca="1" si="99"/>
        <v>Error?</v>
      </c>
      <c r="E6404" s="2" t="s">
        <v>190</v>
      </c>
    </row>
    <row r="6405" spans="1:6" x14ac:dyDescent="0.2">
      <c r="A6405">
        <v>6344</v>
      </c>
      <c r="B6405" s="138">
        <f ca="1">'Revenues 9-14'!G193</f>
        <v>0</v>
      </c>
      <c r="D6405" s="2" t="str">
        <f t="shared" ca="1" si="99"/>
        <v>Error?</v>
      </c>
      <c r="E6405" s="2" t="s">
        <v>190</v>
      </c>
    </row>
    <row r="6406" spans="1:6" x14ac:dyDescent="0.2">
      <c r="A6406">
        <v>6345</v>
      </c>
      <c r="B6406" s="138">
        <f ca="1">'Revenues 9-14'!G194</f>
        <v>0</v>
      </c>
      <c r="D6406" s="2" t="str">
        <f t="shared" ca="1" si="99"/>
        <v>Error?</v>
      </c>
      <c r="E6406" s="2" t="s">
        <v>190</v>
      </c>
    </row>
    <row r="6407" spans="1:6" x14ac:dyDescent="0.2">
      <c r="A6407">
        <v>6346</v>
      </c>
      <c r="B6407" s="138">
        <f ca="1">'Revenues 9-14'!G195</f>
        <v>0</v>
      </c>
      <c r="D6407" s="2" t="str">
        <f t="shared" ca="1" si="99"/>
        <v>Error?</v>
      </c>
      <c r="E6407" s="2" t="s">
        <v>190</v>
      </c>
    </row>
    <row r="6408" spans="1:6" x14ac:dyDescent="0.2">
      <c r="A6408">
        <v>6347</v>
      </c>
      <c r="B6408" s="138">
        <f ca="1">'Revenues 9-14'!G197</f>
        <v>0</v>
      </c>
      <c r="D6408" s="2" t="str">
        <f t="shared" ca="1" si="99"/>
        <v>Error?</v>
      </c>
      <c r="E6408" s="2" t="s">
        <v>190</v>
      </c>
    </row>
    <row r="6409" spans="1:6" x14ac:dyDescent="0.2">
      <c r="A6409">
        <v>6348</v>
      </c>
      <c r="B6409" s="138">
        <f ca="1">'Revenues 9-14'!G198</f>
        <v>0</v>
      </c>
      <c r="D6409" s="2" t="str">
        <f t="shared" ca="1"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 ca="1">'Revenues 9-14'!C223</f>
        <v>0</v>
      </c>
      <c r="D6614" s="2" t="str">
        <f t="shared" ca="1" si="102"/>
        <v>Error?</v>
      </c>
      <c r="E6614" s="2" t="s">
        <v>190</v>
      </c>
    </row>
    <row r="6615" spans="1:5" x14ac:dyDescent="0.2">
      <c r="A6615">
        <v>6554</v>
      </c>
      <c r="B6615" s="138">
        <f ca="1">'Revenues 9-14'!D223</f>
        <v>0</v>
      </c>
      <c r="D6615" s="2" t="str">
        <f t="shared" ca="1" si="102"/>
        <v>Error?</v>
      </c>
      <c r="E6615" s="2" t="s">
        <v>190</v>
      </c>
    </row>
    <row r="6616" spans="1:5" x14ac:dyDescent="0.2">
      <c r="A6616">
        <v>6555</v>
      </c>
      <c r="B6616" s="138">
        <f ca="1">'Revenues 9-14'!E223</f>
        <v>0</v>
      </c>
      <c r="D6616" s="2" t="str">
        <f t="shared" ca="1" si="102"/>
        <v>Error?</v>
      </c>
      <c r="E6616" s="2" t="s">
        <v>190</v>
      </c>
    </row>
    <row r="6617" spans="1:5" x14ac:dyDescent="0.2">
      <c r="A6617">
        <v>6556</v>
      </c>
      <c r="B6617" s="138">
        <f ca="1">'Revenues 9-14'!F223</f>
        <v>0</v>
      </c>
      <c r="D6617" s="2" t="str">
        <f t="shared" ca="1" si="102"/>
        <v>Error?</v>
      </c>
      <c r="E6617" s="2" t="s">
        <v>190</v>
      </c>
    </row>
    <row r="6618" spans="1:5" x14ac:dyDescent="0.2">
      <c r="A6618">
        <v>6557</v>
      </c>
      <c r="B6618" s="138">
        <f ca="1">'Revenues 9-14'!G223</f>
        <v>0</v>
      </c>
      <c r="D6618" s="2" t="str">
        <f t="shared" ca="1" si="102"/>
        <v>Error?</v>
      </c>
      <c r="E6618" s="2" t="s">
        <v>190</v>
      </c>
    </row>
    <row r="6619" spans="1:5" x14ac:dyDescent="0.2">
      <c r="A6619">
        <v>6558</v>
      </c>
      <c r="B6619" s="138">
        <f ca="1">'Revenues 9-14'!H223</f>
        <v>0</v>
      </c>
      <c r="D6619" s="2" t="str">
        <f t="shared" ca="1" si="102"/>
        <v>Error?</v>
      </c>
      <c r="E6619" s="2" t="s">
        <v>190</v>
      </c>
    </row>
    <row r="6620" spans="1:5" x14ac:dyDescent="0.2">
      <c r="A6620">
        <v>6559</v>
      </c>
      <c r="B6620" s="138">
        <f ca="1">'Revenues 9-14'!J223</f>
        <v>0</v>
      </c>
      <c r="D6620" s="2" t="str">
        <f t="shared" ca="1" si="102"/>
        <v>Error?</v>
      </c>
      <c r="E6620" s="2" t="s">
        <v>190</v>
      </c>
    </row>
    <row r="6621" spans="1:5" x14ac:dyDescent="0.2">
      <c r="A6621">
        <v>6560</v>
      </c>
      <c r="B6621" s="138">
        <f ca="1">'Revenues 9-14'!K223</f>
        <v>0</v>
      </c>
      <c r="D6621" s="2" t="str">
        <f t="shared" ca="1" si="102"/>
        <v>Error?</v>
      </c>
      <c r="E6621" s="2" t="s">
        <v>190</v>
      </c>
    </row>
    <row r="6622" spans="1:5" x14ac:dyDescent="0.2">
      <c r="A6622">
        <v>6561</v>
      </c>
      <c r="B6622" s="138">
        <f ca="1">'Revenues 9-14'!C224</f>
        <v>0</v>
      </c>
      <c r="D6622" s="2" t="str">
        <f t="shared" ca="1" si="102"/>
        <v>Error?</v>
      </c>
      <c r="E6622" s="2" t="s">
        <v>190</v>
      </c>
    </row>
    <row r="6623" spans="1:5" x14ac:dyDescent="0.2">
      <c r="A6623">
        <v>6562</v>
      </c>
      <c r="B6623" s="138">
        <f ca="1">'Revenues 9-14'!D224</f>
        <v>0</v>
      </c>
      <c r="D6623" s="2" t="str">
        <f t="shared" ca="1" si="102"/>
        <v>Error?</v>
      </c>
      <c r="E6623" s="2" t="s">
        <v>190</v>
      </c>
    </row>
    <row r="6624" spans="1:5" x14ac:dyDescent="0.2">
      <c r="A6624">
        <v>6563</v>
      </c>
      <c r="B6624" s="138">
        <f ca="1">'Revenues 9-14'!F224</f>
        <v>0</v>
      </c>
      <c r="D6624" s="2" t="str">
        <f t="shared" ca="1" si="102"/>
        <v>Error?</v>
      </c>
      <c r="E6624" s="2" t="s">
        <v>190</v>
      </c>
    </row>
    <row r="6625" spans="1:5" x14ac:dyDescent="0.2">
      <c r="A6625">
        <v>6564</v>
      </c>
      <c r="B6625" s="138">
        <f ca="1">'Revenues 9-14'!G224</f>
        <v>0</v>
      </c>
      <c r="D6625" s="2" t="str">
        <f t="shared" ca="1" si="102"/>
        <v>Error?</v>
      </c>
      <c r="E6625" s="2" t="s">
        <v>190</v>
      </c>
    </row>
    <row r="6626" spans="1:5" x14ac:dyDescent="0.2">
      <c r="A6626">
        <v>6565</v>
      </c>
      <c r="B6626" s="138">
        <f ca="1">'Revenues 9-14'!C225</f>
        <v>0</v>
      </c>
      <c r="D6626" s="2" t="str">
        <f t="shared" ca="1" si="102"/>
        <v>Error?</v>
      </c>
      <c r="E6626" s="2" t="s">
        <v>190</v>
      </c>
    </row>
    <row r="6627" spans="1:5" x14ac:dyDescent="0.2">
      <c r="A6627">
        <v>6566</v>
      </c>
      <c r="B6627" s="138">
        <f ca="1">'Revenues 9-14'!D225</f>
        <v>0</v>
      </c>
      <c r="D6627" s="2" t="str">
        <f t="shared" ca="1" si="102"/>
        <v>Error?</v>
      </c>
      <c r="E6627" s="2" t="s">
        <v>190</v>
      </c>
    </row>
    <row r="6628" spans="1:5" x14ac:dyDescent="0.2">
      <c r="A6628">
        <v>6567</v>
      </c>
      <c r="B6628" s="138">
        <f ca="1">'Revenues 9-14'!E225</f>
        <v>0</v>
      </c>
      <c r="D6628" s="2" t="str">
        <f t="shared" ca="1" si="102"/>
        <v>Error?</v>
      </c>
      <c r="E6628" s="2" t="s">
        <v>190</v>
      </c>
    </row>
    <row r="6629" spans="1:5" x14ac:dyDescent="0.2">
      <c r="A6629">
        <v>6568</v>
      </c>
      <c r="B6629" s="138">
        <f ca="1">'Revenues 9-14'!F225</f>
        <v>0</v>
      </c>
      <c r="D6629" s="2" t="str">
        <f t="shared" ca="1" si="102"/>
        <v>Error?</v>
      </c>
      <c r="E6629" s="2" t="s">
        <v>190</v>
      </c>
    </row>
    <row r="6630" spans="1:5" x14ac:dyDescent="0.2">
      <c r="A6630">
        <v>6569</v>
      </c>
      <c r="B6630" s="138">
        <f ca="1">'Revenues 9-14'!G225</f>
        <v>0</v>
      </c>
      <c r="D6630" s="2" t="str">
        <f t="shared" ca="1" si="102"/>
        <v>Error?</v>
      </c>
      <c r="E6630" s="2" t="s">
        <v>190</v>
      </c>
    </row>
    <row r="6631" spans="1:5" x14ac:dyDescent="0.2">
      <c r="A6631">
        <v>6570</v>
      </c>
      <c r="B6631" s="138">
        <f ca="1">'Revenues 9-14'!H225</f>
        <v>0</v>
      </c>
      <c r="D6631" s="2" t="str">
        <f t="shared" ca="1" si="102"/>
        <v>Error?</v>
      </c>
      <c r="E6631" s="2" t="s">
        <v>190</v>
      </c>
    </row>
    <row r="6632" spans="1:5" x14ac:dyDescent="0.2">
      <c r="A6632">
        <v>6571</v>
      </c>
      <c r="B6632" s="138">
        <f ca="1">'Revenues 9-14'!J225</f>
        <v>0</v>
      </c>
      <c r="D6632" s="2" t="str">
        <f t="shared" ca="1" si="102"/>
        <v>Error?</v>
      </c>
      <c r="E6632" s="2" t="s">
        <v>190</v>
      </c>
    </row>
    <row r="6633" spans="1:5" x14ac:dyDescent="0.2">
      <c r="A6633">
        <v>6572</v>
      </c>
      <c r="B6633" s="138">
        <f ca="1">'Revenues 9-14'!K225</f>
        <v>0</v>
      </c>
      <c r="D6633" s="2" t="str">
        <f t="shared" ca="1" si="102"/>
        <v>Error?</v>
      </c>
      <c r="E6633" s="2" t="s">
        <v>190</v>
      </c>
    </row>
    <row r="6634" spans="1:5" x14ac:dyDescent="0.2">
      <c r="A6634">
        <v>6573</v>
      </c>
      <c r="B6634" s="138">
        <f ca="1">'Revenues 9-14'!C226</f>
        <v>0</v>
      </c>
      <c r="D6634" s="2" t="str">
        <f t="shared" ca="1" si="102"/>
        <v>Error?</v>
      </c>
      <c r="E6634" s="2" t="s">
        <v>190</v>
      </c>
    </row>
    <row r="6635" spans="1:5" x14ac:dyDescent="0.2">
      <c r="A6635">
        <v>6574</v>
      </c>
      <c r="B6635" s="138">
        <f ca="1">'Revenues 9-14'!D226</f>
        <v>0</v>
      </c>
      <c r="D6635" s="2" t="str">
        <f t="shared" ca="1" si="102"/>
        <v>Error?</v>
      </c>
      <c r="E6635" s="2" t="s">
        <v>190</v>
      </c>
    </row>
    <row r="6636" spans="1:5" x14ac:dyDescent="0.2">
      <c r="A6636">
        <v>6575</v>
      </c>
      <c r="B6636" s="138">
        <f ca="1">'Revenues 9-14'!E226</f>
        <v>0</v>
      </c>
      <c r="D6636" s="2" t="str">
        <f t="shared" ca="1" si="102"/>
        <v>Error?</v>
      </c>
      <c r="E6636" s="2" t="s">
        <v>190</v>
      </c>
    </row>
    <row r="6637" spans="1:5" x14ac:dyDescent="0.2">
      <c r="A6637">
        <v>6576</v>
      </c>
      <c r="B6637" s="138">
        <f ca="1">'Revenues 9-14'!F226</f>
        <v>0</v>
      </c>
      <c r="D6637" s="2" t="str">
        <f t="shared" ca="1" si="102"/>
        <v>Error?</v>
      </c>
      <c r="E6637" s="2" t="s">
        <v>190</v>
      </c>
    </row>
    <row r="6638" spans="1:5" x14ac:dyDescent="0.2">
      <c r="A6638">
        <v>6577</v>
      </c>
      <c r="B6638" s="138">
        <f ca="1">'Revenues 9-14'!G226</f>
        <v>0</v>
      </c>
      <c r="D6638" s="2" t="str">
        <f t="shared" ca="1" si="102"/>
        <v>Error?</v>
      </c>
      <c r="E6638" s="2" t="s">
        <v>190</v>
      </c>
    </row>
    <row r="6639" spans="1:5" x14ac:dyDescent="0.2">
      <c r="A6639">
        <v>6578</v>
      </c>
      <c r="B6639" s="138">
        <f ca="1">'Revenues 9-14'!H226</f>
        <v>0</v>
      </c>
      <c r="D6639" s="2" t="str">
        <f t="shared" ca="1" si="102"/>
        <v>Error?</v>
      </c>
      <c r="E6639" s="2" t="s">
        <v>190</v>
      </c>
    </row>
    <row r="6640" spans="1:5" x14ac:dyDescent="0.2">
      <c r="A6640">
        <v>6579</v>
      </c>
      <c r="B6640" s="138">
        <f ca="1">'Revenues 9-14'!J226</f>
        <v>0</v>
      </c>
      <c r="D6640" s="2" t="str">
        <f t="shared" ca="1" si="102"/>
        <v>Error?</v>
      </c>
      <c r="E6640" s="2" t="s">
        <v>190</v>
      </c>
    </row>
    <row r="6641" spans="1:5" x14ac:dyDescent="0.2">
      <c r="A6641">
        <v>6580</v>
      </c>
      <c r="B6641" s="138">
        <f ca="1">'Revenues 9-14'!K226</f>
        <v>0</v>
      </c>
      <c r="D6641" s="2" t="str">
        <f t="shared" ca="1" si="102"/>
        <v>Error?</v>
      </c>
      <c r="E6641" s="2" t="s">
        <v>190</v>
      </c>
    </row>
    <row r="6642" spans="1:5" x14ac:dyDescent="0.2">
      <c r="A6642">
        <v>6581</v>
      </c>
      <c r="B6642" s="138">
        <f ca="1">'Revenues 9-14'!C227</f>
        <v>0</v>
      </c>
      <c r="D6642" s="2" t="str">
        <f t="shared" ca="1" si="102"/>
        <v>Error?</v>
      </c>
      <c r="E6642" s="2" t="s">
        <v>190</v>
      </c>
    </row>
    <row r="6643" spans="1:5" x14ac:dyDescent="0.2">
      <c r="A6643">
        <v>6582</v>
      </c>
      <c r="B6643" s="138">
        <f ca="1">'Revenues 9-14'!D227</f>
        <v>0</v>
      </c>
      <c r="D6643" s="2" t="str">
        <f t="shared" ca="1" si="102"/>
        <v>Error?</v>
      </c>
      <c r="E6643" s="2" t="s">
        <v>190</v>
      </c>
    </row>
    <row r="6644" spans="1:5" x14ac:dyDescent="0.2">
      <c r="A6644">
        <v>6583</v>
      </c>
      <c r="B6644" s="138">
        <f ca="1">'Revenues 9-14'!E227</f>
        <v>0</v>
      </c>
      <c r="D6644" s="2" t="str">
        <f t="shared" ca="1" si="102"/>
        <v>Error?</v>
      </c>
      <c r="E6644" s="2" t="s">
        <v>190</v>
      </c>
    </row>
    <row r="6645" spans="1:5" x14ac:dyDescent="0.2">
      <c r="A6645">
        <v>6584</v>
      </c>
      <c r="B6645" s="138">
        <f ca="1">'Revenues 9-14'!F227</f>
        <v>0</v>
      </c>
      <c r="D6645" s="2" t="str">
        <f t="shared" ca="1" si="102"/>
        <v>Error?</v>
      </c>
      <c r="E6645" s="2" t="s">
        <v>190</v>
      </c>
    </row>
    <row r="6646" spans="1:5" x14ac:dyDescent="0.2">
      <c r="A6646">
        <v>6585</v>
      </c>
      <c r="B6646" s="138">
        <f ca="1">'Revenues 9-14'!G227</f>
        <v>0</v>
      </c>
      <c r="D6646" s="2" t="str">
        <f t="shared" ca="1" si="102"/>
        <v>Error?</v>
      </c>
      <c r="E6646" s="2" t="s">
        <v>190</v>
      </c>
    </row>
    <row r="6647" spans="1:5" x14ac:dyDescent="0.2">
      <c r="A6647">
        <v>6586</v>
      </c>
      <c r="B6647" s="138">
        <f ca="1">'Revenues 9-14'!H227</f>
        <v>0</v>
      </c>
      <c r="D6647" s="2" t="str">
        <f t="shared" ca="1" si="102"/>
        <v>Error?</v>
      </c>
      <c r="E6647" s="2" t="s">
        <v>190</v>
      </c>
    </row>
    <row r="6648" spans="1:5" x14ac:dyDescent="0.2">
      <c r="A6648">
        <v>6587</v>
      </c>
      <c r="B6648" s="138">
        <f ca="1">'Revenues 9-14'!J227</f>
        <v>0</v>
      </c>
      <c r="D6648" s="2" t="str">
        <f t="shared" ca="1" si="102"/>
        <v>Error?</v>
      </c>
      <c r="E6648" s="2" t="s">
        <v>190</v>
      </c>
    </row>
    <row r="6649" spans="1:5" x14ac:dyDescent="0.2">
      <c r="A6649">
        <v>6588</v>
      </c>
      <c r="B6649" s="138">
        <f ca="1">'Revenues 9-14'!K227</f>
        <v>0</v>
      </c>
      <c r="D6649" s="2" t="str">
        <f t="shared" ca="1" si="102"/>
        <v>Error?</v>
      </c>
      <c r="E6649" s="2" t="s">
        <v>190</v>
      </c>
    </row>
    <row r="6650" spans="1:5" x14ac:dyDescent="0.2">
      <c r="A6650">
        <v>6589</v>
      </c>
      <c r="B6650" s="138">
        <f ca="1">'Revenues 9-14'!C228</f>
        <v>0</v>
      </c>
      <c r="D6650" s="2" t="str">
        <f t="shared" ca="1" si="102"/>
        <v>Error?</v>
      </c>
      <c r="E6650" s="2" t="s">
        <v>190</v>
      </c>
    </row>
    <row r="6651" spans="1:5" x14ac:dyDescent="0.2">
      <c r="A6651">
        <v>6590</v>
      </c>
      <c r="B6651" s="138">
        <f ca="1">'Revenues 9-14'!D228</f>
        <v>0</v>
      </c>
      <c r="D6651" s="2" t="str">
        <f t="shared" ca="1" si="102"/>
        <v>Error?</v>
      </c>
      <c r="E6651" s="2" t="s">
        <v>190</v>
      </c>
    </row>
    <row r="6652" spans="1:5" x14ac:dyDescent="0.2">
      <c r="A6652">
        <v>6591</v>
      </c>
      <c r="B6652" s="138">
        <f ca="1">'Revenues 9-14'!E228</f>
        <v>0</v>
      </c>
      <c r="D6652" s="2" t="str">
        <f t="shared" ca="1" si="102"/>
        <v>Error?</v>
      </c>
      <c r="E6652" s="2" t="s">
        <v>190</v>
      </c>
    </row>
    <row r="6653" spans="1:5" x14ac:dyDescent="0.2">
      <c r="A6653">
        <v>6592</v>
      </c>
      <c r="B6653" s="138">
        <f ca="1">'Revenues 9-14'!F228</f>
        <v>0</v>
      </c>
      <c r="D6653" s="2" t="str">
        <f t="shared" ca="1" si="102"/>
        <v>Error?</v>
      </c>
      <c r="E6653" s="2" t="s">
        <v>190</v>
      </c>
    </row>
    <row r="6654" spans="1:5" x14ac:dyDescent="0.2">
      <c r="A6654">
        <v>6593</v>
      </c>
      <c r="B6654" s="138">
        <f ca="1">'Revenues 9-14'!G228</f>
        <v>0</v>
      </c>
      <c r="D6654" s="2" t="str">
        <f t="shared" ca="1" si="102"/>
        <v>Error?</v>
      </c>
      <c r="E6654" s="2" t="s">
        <v>190</v>
      </c>
    </row>
    <row r="6655" spans="1:5" x14ac:dyDescent="0.2">
      <c r="A6655">
        <v>6594</v>
      </c>
      <c r="B6655" s="138">
        <f ca="1">'Revenues 9-14'!H228</f>
        <v>0</v>
      </c>
      <c r="D6655" s="2" t="str">
        <f t="shared" ref="D6655:D6718" ca="1" si="103">IF(ISBLANK(B6655),"OK",IF(A6655-B6655=0,"OK","Error?"))</f>
        <v>Error?</v>
      </c>
      <c r="E6655" s="2" t="s">
        <v>190</v>
      </c>
    </row>
    <row r="6656" spans="1:5" x14ac:dyDescent="0.2">
      <c r="A6656">
        <v>6595</v>
      </c>
      <c r="B6656" s="138">
        <f ca="1">'Revenues 9-14'!J228</f>
        <v>0</v>
      </c>
      <c r="D6656" s="2" t="str">
        <f t="shared" ca="1" si="103"/>
        <v>Error?</v>
      </c>
      <c r="E6656" s="2" t="s">
        <v>190</v>
      </c>
    </row>
    <row r="6657" spans="1:5" x14ac:dyDescent="0.2">
      <c r="A6657">
        <v>6596</v>
      </c>
      <c r="B6657" s="138">
        <f ca="1">'Revenues 9-14'!K228</f>
        <v>0</v>
      </c>
      <c r="D6657" s="2" t="str">
        <f t="shared" ca="1" si="103"/>
        <v>Error?</v>
      </c>
      <c r="E6657" s="2" t="s">
        <v>190</v>
      </c>
    </row>
    <row r="6658" spans="1:5" x14ac:dyDescent="0.2">
      <c r="A6658">
        <v>6597</v>
      </c>
      <c r="B6658" s="138">
        <f ca="1">'Revenues 9-14'!C229</f>
        <v>0</v>
      </c>
      <c r="D6658" s="2" t="str">
        <f t="shared" ca="1" si="103"/>
        <v>Error?</v>
      </c>
      <c r="E6658" s="2" t="s">
        <v>190</v>
      </c>
    </row>
    <row r="6659" spans="1:5" x14ac:dyDescent="0.2">
      <c r="A6659">
        <v>6598</v>
      </c>
      <c r="B6659" s="138">
        <f ca="1">'Revenues 9-14'!D229</f>
        <v>0</v>
      </c>
      <c r="D6659" s="2" t="str">
        <f t="shared" ca="1" si="103"/>
        <v>Error?</v>
      </c>
      <c r="E6659" s="2" t="s">
        <v>190</v>
      </c>
    </row>
    <row r="6660" spans="1:5" x14ac:dyDescent="0.2">
      <c r="A6660">
        <v>6599</v>
      </c>
      <c r="B6660" s="138">
        <f ca="1">'Revenues 9-14'!E229</f>
        <v>0</v>
      </c>
      <c r="D6660" s="2" t="str">
        <f t="shared" ca="1" si="103"/>
        <v>Error?</v>
      </c>
      <c r="E6660" s="2" t="s">
        <v>190</v>
      </c>
    </row>
    <row r="6661" spans="1:5" x14ac:dyDescent="0.2">
      <c r="A6661">
        <v>6600</v>
      </c>
      <c r="B6661" s="138">
        <f ca="1">'Revenues 9-14'!F229</f>
        <v>0</v>
      </c>
      <c r="D6661" s="2" t="str">
        <f t="shared" ca="1" si="103"/>
        <v>Error?</v>
      </c>
      <c r="E6661" s="2" t="s">
        <v>190</v>
      </c>
    </row>
    <row r="6662" spans="1:5" x14ac:dyDescent="0.2">
      <c r="A6662">
        <v>6601</v>
      </c>
      <c r="B6662" s="138">
        <f ca="1">'Revenues 9-14'!G229</f>
        <v>0</v>
      </c>
      <c r="D6662" s="2" t="str">
        <f t="shared" ca="1" si="103"/>
        <v>Error?</v>
      </c>
      <c r="E6662" s="2" t="s">
        <v>190</v>
      </c>
    </row>
    <row r="6663" spans="1:5" x14ac:dyDescent="0.2">
      <c r="A6663">
        <v>6602</v>
      </c>
      <c r="B6663" s="138">
        <f ca="1">'Revenues 9-14'!H229</f>
        <v>0</v>
      </c>
      <c r="D6663" s="2" t="str">
        <f t="shared" ca="1" si="103"/>
        <v>Error?</v>
      </c>
      <c r="E6663" s="2" t="s">
        <v>190</v>
      </c>
    </row>
    <row r="6664" spans="1:5" x14ac:dyDescent="0.2">
      <c r="A6664">
        <v>6603</v>
      </c>
      <c r="B6664" s="138">
        <f ca="1">'Revenues 9-14'!J229</f>
        <v>0</v>
      </c>
      <c r="D6664" s="2" t="str">
        <f t="shared" ca="1" si="103"/>
        <v>Error?</v>
      </c>
      <c r="E6664" s="2" t="s">
        <v>190</v>
      </c>
    </row>
    <row r="6665" spans="1:5" x14ac:dyDescent="0.2">
      <c r="A6665">
        <v>6604</v>
      </c>
      <c r="B6665" s="138">
        <f ca="1">'Revenues 9-14'!K229</f>
        <v>0</v>
      </c>
      <c r="D6665" s="2" t="str">
        <f t="shared" ca="1" si="103"/>
        <v>Error?</v>
      </c>
      <c r="E6665" s="2" t="s">
        <v>190</v>
      </c>
    </row>
    <row r="6666" spans="1:5" x14ac:dyDescent="0.2">
      <c r="A6666">
        <v>6605</v>
      </c>
      <c r="B6666" s="138">
        <f ca="1">'Revenues 9-14'!C230</f>
        <v>0</v>
      </c>
      <c r="D6666" s="2" t="str">
        <f t="shared" ca="1" si="103"/>
        <v>Error?</v>
      </c>
      <c r="E6666" s="2" t="s">
        <v>190</v>
      </c>
    </row>
    <row r="6667" spans="1:5" x14ac:dyDescent="0.2">
      <c r="A6667">
        <v>6606</v>
      </c>
      <c r="B6667" s="138">
        <f ca="1">'Revenues 9-14'!D230</f>
        <v>0</v>
      </c>
      <c r="D6667" s="2" t="str">
        <f t="shared" ca="1" si="103"/>
        <v>Error?</v>
      </c>
      <c r="E6667" s="2" t="s">
        <v>190</v>
      </c>
    </row>
    <row r="6668" spans="1:5" x14ac:dyDescent="0.2">
      <c r="A6668">
        <v>6607</v>
      </c>
      <c r="B6668" s="138">
        <f ca="1">'Revenues 9-14'!E230</f>
        <v>0</v>
      </c>
      <c r="D6668" s="2" t="str">
        <f t="shared" ca="1" si="103"/>
        <v>Error?</v>
      </c>
      <c r="E6668" s="2" t="s">
        <v>190</v>
      </c>
    </row>
    <row r="6669" spans="1:5" x14ac:dyDescent="0.2">
      <c r="A6669">
        <v>6608</v>
      </c>
      <c r="B6669" s="138">
        <f ca="1">'Revenues 9-14'!F230</f>
        <v>0</v>
      </c>
      <c r="D6669" s="2" t="str">
        <f t="shared" ca="1" si="103"/>
        <v>Error?</v>
      </c>
      <c r="E6669" s="2" t="s">
        <v>190</v>
      </c>
    </row>
    <row r="6670" spans="1:5" x14ac:dyDescent="0.2">
      <c r="A6670">
        <v>6609</v>
      </c>
      <c r="B6670" s="138">
        <f ca="1">'Revenues 9-14'!G230</f>
        <v>0</v>
      </c>
      <c r="D6670" s="2" t="str">
        <f t="shared" ca="1" si="103"/>
        <v>Error?</v>
      </c>
      <c r="E6670" s="2" t="s">
        <v>190</v>
      </c>
    </row>
    <row r="6671" spans="1:5" x14ac:dyDescent="0.2">
      <c r="A6671">
        <v>6610</v>
      </c>
      <c r="B6671" s="138">
        <f ca="1">'Revenues 9-14'!H230</f>
        <v>0</v>
      </c>
      <c r="D6671" s="2" t="str">
        <f t="shared" ca="1" si="103"/>
        <v>Error?</v>
      </c>
      <c r="E6671" s="2" t="s">
        <v>190</v>
      </c>
    </row>
    <row r="6672" spans="1:5" x14ac:dyDescent="0.2">
      <c r="A6672">
        <v>6611</v>
      </c>
      <c r="B6672" s="138">
        <f ca="1">'Revenues 9-14'!J230</f>
        <v>0</v>
      </c>
      <c r="D6672" s="2" t="str">
        <f t="shared" ca="1" si="103"/>
        <v>Error?</v>
      </c>
      <c r="E6672" s="2" t="s">
        <v>190</v>
      </c>
    </row>
    <row r="6673" spans="1:5" x14ac:dyDescent="0.2">
      <c r="A6673">
        <v>6612</v>
      </c>
      <c r="B6673" s="138">
        <f ca="1">'Revenues 9-14'!K230</f>
        <v>0</v>
      </c>
      <c r="D6673" s="2" t="str">
        <f t="shared" ca="1" si="103"/>
        <v>Error?</v>
      </c>
      <c r="E6673" s="2" t="s">
        <v>190</v>
      </c>
    </row>
    <row r="6674" spans="1:5" x14ac:dyDescent="0.2">
      <c r="A6674">
        <v>6613</v>
      </c>
      <c r="B6674" s="138">
        <f ca="1">'Revenues 9-14'!C231</f>
        <v>0</v>
      </c>
      <c r="D6674" s="2" t="str">
        <f t="shared" ca="1" si="103"/>
        <v>Error?</v>
      </c>
      <c r="E6674" s="2" t="s">
        <v>190</v>
      </c>
    </row>
    <row r="6675" spans="1:5" x14ac:dyDescent="0.2">
      <c r="A6675">
        <v>6614</v>
      </c>
      <c r="B6675" s="138">
        <f ca="1">'Revenues 9-14'!D231</f>
        <v>0</v>
      </c>
      <c r="D6675" s="2" t="str">
        <f t="shared" ca="1" si="103"/>
        <v>Error?</v>
      </c>
      <c r="E6675" s="2" t="s">
        <v>190</v>
      </c>
    </row>
    <row r="6676" spans="1:5" x14ac:dyDescent="0.2">
      <c r="A6676">
        <v>6615</v>
      </c>
      <c r="B6676" s="138">
        <f ca="1">'Revenues 9-14'!E231</f>
        <v>0</v>
      </c>
      <c r="D6676" s="2" t="str">
        <f t="shared" ca="1" si="103"/>
        <v>Error?</v>
      </c>
      <c r="E6676" s="2" t="s">
        <v>190</v>
      </c>
    </row>
    <row r="6677" spans="1:5" x14ac:dyDescent="0.2">
      <c r="A6677">
        <v>6616</v>
      </c>
      <c r="B6677" s="138">
        <f ca="1">'Revenues 9-14'!F231</f>
        <v>0</v>
      </c>
      <c r="D6677" s="2" t="str">
        <f t="shared" ca="1" si="103"/>
        <v>Error?</v>
      </c>
      <c r="E6677" s="2" t="s">
        <v>190</v>
      </c>
    </row>
    <row r="6678" spans="1:5" x14ac:dyDescent="0.2">
      <c r="A6678">
        <v>6617</v>
      </c>
      <c r="B6678" s="138">
        <f ca="1">'Revenues 9-14'!G231</f>
        <v>0</v>
      </c>
      <c r="D6678" s="2" t="str">
        <f t="shared" ca="1" si="103"/>
        <v>Error?</v>
      </c>
      <c r="E6678" s="2" t="s">
        <v>190</v>
      </c>
    </row>
    <row r="6679" spans="1:5" x14ac:dyDescent="0.2">
      <c r="A6679">
        <v>6618</v>
      </c>
      <c r="B6679" s="138">
        <f ca="1">'Revenues 9-14'!H231</f>
        <v>0</v>
      </c>
      <c r="D6679" s="2" t="str">
        <f t="shared" ca="1" si="103"/>
        <v>Error?</v>
      </c>
      <c r="E6679" s="2" t="s">
        <v>190</v>
      </c>
    </row>
    <row r="6680" spans="1:5" x14ac:dyDescent="0.2">
      <c r="A6680">
        <v>6619</v>
      </c>
      <c r="B6680" s="138">
        <f ca="1">'Revenues 9-14'!J231</f>
        <v>0</v>
      </c>
      <c r="D6680" s="2" t="str">
        <f t="shared" ca="1" si="103"/>
        <v>Error?</v>
      </c>
      <c r="E6680" s="2" t="s">
        <v>190</v>
      </c>
    </row>
    <row r="6681" spans="1:5" x14ac:dyDescent="0.2">
      <c r="A6681">
        <v>6620</v>
      </c>
      <c r="B6681" s="138">
        <f ca="1">'Revenues 9-14'!K231</f>
        <v>0</v>
      </c>
      <c r="D6681" s="2" t="str">
        <f t="shared" ca="1" si="103"/>
        <v>Error?</v>
      </c>
      <c r="E6681" s="2" t="s">
        <v>190</v>
      </c>
    </row>
    <row r="6682" spans="1:5" x14ac:dyDescent="0.2">
      <c r="A6682">
        <v>6621</v>
      </c>
      <c r="B6682" s="138">
        <f ca="1">'Revenues 9-14'!C232</f>
        <v>0</v>
      </c>
      <c r="D6682" s="2" t="str">
        <f t="shared" ca="1" si="103"/>
        <v>Error?</v>
      </c>
      <c r="E6682" s="2" t="s">
        <v>190</v>
      </c>
    </row>
    <row r="6683" spans="1:5" x14ac:dyDescent="0.2">
      <c r="A6683">
        <v>6622</v>
      </c>
      <c r="B6683" s="138">
        <f ca="1">'Revenues 9-14'!D232</f>
        <v>0</v>
      </c>
      <c r="D6683" s="2" t="str">
        <f t="shared" ca="1" si="103"/>
        <v>Error?</v>
      </c>
      <c r="E6683" s="2" t="s">
        <v>190</v>
      </c>
    </row>
    <row r="6684" spans="1:5" x14ac:dyDescent="0.2">
      <c r="A6684">
        <v>6623</v>
      </c>
      <c r="B6684" s="138">
        <f ca="1">'Revenues 9-14'!E232</f>
        <v>0</v>
      </c>
      <c r="D6684" s="2" t="str">
        <f t="shared" ca="1" si="103"/>
        <v>Error?</v>
      </c>
      <c r="E6684" s="2" t="s">
        <v>190</v>
      </c>
    </row>
    <row r="6685" spans="1:5" x14ac:dyDescent="0.2">
      <c r="A6685">
        <v>6624</v>
      </c>
      <c r="B6685" s="138">
        <f ca="1">'Revenues 9-14'!F232</f>
        <v>0</v>
      </c>
      <c r="D6685" s="2" t="str">
        <f t="shared" ca="1" si="103"/>
        <v>Error?</v>
      </c>
      <c r="E6685" s="2" t="s">
        <v>190</v>
      </c>
    </row>
    <row r="6686" spans="1:5" x14ac:dyDescent="0.2">
      <c r="A6686">
        <v>6625</v>
      </c>
      <c r="B6686" s="138">
        <f ca="1">'Revenues 9-14'!G232</f>
        <v>0</v>
      </c>
      <c r="D6686" s="2" t="str">
        <f t="shared" ca="1" si="103"/>
        <v>Error?</v>
      </c>
      <c r="E6686" s="2" t="s">
        <v>190</v>
      </c>
    </row>
    <row r="6687" spans="1:5" x14ac:dyDescent="0.2">
      <c r="A6687">
        <v>6626</v>
      </c>
      <c r="B6687" s="138">
        <f ca="1">'Revenues 9-14'!H232</f>
        <v>0</v>
      </c>
      <c r="D6687" s="2" t="str">
        <f t="shared" ca="1" si="103"/>
        <v>Error?</v>
      </c>
      <c r="E6687" s="2" t="s">
        <v>190</v>
      </c>
    </row>
    <row r="6688" spans="1:5" x14ac:dyDescent="0.2">
      <c r="A6688">
        <v>6627</v>
      </c>
      <c r="B6688" s="138">
        <f ca="1">'Revenues 9-14'!J232</f>
        <v>0</v>
      </c>
      <c r="D6688" s="2" t="str">
        <f t="shared" ca="1" si="103"/>
        <v>Error?</v>
      </c>
      <c r="E6688" s="2" t="s">
        <v>190</v>
      </c>
    </row>
    <row r="6689" spans="1:5" x14ac:dyDescent="0.2">
      <c r="A6689">
        <v>6628</v>
      </c>
      <c r="B6689" s="138">
        <f ca="1">'Revenues 9-14'!K232</f>
        <v>0</v>
      </c>
      <c r="D6689" s="2" t="str">
        <f t="shared" ca="1" si="103"/>
        <v>Error?</v>
      </c>
      <c r="E6689" s="2" t="s">
        <v>190</v>
      </c>
    </row>
    <row r="6690" spans="1:5" x14ac:dyDescent="0.2">
      <c r="A6690">
        <v>6629</v>
      </c>
      <c r="B6690" s="138">
        <f ca="1">'Revenues 9-14'!C233</f>
        <v>0</v>
      </c>
      <c r="D6690" s="2" t="str">
        <f t="shared" ca="1" si="103"/>
        <v>Error?</v>
      </c>
      <c r="E6690" s="2" t="s">
        <v>190</v>
      </c>
    </row>
    <row r="6691" spans="1:5" x14ac:dyDescent="0.2">
      <c r="A6691">
        <v>6630</v>
      </c>
      <c r="B6691" s="138">
        <f ca="1">'Revenues 9-14'!D233</f>
        <v>0</v>
      </c>
      <c r="D6691" s="2" t="str">
        <f t="shared" ca="1" si="103"/>
        <v>Error?</v>
      </c>
      <c r="E6691" s="2" t="s">
        <v>190</v>
      </c>
    </row>
    <row r="6692" spans="1:5" x14ac:dyDescent="0.2">
      <c r="A6692">
        <v>6631</v>
      </c>
      <c r="B6692" s="138">
        <f ca="1">'Revenues 9-14'!F233</f>
        <v>0</v>
      </c>
      <c r="D6692" s="2" t="str">
        <f t="shared" ca="1" si="103"/>
        <v>Error?</v>
      </c>
      <c r="E6692" s="2" t="s">
        <v>190</v>
      </c>
    </row>
    <row r="6693" spans="1:5" x14ac:dyDescent="0.2">
      <c r="A6693">
        <v>6632</v>
      </c>
      <c r="B6693" s="138">
        <f ca="1">'Revenues 9-14'!G233</f>
        <v>0</v>
      </c>
      <c r="D6693" s="2" t="str">
        <f t="shared" ca="1" si="103"/>
        <v>Error?</v>
      </c>
      <c r="E6693" s="2" t="s">
        <v>190</v>
      </c>
    </row>
    <row r="6694" spans="1:5" x14ac:dyDescent="0.2">
      <c r="A6694">
        <v>6633</v>
      </c>
      <c r="B6694" s="138">
        <f ca="1">'Revenues 9-14'!C234</f>
        <v>0</v>
      </c>
      <c r="D6694" s="2" t="str">
        <f t="shared" ca="1" si="103"/>
        <v>Error?</v>
      </c>
      <c r="E6694" s="2" t="s">
        <v>190</v>
      </c>
    </row>
    <row r="6695" spans="1:5" x14ac:dyDescent="0.2">
      <c r="A6695">
        <v>6634</v>
      </c>
      <c r="B6695" s="138">
        <f ca="1">'Revenues 9-14'!D234</f>
        <v>0</v>
      </c>
      <c r="D6695" s="2" t="str">
        <f t="shared" ca="1" si="103"/>
        <v>Error?</v>
      </c>
      <c r="E6695" s="2" t="s">
        <v>190</v>
      </c>
    </row>
    <row r="6696" spans="1:5" x14ac:dyDescent="0.2">
      <c r="A6696">
        <v>6635</v>
      </c>
      <c r="B6696" s="138">
        <f ca="1">'Revenues 9-14'!C235</f>
        <v>0</v>
      </c>
      <c r="D6696" s="2" t="str">
        <f t="shared" ca="1" si="103"/>
        <v>Error?</v>
      </c>
      <c r="E6696" s="2" t="s">
        <v>190</v>
      </c>
    </row>
    <row r="6697" spans="1:5" x14ac:dyDescent="0.2">
      <c r="A6697">
        <v>6636</v>
      </c>
      <c r="B6697" s="138">
        <f ca="1">'Revenues 9-14'!D235</f>
        <v>0</v>
      </c>
      <c r="D6697" s="2" t="str">
        <f t="shared" ca="1" si="103"/>
        <v>Error?</v>
      </c>
      <c r="E6697" s="2" t="s">
        <v>190</v>
      </c>
    </row>
    <row r="6698" spans="1:5" x14ac:dyDescent="0.2">
      <c r="A6698">
        <v>6637</v>
      </c>
      <c r="B6698" s="138">
        <f ca="1">'Revenues 9-14'!E235</f>
        <v>0</v>
      </c>
      <c r="D6698" s="2" t="str">
        <f t="shared" ca="1" si="103"/>
        <v>Error?</v>
      </c>
      <c r="E6698" s="2" t="s">
        <v>190</v>
      </c>
    </row>
    <row r="6699" spans="1:5" x14ac:dyDescent="0.2">
      <c r="A6699">
        <v>6638</v>
      </c>
      <c r="B6699" s="138">
        <f ca="1">'Revenues 9-14'!F235</f>
        <v>0</v>
      </c>
      <c r="D6699" s="2" t="str">
        <f t="shared" ca="1" si="103"/>
        <v>Error?</v>
      </c>
      <c r="E6699" s="2" t="s">
        <v>190</v>
      </c>
    </row>
    <row r="6700" spans="1:5" x14ac:dyDescent="0.2">
      <c r="A6700">
        <v>6639</v>
      </c>
      <c r="B6700" s="138">
        <f ca="1">'Revenues 9-14'!G235</f>
        <v>0</v>
      </c>
      <c r="D6700" s="2" t="str">
        <f t="shared" ca="1" si="103"/>
        <v>Error?</v>
      </c>
      <c r="E6700" s="2" t="s">
        <v>190</v>
      </c>
    </row>
    <row r="6701" spans="1:5" x14ac:dyDescent="0.2">
      <c r="A6701">
        <v>6640</v>
      </c>
      <c r="B6701" s="138">
        <f ca="1">'Revenues 9-14'!H235</f>
        <v>0</v>
      </c>
      <c r="D6701" s="2" t="str">
        <f t="shared" ca="1" si="103"/>
        <v>Error?</v>
      </c>
      <c r="E6701" s="2" t="s">
        <v>190</v>
      </c>
    </row>
    <row r="6702" spans="1:5" x14ac:dyDescent="0.2">
      <c r="A6702">
        <v>6641</v>
      </c>
      <c r="B6702" s="138">
        <f ca="1">'Revenues 9-14'!J235</f>
        <v>0</v>
      </c>
      <c r="D6702" s="2" t="str">
        <f t="shared" ca="1" si="103"/>
        <v>Error?</v>
      </c>
      <c r="E6702" s="2" t="s">
        <v>190</v>
      </c>
    </row>
    <row r="6703" spans="1:5" x14ac:dyDescent="0.2">
      <c r="A6703">
        <v>6642</v>
      </c>
      <c r="B6703" s="138">
        <f ca="1">'Revenues 9-14'!K235</f>
        <v>0</v>
      </c>
      <c r="D6703" s="2" t="str">
        <f t="shared" ca="1" si="103"/>
        <v>Error?</v>
      </c>
      <c r="E6703" s="2" t="s">
        <v>190</v>
      </c>
    </row>
    <row r="6704" spans="1:5" x14ac:dyDescent="0.2">
      <c r="A6704">
        <v>6643</v>
      </c>
      <c r="B6704" s="138">
        <f ca="1">'Revenues 9-14'!C236</f>
        <v>0</v>
      </c>
      <c r="D6704" s="2" t="str">
        <f t="shared" ca="1" si="103"/>
        <v>Error?</v>
      </c>
      <c r="E6704" s="2" t="s">
        <v>190</v>
      </c>
    </row>
    <row r="6705" spans="1:5" x14ac:dyDescent="0.2">
      <c r="A6705">
        <v>6644</v>
      </c>
      <c r="B6705" s="138">
        <f ca="1">'Revenues 9-14'!D236</f>
        <v>0</v>
      </c>
      <c r="D6705" s="2" t="str">
        <f t="shared" ca="1" si="103"/>
        <v>Error?</v>
      </c>
      <c r="E6705" s="2" t="s">
        <v>190</v>
      </c>
    </row>
    <row r="6706" spans="1:5" x14ac:dyDescent="0.2">
      <c r="A6706">
        <v>6645</v>
      </c>
      <c r="B6706" s="138">
        <f ca="1">'Revenues 9-14'!E236</f>
        <v>0</v>
      </c>
      <c r="D6706" s="2" t="str">
        <f t="shared" ca="1" si="103"/>
        <v>Error?</v>
      </c>
      <c r="E6706" s="2" t="s">
        <v>190</v>
      </c>
    </row>
    <row r="6707" spans="1:5" x14ac:dyDescent="0.2">
      <c r="A6707">
        <v>6646</v>
      </c>
      <c r="B6707" s="138">
        <f ca="1">'Revenues 9-14'!F236</f>
        <v>0</v>
      </c>
      <c r="D6707" s="2" t="str">
        <f t="shared" ca="1" si="103"/>
        <v>Error?</v>
      </c>
      <c r="E6707" s="2" t="s">
        <v>190</v>
      </c>
    </row>
    <row r="6708" spans="1:5" x14ac:dyDescent="0.2">
      <c r="A6708">
        <v>6647</v>
      </c>
      <c r="B6708" s="138">
        <f ca="1">'Revenues 9-14'!G236</f>
        <v>0</v>
      </c>
      <c r="D6708" s="2" t="str">
        <f t="shared" ca="1" si="103"/>
        <v>Error?</v>
      </c>
      <c r="E6708" s="2" t="s">
        <v>190</v>
      </c>
    </row>
    <row r="6709" spans="1:5" x14ac:dyDescent="0.2">
      <c r="A6709">
        <v>6648</v>
      </c>
      <c r="B6709" s="138">
        <f ca="1">'Revenues 9-14'!H236</f>
        <v>0</v>
      </c>
      <c r="D6709" s="2" t="str">
        <f t="shared" ca="1" si="103"/>
        <v>Error?</v>
      </c>
      <c r="E6709" s="2" t="s">
        <v>190</v>
      </c>
    </row>
    <row r="6710" spans="1:5" x14ac:dyDescent="0.2">
      <c r="A6710">
        <v>6649</v>
      </c>
      <c r="B6710" s="138">
        <f ca="1">'Revenues 9-14'!J236</f>
        <v>0</v>
      </c>
      <c r="D6710" s="2" t="str">
        <f t="shared" ca="1" si="103"/>
        <v>Error?</v>
      </c>
      <c r="E6710" s="2" t="s">
        <v>190</v>
      </c>
    </row>
    <row r="6711" spans="1:5" x14ac:dyDescent="0.2">
      <c r="A6711">
        <v>6650</v>
      </c>
      <c r="B6711" s="138">
        <f ca="1">'Revenues 9-14'!K236</f>
        <v>0</v>
      </c>
      <c r="D6711" s="2" t="str">
        <f t="shared" ca="1" si="103"/>
        <v>Error?</v>
      </c>
      <c r="E6711" s="2" t="s">
        <v>190</v>
      </c>
    </row>
    <row r="6712" spans="1:5" x14ac:dyDescent="0.2">
      <c r="A6712">
        <v>6651</v>
      </c>
      <c r="B6712" s="138">
        <f ca="1">'Revenues 9-14'!C237</f>
        <v>0</v>
      </c>
      <c r="D6712" s="2" t="str">
        <f t="shared" ca="1" si="103"/>
        <v>Error?</v>
      </c>
      <c r="E6712" s="2" t="s">
        <v>190</v>
      </c>
    </row>
    <row r="6713" spans="1:5" x14ac:dyDescent="0.2">
      <c r="A6713">
        <v>6652</v>
      </c>
      <c r="B6713" s="138">
        <f ca="1">'Revenues 9-14'!D237</f>
        <v>0</v>
      </c>
      <c r="D6713" s="2" t="str">
        <f t="shared" ca="1" si="103"/>
        <v>Error?</v>
      </c>
      <c r="E6713" s="2" t="s">
        <v>190</v>
      </c>
    </row>
    <row r="6714" spans="1:5" x14ac:dyDescent="0.2">
      <c r="A6714">
        <v>6653</v>
      </c>
      <c r="B6714" s="138">
        <f ca="1">'Revenues 9-14'!E237</f>
        <v>0</v>
      </c>
      <c r="D6714" s="2" t="str">
        <f t="shared" ca="1" si="103"/>
        <v>Error?</v>
      </c>
      <c r="E6714" s="2" t="s">
        <v>190</v>
      </c>
    </row>
    <row r="6715" spans="1:5" x14ac:dyDescent="0.2">
      <c r="A6715">
        <v>6654</v>
      </c>
      <c r="B6715" s="138">
        <f ca="1">'Revenues 9-14'!F237</f>
        <v>0</v>
      </c>
      <c r="D6715" s="2" t="str">
        <f t="shared" ca="1" si="103"/>
        <v>Error?</v>
      </c>
      <c r="E6715" s="2" t="s">
        <v>190</v>
      </c>
    </row>
    <row r="6716" spans="1:5" x14ac:dyDescent="0.2">
      <c r="A6716">
        <v>6655</v>
      </c>
      <c r="B6716" s="138">
        <f ca="1">'Revenues 9-14'!G237</f>
        <v>0</v>
      </c>
      <c r="D6716" s="2" t="str">
        <f t="shared" ca="1" si="103"/>
        <v>Error?</v>
      </c>
      <c r="E6716" s="2" t="s">
        <v>190</v>
      </c>
    </row>
    <row r="6717" spans="1:5" x14ac:dyDescent="0.2">
      <c r="A6717">
        <v>6656</v>
      </c>
      <c r="B6717" s="138">
        <f ca="1">'Revenues 9-14'!H237</f>
        <v>0</v>
      </c>
      <c r="D6717" s="2" t="str">
        <f t="shared" ca="1" si="103"/>
        <v>Error?</v>
      </c>
      <c r="E6717" s="2" t="s">
        <v>190</v>
      </c>
    </row>
    <row r="6718" spans="1:5" x14ac:dyDescent="0.2">
      <c r="A6718">
        <v>6657</v>
      </c>
      <c r="B6718" s="138">
        <f ca="1">'Revenues 9-14'!J237</f>
        <v>0</v>
      </c>
      <c r="D6718" s="2" t="str">
        <f t="shared" ca="1" si="103"/>
        <v>Error?</v>
      </c>
      <c r="E6718" s="2" t="s">
        <v>190</v>
      </c>
    </row>
    <row r="6719" spans="1:5" x14ac:dyDescent="0.2">
      <c r="A6719">
        <v>6658</v>
      </c>
      <c r="B6719" s="138">
        <f ca="1">'Revenues 9-14'!K237</f>
        <v>0</v>
      </c>
      <c r="D6719" s="2" t="str">
        <f t="shared" ref="D6719:D6782" ca="1" si="104">IF(ISBLANK(B6719),"OK",IF(A6719-B6719=0,"OK","Error?"))</f>
        <v>Error?</v>
      </c>
      <c r="E6719" s="2" t="s">
        <v>190</v>
      </c>
    </row>
    <row r="6720" spans="1:5" x14ac:dyDescent="0.2">
      <c r="A6720">
        <v>6659</v>
      </c>
      <c r="B6720" s="138">
        <f ca="1">'Revenues 9-14'!C238</f>
        <v>0</v>
      </c>
      <c r="D6720" s="2" t="str">
        <f t="shared" ca="1" si="104"/>
        <v>Error?</v>
      </c>
      <c r="E6720" s="2" t="s">
        <v>190</v>
      </c>
    </row>
    <row r="6721" spans="1:5" x14ac:dyDescent="0.2">
      <c r="A6721">
        <v>6660</v>
      </c>
      <c r="B6721" s="138">
        <f ca="1">'Revenues 9-14'!D238</f>
        <v>0</v>
      </c>
      <c r="D6721" s="2" t="str">
        <f t="shared" ca="1" si="104"/>
        <v>Error?</v>
      </c>
      <c r="E6721" s="2" t="s">
        <v>190</v>
      </c>
    </row>
    <row r="6722" spans="1:5" x14ac:dyDescent="0.2">
      <c r="A6722">
        <v>6661</v>
      </c>
      <c r="B6722" s="138">
        <f ca="1">'Revenues 9-14'!E238</f>
        <v>0</v>
      </c>
      <c r="D6722" s="2" t="str">
        <f t="shared" ca="1" si="104"/>
        <v>Error?</v>
      </c>
      <c r="E6722" s="2" t="s">
        <v>190</v>
      </c>
    </row>
    <row r="6723" spans="1:5" x14ac:dyDescent="0.2">
      <c r="A6723">
        <v>6662</v>
      </c>
      <c r="B6723" s="138">
        <f ca="1">'Revenues 9-14'!F238</f>
        <v>0</v>
      </c>
      <c r="D6723" s="2" t="str">
        <f t="shared" ca="1" si="104"/>
        <v>Error?</v>
      </c>
      <c r="E6723" s="2" t="s">
        <v>190</v>
      </c>
    </row>
    <row r="6724" spans="1:5" x14ac:dyDescent="0.2">
      <c r="A6724">
        <v>6663</v>
      </c>
      <c r="B6724" s="138">
        <f ca="1">'Revenues 9-14'!G238</f>
        <v>0</v>
      </c>
      <c r="D6724" s="2" t="str">
        <f t="shared" ca="1" si="104"/>
        <v>Error?</v>
      </c>
      <c r="E6724" s="2" t="s">
        <v>190</v>
      </c>
    </row>
    <row r="6725" spans="1:5" x14ac:dyDescent="0.2">
      <c r="A6725">
        <v>6664</v>
      </c>
      <c r="B6725" s="138">
        <f ca="1">'Revenues 9-14'!H238</f>
        <v>0</v>
      </c>
      <c r="D6725" s="2" t="str">
        <f t="shared" ca="1" si="104"/>
        <v>Error?</v>
      </c>
      <c r="E6725" s="2" t="s">
        <v>190</v>
      </c>
    </row>
    <row r="6726" spans="1:5" x14ac:dyDescent="0.2">
      <c r="A6726">
        <v>6665</v>
      </c>
      <c r="B6726" s="138">
        <f ca="1">'Revenues 9-14'!J238</f>
        <v>0</v>
      </c>
      <c r="D6726" s="2" t="str">
        <f t="shared" ca="1" si="104"/>
        <v>Error?</v>
      </c>
      <c r="E6726" s="2" t="s">
        <v>190</v>
      </c>
    </row>
    <row r="6727" spans="1:5" x14ac:dyDescent="0.2">
      <c r="A6727" s="8">
        <v>6666</v>
      </c>
      <c r="B6727" s="138">
        <f ca="1">'Expenditures 15-22'!C7</f>
        <v>0</v>
      </c>
      <c r="D6727" s="2" t="str">
        <f t="shared" ca="1" si="104"/>
        <v>Error?</v>
      </c>
      <c r="E6727" s="2" t="s">
        <v>191</v>
      </c>
    </row>
    <row r="6728" spans="1:5" x14ac:dyDescent="0.2">
      <c r="A6728">
        <v>6667</v>
      </c>
      <c r="B6728" s="138">
        <f ca="1">'Revenues 9-14'!K238</f>
        <v>0</v>
      </c>
      <c r="D6728" s="2" t="str">
        <f t="shared" ca="1" si="104"/>
        <v>Error?</v>
      </c>
      <c r="E6728" s="2" t="s">
        <v>190</v>
      </c>
    </row>
    <row r="6729" spans="1:5" x14ac:dyDescent="0.2">
      <c r="A6729">
        <v>6668</v>
      </c>
      <c r="B6729" s="138">
        <f ca="1">'Revenues 9-14'!C239</f>
        <v>0</v>
      </c>
      <c r="D6729" s="2" t="str">
        <f t="shared" ca="1" si="104"/>
        <v>Error?</v>
      </c>
      <c r="E6729" s="2" t="s">
        <v>190</v>
      </c>
    </row>
    <row r="6730" spans="1:5" x14ac:dyDescent="0.2">
      <c r="A6730">
        <v>6669</v>
      </c>
      <c r="B6730" s="138">
        <f ca="1">'Revenues 9-14'!D239</f>
        <v>0</v>
      </c>
      <c r="D6730" s="2" t="str">
        <f t="shared" ca="1" si="104"/>
        <v>Error?</v>
      </c>
      <c r="E6730" s="2" t="s">
        <v>190</v>
      </c>
    </row>
    <row r="6731" spans="1:5" x14ac:dyDescent="0.2">
      <c r="A6731">
        <v>6670</v>
      </c>
      <c r="B6731" s="138">
        <f ca="1">'Revenues 9-14'!E239</f>
        <v>0</v>
      </c>
      <c r="D6731" s="2" t="str">
        <f t="shared" ca="1" si="104"/>
        <v>Error?</v>
      </c>
      <c r="E6731" s="2" t="s">
        <v>190</v>
      </c>
    </row>
    <row r="6732" spans="1:5" x14ac:dyDescent="0.2">
      <c r="A6732">
        <v>6671</v>
      </c>
      <c r="B6732" s="138">
        <f ca="1">'Revenues 9-14'!F239</f>
        <v>0</v>
      </c>
      <c r="D6732" s="2" t="str">
        <f t="shared" ca="1" si="104"/>
        <v>Error?</v>
      </c>
      <c r="E6732" s="2" t="s">
        <v>190</v>
      </c>
    </row>
    <row r="6733" spans="1:5" x14ac:dyDescent="0.2">
      <c r="A6733">
        <v>6672</v>
      </c>
      <c r="B6733" s="138">
        <f ca="1">'Revenues 9-14'!G239</f>
        <v>0</v>
      </c>
      <c r="D6733" s="2" t="str">
        <f t="shared" ca="1" si="104"/>
        <v>Error?</v>
      </c>
      <c r="E6733" s="2" t="s">
        <v>190</v>
      </c>
    </row>
    <row r="6734" spans="1:5" x14ac:dyDescent="0.2">
      <c r="A6734">
        <v>6673</v>
      </c>
      <c r="B6734" s="138">
        <f ca="1">'Revenues 9-14'!H239</f>
        <v>0</v>
      </c>
      <c r="D6734" s="2" t="str">
        <f t="shared" ca="1" si="104"/>
        <v>Error?</v>
      </c>
      <c r="E6734" s="2" t="s">
        <v>190</v>
      </c>
    </row>
    <row r="6735" spans="1:5" x14ac:dyDescent="0.2">
      <c r="A6735">
        <v>6674</v>
      </c>
      <c r="B6735" s="138">
        <f ca="1">'Revenues 9-14'!J239</f>
        <v>0</v>
      </c>
      <c r="D6735" s="2" t="str">
        <f t="shared" ca="1" si="104"/>
        <v>Error?</v>
      </c>
      <c r="E6735" s="2" t="s">
        <v>190</v>
      </c>
    </row>
    <row r="6736" spans="1:5" x14ac:dyDescent="0.2">
      <c r="A6736">
        <v>6675</v>
      </c>
      <c r="B6736" s="138">
        <f ca="1">'Revenues 9-14'!K239</f>
        <v>0</v>
      </c>
      <c r="D6736" s="2" t="str">
        <f t="shared" ca="1" si="104"/>
        <v>Error?</v>
      </c>
      <c r="E6736" s="2" t="s">
        <v>190</v>
      </c>
    </row>
    <row r="6737" spans="1:5" x14ac:dyDescent="0.2">
      <c r="A6737">
        <v>6676</v>
      </c>
      <c r="B6737" s="138">
        <f ca="1">'Revenues 9-14'!C240</f>
        <v>0</v>
      </c>
      <c r="D6737" s="2" t="str">
        <f t="shared" ca="1" si="104"/>
        <v>Error?</v>
      </c>
      <c r="E6737" s="2" t="s">
        <v>190</v>
      </c>
    </row>
    <row r="6738" spans="1:5" x14ac:dyDescent="0.2">
      <c r="A6738">
        <v>6677</v>
      </c>
      <c r="B6738" s="138">
        <f ca="1">'Revenues 9-14'!D240</f>
        <v>0</v>
      </c>
      <c r="D6738" s="2" t="str">
        <f t="shared" ca="1" si="104"/>
        <v>Error?</v>
      </c>
      <c r="E6738" s="2" t="s">
        <v>190</v>
      </c>
    </row>
    <row r="6739" spans="1:5" x14ac:dyDescent="0.2">
      <c r="A6739">
        <v>6678</v>
      </c>
      <c r="B6739" s="138">
        <f ca="1">'Revenues 9-14'!E240</f>
        <v>0</v>
      </c>
      <c r="D6739" s="2" t="str">
        <f t="shared" ca="1" si="104"/>
        <v>Error?</v>
      </c>
      <c r="E6739" s="2" t="s">
        <v>190</v>
      </c>
    </row>
    <row r="6740" spans="1:5" x14ac:dyDescent="0.2">
      <c r="A6740">
        <v>6679</v>
      </c>
      <c r="B6740" s="138">
        <f ca="1">'Revenues 9-14'!F240</f>
        <v>0</v>
      </c>
      <c r="D6740" s="2" t="str">
        <f t="shared" ca="1" si="104"/>
        <v>Error?</v>
      </c>
      <c r="E6740" s="2" t="s">
        <v>190</v>
      </c>
    </row>
    <row r="6741" spans="1:5" x14ac:dyDescent="0.2">
      <c r="A6741">
        <v>6680</v>
      </c>
      <c r="B6741" s="138">
        <f ca="1">'Revenues 9-14'!G240</f>
        <v>0</v>
      </c>
      <c r="D6741" s="2" t="str">
        <f t="shared" ca="1" si="104"/>
        <v>Error?</v>
      </c>
      <c r="E6741" s="2" t="s">
        <v>190</v>
      </c>
    </row>
    <row r="6742" spans="1:5" x14ac:dyDescent="0.2">
      <c r="A6742">
        <v>6681</v>
      </c>
      <c r="B6742" s="138">
        <f ca="1">'Revenues 9-14'!H240</f>
        <v>0</v>
      </c>
      <c r="D6742" s="2" t="str">
        <f t="shared" ca="1" si="104"/>
        <v>Error?</v>
      </c>
      <c r="E6742" s="2" t="s">
        <v>190</v>
      </c>
    </row>
    <row r="6743" spans="1:5" x14ac:dyDescent="0.2">
      <c r="A6743">
        <v>6682</v>
      </c>
      <c r="B6743" s="138">
        <f ca="1">'Revenues 9-14'!J240</f>
        <v>0</v>
      </c>
      <c r="D6743" s="2" t="str">
        <f t="shared" ca="1" si="104"/>
        <v>Error?</v>
      </c>
      <c r="E6743" s="2" t="s">
        <v>190</v>
      </c>
    </row>
    <row r="6744" spans="1:5" x14ac:dyDescent="0.2">
      <c r="A6744">
        <v>6683</v>
      </c>
      <c r="B6744" s="138">
        <f ca="1">'Revenues 9-14'!K240</f>
        <v>0</v>
      </c>
      <c r="D6744" s="2" t="str">
        <f t="shared" ca="1" si="104"/>
        <v>Error?</v>
      </c>
      <c r="E6744" s="2" t="s">
        <v>190</v>
      </c>
    </row>
    <row r="6745" spans="1:5" x14ac:dyDescent="0.2">
      <c r="A6745">
        <v>6684</v>
      </c>
      <c r="B6745" s="138">
        <f ca="1">'Revenues 9-14'!C241</f>
        <v>0</v>
      </c>
      <c r="D6745" s="2" t="str">
        <f t="shared" ca="1" si="104"/>
        <v>Error?</v>
      </c>
      <c r="E6745" s="2" t="s">
        <v>190</v>
      </c>
    </row>
    <row r="6746" spans="1:5" x14ac:dyDescent="0.2">
      <c r="A6746">
        <v>6685</v>
      </c>
      <c r="B6746" s="138">
        <f ca="1">'Revenues 9-14'!D241</f>
        <v>0</v>
      </c>
      <c r="D6746" s="2" t="str">
        <f t="shared" ca="1" si="104"/>
        <v>Error?</v>
      </c>
      <c r="E6746" s="2" t="s">
        <v>190</v>
      </c>
    </row>
    <row r="6747" spans="1:5" x14ac:dyDescent="0.2">
      <c r="A6747">
        <v>6686</v>
      </c>
      <c r="B6747" s="138">
        <f ca="1">'Revenues 9-14'!E241</f>
        <v>0</v>
      </c>
      <c r="D6747" s="2" t="str">
        <f t="shared" ca="1" si="104"/>
        <v>Error?</v>
      </c>
      <c r="E6747" s="2" t="s">
        <v>190</v>
      </c>
    </row>
    <row r="6748" spans="1:5" x14ac:dyDescent="0.2">
      <c r="A6748">
        <v>6687</v>
      </c>
      <c r="B6748" s="138">
        <f ca="1">'Revenues 9-14'!F241</f>
        <v>0</v>
      </c>
      <c r="D6748" s="2" t="str">
        <f t="shared" ca="1" si="104"/>
        <v>Error?</v>
      </c>
      <c r="E6748" s="2" t="s">
        <v>190</v>
      </c>
    </row>
    <row r="6749" spans="1:5" x14ac:dyDescent="0.2">
      <c r="A6749">
        <v>6688</v>
      </c>
      <c r="B6749" s="138">
        <f ca="1">'Revenues 9-14'!G241</f>
        <v>0</v>
      </c>
      <c r="D6749" s="2" t="str">
        <f t="shared" ca="1" si="104"/>
        <v>Error?</v>
      </c>
      <c r="E6749" s="2" t="s">
        <v>190</v>
      </c>
    </row>
    <row r="6750" spans="1:5" x14ac:dyDescent="0.2">
      <c r="A6750">
        <v>6689</v>
      </c>
      <c r="B6750" s="138">
        <f ca="1">'Revenues 9-14'!H241</f>
        <v>0</v>
      </c>
      <c r="D6750" s="2" t="str">
        <f t="shared" ca="1" si="104"/>
        <v>Error?</v>
      </c>
      <c r="E6750" s="2" t="s">
        <v>190</v>
      </c>
    </row>
    <row r="6751" spans="1:5" x14ac:dyDescent="0.2">
      <c r="A6751">
        <v>6690</v>
      </c>
      <c r="B6751" s="138">
        <f ca="1">'Revenues 9-14'!J241</f>
        <v>0</v>
      </c>
      <c r="D6751" s="2" t="str">
        <f t="shared" ca="1" si="104"/>
        <v>Error?</v>
      </c>
      <c r="E6751" s="2" t="s">
        <v>190</v>
      </c>
    </row>
    <row r="6752" spans="1:5" x14ac:dyDescent="0.2">
      <c r="A6752">
        <v>6691</v>
      </c>
      <c r="B6752" s="138">
        <f ca="1">'Revenues 9-14'!K241</f>
        <v>0</v>
      </c>
      <c r="D6752" s="2" t="str">
        <f t="shared" ca="1" si="104"/>
        <v>Error?</v>
      </c>
      <c r="E6752" s="2" t="s">
        <v>190</v>
      </c>
    </row>
    <row r="6753" spans="1:5" x14ac:dyDescent="0.2">
      <c r="A6753">
        <v>6692</v>
      </c>
      <c r="B6753" s="138">
        <f ca="1">'Revenues 9-14'!C242</f>
        <v>0</v>
      </c>
      <c r="D6753" s="2" t="str">
        <f t="shared" ca="1" si="104"/>
        <v>Error?</v>
      </c>
      <c r="E6753" s="2" t="s">
        <v>190</v>
      </c>
    </row>
    <row r="6754" spans="1:5" x14ac:dyDescent="0.2">
      <c r="A6754">
        <v>6693</v>
      </c>
      <c r="B6754" s="138">
        <f ca="1">'Revenues 9-14'!D242</f>
        <v>0</v>
      </c>
      <c r="D6754" s="2" t="str">
        <f t="shared" ca="1" si="104"/>
        <v>Error?</v>
      </c>
      <c r="E6754" s="2" t="s">
        <v>190</v>
      </c>
    </row>
    <row r="6755" spans="1:5" x14ac:dyDescent="0.2">
      <c r="A6755">
        <v>6694</v>
      </c>
      <c r="B6755" s="138">
        <f ca="1">'Revenues 9-14'!E242</f>
        <v>0</v>
      </c>
      <c r="D6755" s="2" t="str">
        <f t="shared" ca="1" si="104"/>
        <v>Error?</v>
      </c>
      <c r="E6755" s="2" t="s">
        <v>190</v>
      </c>
    </row>
    <row r="6756" spans="1:5" x14ac:dyDescent="0.2">
      <c r="A6756">
        <v>6695</v>
      </c>
      <c r="B6756" s="138">
        <f ca="1">'Revenues 9-14'!F242</f>
        <v>0</v>
      </c>
      <c r="D6756" s="2" t="str">
        <f t="shared" ca="1" si="104"/>
        <v>Error?</v>
      </c>
      <c r="E6756" s="2" t="s">
        <v>190</v>
      </c>
    </row>
    <row r="6757" spans="1:5" x14ac:dyDescent="0.2">
      <c r="A6757">
        <v>6696</v>
      </c>
      <c r="B6757" s="138">
        <f ca="1">'Revenues 9-14'!G242</f>
        <v>0</v>
      </c>
      <c r="D6757" s="2" t="str">
        <f t="shared" ca="1" si="104"/>
        <v>Error?</v>
      </c>
      <c r="E6757" s="2" t="s">
        <v>190</v>
      </c>
    </row>
    <row r="6758" spans="1:5" x14ac:dyDescent="0.2">
      <c r="A6758">
        <v>6697</v>
      </c>
      <c r="B6758" s="138">
        <f ca="1">'Revenues 9-14'!H242</f>
        <v>0</v>
      </c>
      <c r="D6758" s="2" t="str">
        <f t="shared" ca="1" si="104"/>
        <v>Error?</v>
      </c>
      <c r="E6758" s="2" t="s">
        <v>190</v>
      </c>
    </row>
    <row r="6759" spans="1:5" x14ac:dyDescent="0.2">
      <c r="A6759">
        <v>6698</v>
      </c>
      <c r="B6759" s="138">
        <f ca="1">'Revenues 9-14'!J242</f>
        <v>0</v>
      </c>
      <c r="D6759" s="2" t="str">
        <f t="shared" ca="1" si="104"/>
        <v>Error?</v>
      </c>
      <c r="E6759" s="2" t="s">
        <v>190</v>
      </c>
    </row>
    <row r="6760" spans="1:5" x14ac:dyDescent="0.2">
      <c r="A6760">
        <v>6699</v>
      </c>
      <c r="B6760" s="138">
        <f ca="1">'Revenues 9-14'!K242</f>
        <v>0</v>
      </c>
      <c r="D6760" s="2" t="str">
        <f t="shared" ca="1" si="104"/>
        <v>Error?</v>
      </c>
      <c r="E6760" s="2" t="s">
        <v>190</v>
      </c>
    </row>
    <row r="6761" spans="1:5" x14ac:dyDescent="0.2">
      <c r="A6761">
        <v>6700</v>
      </c>
      <c r="B6761" s="138">
        <f ca="1">'Revenues 9-14'!C243</f>
        <v>0</v>
      </c>
      <c r="D6761" s="2" t="str">
        <f t="shared" ca="1" si="104"/>
        <v>Error?</v>
      </c>
      <c r="E6761" s="2" t="s">
        <v>190</v>
      </c>
    </row>
    <row r="6762" spans="1:5" x14ac:dyDescent="0.2">
      <c r="A6762">
        <v>6701</v>
      </c>
      <c r="B6762" s="138">
        <f ca="1">'Revenues 9-14'!D243</f>
        <v>0</v>
      </c>
      <c r="D6762" s="2" t="str">
        <f t="shared" ca="1" si="104"/>
        <v>Error?</v>
      </c>
      <c r="E6762" s="2" t="s">
        <v>190</v>
      </c>
    </row>
    <row r="6763" spans="1:5" x14ac:dyDescent="0.2">
      <c r="A6763">
        <v>6702</v>
      </c>
      <c r="B6763" s="138">
        <f ca="1">'Revenues 9-14'!E243</f>
        <v>0</v>
      </c>
      <c r="D6763" s="2" t="str">
        <f t="shared" ca="1" si="104"/>
        <v>Error?</v>
      </c>
      <c r="E6763" s="2" t="s">
        <v>190</v>
      </c>
    </row>
    <row r="6764" spans="1:5" x14ac:dyDescent="0.2">
      <c r="A6764">
        <v>6703</v>
      </c>
      <c r="B6764" s="138">
        <f ca="1">'Revenues 9-14'!F243</f>
        <v>0</v>
      </c>
      <c r="D6764" s="2" t="str">
        <f t="shared" ca="1" si="104"/>
        <v>Error?</v>
      </c>
      <c r="E6764" s="2" t="s">
        <v>190</v>
      </c>
    </row>
    <row r="6765" spans="1:5" x14ac:dyDescent="0.2">
      <c r="A6765">
        <v>6704</v>
      </c>
      <c r="B6765" s="138">
        <f ca="1">'Revenues 9-14'!G243</f>
        <v>0</v>
      </c>
      <c r="D6765" s="2" t="str">
        <f t="shared" ca="1" si="104"/>
        <v>Error?</v>
      </c>
      <c r="E6765" s="2" t="s">
        <v>190</v>
      </c>
    </row>
    <row r="6766" spans="1:5" x14ac:dyDescent="0.2">
      <c r="A6766">
        <v>6705</v>
      </c>
      <c r="B6766" s="138">
        <f ca="1">'Revenues 9-14'!H243</f>
        <v>0</v>
      </c>
      <c r="D6766" s="2" t="str">
        <f t="shared" ca="1" si="104"/>
        <v>Error?</v>
      </c>
      <c r="E6766" s="2" t="s">
        <v>190</v>
      </c>
    </row>
    <row r="6767" spans="1:5" x14ac:dyDescent="0.2">
      <c r="A6767">
        <v>6706</v>
      </c>
      <c r="B6767" s="138">
        <f ca="1">'Revenues 9-14'!J243</f>
        <v>0</v>
      </c>
      <c r="D6767" s="2" t="str">
        <f t="shared" ca="1" si="104"/>
        <v>Error?</v>
      </c>
      <c r="E6767" s="2" t="s">
        <v>190</v>
      </c>
    </row>
    <row r="6768" spans="1:5" x14ac:dyDescent="0.2">
      <c r="A6768">
        <v>6707</v>
      </c>
      <c r="B6768" s="138">
        <f ca="1">'Revenues 9-14'!K243</f>
        <v>0</v>
      </c>
      <c r="D6768" s="2" t="str">
        <f t="shared" ca="1" si="104"/>
        <v>Error?</v>
      </c>
      <c r="E6768" s="2" t="s">
        <v>190</v>
      </c>
    </row>
    <row r="6769" spans="1:5" x14ac:dyDescent="0.2">
      <c r="A6769">
        <v>6708</v>
      </c>
      <c r="B6769" s="138">
        <f ca="1">'Revenues 9-14'!C244</f>
        <v>0</v>
      </c>
      <c r="D6769" s="2" t="str">
        <f t="shared" ca="1" si="104"/>
        <v>Error?</v>
      </c>
      <c r="E6769" s="2" t="s">
        <v>190</v>
      </c>
    </row>
    <row r="6770" spans="1:5" x14ac:dyDescent="0.2">
      <c r="A6770">
        <v>6709</v>
      </c>
      <c r="B6770" s="138">
        <f ca="1">'Revenues 9-14'!D244</f>
        <v>0</v>
      </c>
      <c r="D6770" s="2" t="str">
        <f t="shared" ca="1" si="104"/>
        <v>Error?</v>
      </c>
      <c r="E6770" s="2" t="s">
        <v>190</v>
      </c>
    </row>
    <row r="6771" spans="1:5" x14ac:dyDescent="0.2">
      <c r="A6771">
        <v>6710</v>
      </c>
      <c r="B6771" s="138">
        <f ca="1">'Revenues 9-14'!E244</f>
        <v>0</v>
      </c>
      <c r="D6771" s="2" t="str">
        <f t="shared" ca="1" si="104"/>
        <v>Error?</v>
      </c>
      <c r="E6771" s="2" t="s">
        <v>190</v>
      </c>
    </row>
    <row r="6772" spans="1:5" x14ac:dyDescent="0.2">
      <c r="A6772">
        <v>6711</v>
      </c>
      <c r="B6772" s="138">
        <f ca="1">'Revenues 9-14'!F244</f>
        <v>0</v>
      </c>
      <c r="D6772" s="2" t="str">
        <f t="shared" ca="1" si="104"/>
        <v>Error?</v>
      </c>
      <c r="E6772" s="2" t="s">
        <v>190</v>
      </c>
    </row>
    <row r="6773" spans="1:5" x14ac:dyDescent="0.2">
      <c r="A6773">
        <v>6712</v>
      </c>
      <c r="B6773" s="138">
        <f ca="1">'Revenues 9-14'!G244</f>
        <v>0</v>
      </c>
      <c r="D6773" s="2" t="str">
        <f t="shared" ca="1" si="104"/>
        <v>Error?</v>
      </c>
      <c r="E6773" s="2" t="s">
        <v>190</v>
      </c>
    </row>
    <row r="6774" spans="1:5" x14ac:dyDescent="0.2">
      <c r="A6774">
        <v>6713</v>
      </c>
      <c r="B6774" s="138">
        <f ca="1">'Revenues 9-14'!H244</f>
        <v>0</v>
      </c>
      <c r="D6774" s="2" t="str">
        <f t="shared" ca="1" si="104"/>
        <v>Error?</v>
      </c>
      <c r="E6774" s="2" t="s">
        <v>190</v>
      </c>
    </row>
    <row r="6775" spans="1:5" x14ac:dyDescent="0.2">
      <c r="A6775">
        <v>6714</v>
      </c>
      <c r="B6775" s="138">
        <f ca="1">'Revenues 9-14'!J244</f>
        <v>0</v>
      </c>
      <c r="D6775" s="2" t="str">
        <f t="shared" ca="1" si="104"/>
        <v>Error?</v>
      </c>
      <c r="E6775" s="2" t="s">
        <v>190</v>
      </c>
    </row>
    <row r="6776" spans="1:5" x14ac:dyDescent="0.2">
      <c r="A6776">
        <v>6715</v>
      </c>
      <c r="B6776" s="138">
        <f ca="1">'Revenues 9-14'!K244</f>
        <v>0</v>
      </c>
      <c r="D6776" s="2" t="str">
        <f t="shared" ca="1" si="104"/>
        <v>Error?</v>
      </c>
      <c r="E6776" s="2" t="s">
        <v>190</v>
      </c>
    </row>
    <row r="6777" spans="1:5" x14ac:dyDescent="0.2">
      <c r="A6777">
        <v>6716</v>
      </c>
      <c r="B6777" s="138">
        <f ca="1">'Revenues 9-14'!C245</f>
        <v>0</v>
      </c>
      <c r="D6777" s="2" t="str">
        <f t="shared" ca="1" si="104"/>
        <v>Error?</v>
      </c>
      <c r="E6777" s="2" t="s">
        <v>190</v>
      </c>
    </row>
    <row r="6778" spans="1:5" x14ac:dyDescent="0.2">
      <c r="A6778">
        <v>6717</v>
      </c>
      <c r="B6778" s="138">
        <f ca="1">'Revenues 9-14'!D245</f>
        <v>0</v>
      </c>
      <c r="D6778" s="2" t="str">
        <f t="shared" ca="1" si="104"/>
        <v>Error?</v>
      </c>
      <c r="E6778" s="2" t="s">
        <v>190</v>
      </c>
    </row>
    <row r="6779" spans="1:5" x14ac:dyDescent="0.2">
      <c r="A6779">
        <v>6718</v>
      </c>
      <c r="B6779" s="138">
        <f ca="1">'Revenues 9-14'!E245</f>
        <v>0</v>
      </c>
      <c r="D6779" s="2" t="str">
        <f t="shared" ca="1" si="104"/>
        <v>Error?</v>
      </c>
      <c r="E6779" s="2" t="s">
        <v>190</v>
      </c>
    </row>
    <row r="6780" spans="1:5" x14ac:dyDescent="0.2">
      <c r="A6780">
        <v>6719</v>
      </c>
      <c r="B6780" s="138">
        <f ca="1">'Revenues 9-14'!F245</f>
        <v>0</v>
      </c>
      <c r="D6780" s="2" t="str">
        <f t="shared" ca="1" si="104"/>
        <v>Error?</v>
      </c>
      <c r="E6780" s="2" t="s">
        <v>190</v>
      </c>
    </row>
    <row r="6781" spans="1:5" x14ac:dyDescent="0.2">
      <c r="A6781">
        <v>6720</v>
      </c>
      <c r="B6781" s="138">
        <f ca="1">'Revenues 9-14'!G245</f>
        <v>0</v>
      </c>
      <c r="D6781" s="2" t="str">
        <f t="shared" ca="1" si="104"/>
        <v>Error?</v>
      </c>
      <c r="E6781" s="2" t="s">
        <v>190</v>
      </c>
    </row>
    <row r="6782" spans="1:5" x14ac:dyDescent="0.2">
      <c r="A6782">
        <v>6721</v>
      </c>
      <c r="B6782" s="138">
        <f ca="1">'Revenues 9-14'!H245</f>
        <v>0</v>
      </c>
      <c r="D6782" s="2" t="str">
        <f t="shared" ca="1" si="104"/>
        <v>Error?</v>
      </c>
      <c r="E6782" s="2" t="s">
        <v>190</v>
      </c>
    </row>
    <row r="6783" spans="1:5" x14ac:dyDescent="0.2">
      <c r="A6783">
        <v>6722</v>
      </c>
      <c r="B6783" s="138">
        <f ca="1">'Revenues 9-14'!J245</f>
        <v>0</v>
      </c>
      <c r="D6783" s="2" t="str">
        <f t="shared" ref="D6783:D6846" ca="1" si="105">IF(ISBLANK(B6783),"OK",IF(A6783-B6783=0,"OK","Error?"))</f>
        <v>Error?</v>
      </c>
      <c r="E6783" s="2" t="s">
        <v>190</v>
      </c>
    </row>
    <row r="6784" spans="1:5" x14ac:dyDescent="0.2">
      <c r="A6784">
        <v>6723</v>
      </c>
      <c r="B6784" s="138">
        <f ca="1">'Revenues 9-14'!K245</f>
        <v>0</v>
      </c>
      <c r="D6784" s="2" t="str">
        <f t="shared" ca="1" si="105"/>
        <v>Error?</v>
      </c>
      <c r="E6784" s="2" t="s">
        <v>190</v>
      </c>
    </row>
    <row r="6785" spans="1:5" x14ac:dyDescent="0.2">
      <c r="A6785">
        <v>6724</v>
      </c>
      <c r="B6785" s="138">
        <f ca="1">'Revenues 9-14'!C246</f>
        <v>0</v>
      </c>
      <c r="D6785" s="2" t="str">
        <f t="shared" ca="1" si="105"/>
        <v>Error?</v>
      </c>
      <c r="E6785" s="2" t="s">
        <v>190</v>
      </c>
    </row>
    <row r="6786" spans="1:5" x14ac:dyDescent="0.2">
      <c r="A6786">
        <v>6725</v>
      </c>
      <c r="B6786" s="138">
        <f ca="1">'Revenues 9-14'!D246</f>
        <v>0</v>
      </c>
      <c r="D6786" s="2" t="str">
        <f t="shared" ca="1" si="105"/>
        <v>Error?</v>
      </c>
      <c r="E6786" s="2" t="s">
        <v>190</v>
      </c>
    </row>
    <row r="6787" spans="1:5" x14ac:dyDescent="0.2">
      <c r="A6787">
        <v>6726</v>
      </c>
      <c r="B6787" s="138">
        <f ca="1">'Revenues 9-14'!E246</f>
        <v>0</v>
      </c>
      <c r="D6787" s="2" t="str">
        <f t="shared" ca="1" si="105"/>
        <v>Error?</v>
      </c>
      <c r="E6787" s="2" t="s">
        <v>190</v>
      </c>
    </row>
    <row r="6788" spans="1:5" x14ac:dyDescent="0.2">
      <c r="A6788">
        <v>6727</v>
      </c>
      <c r="B6788" s="138">
        <f ca="1">'Revenues 9-14'!F246</f>
        <v>0</v>
      </c>
      <c r="D6788" s="2" t="str">
        <f t="shared" ca="1" si="105"/>
        <v>Error?</v>
      </c>
      <c r="E6788" s="2" t="s">
        <v>190</v>
      </c>
    </row>
    <row r="6789" spans="1:5" x14ac:dyDescent="0.2">
      <c r="A6789">
        <v>6728</v>
      </c>
      <c r="B6789" s="138">
        <f ca="1">'Revenues 9-14'!G246</f>
        <v>0</v>
      </c>
      <c r="D6789" s="2" t="str">
        <f t="shared" ca="1" si="105"/>
        <v>Error?</v>
      </c>
      <c r="E6789" s="2" t="s">
        <v>190</v>
      </c>
    </row>
    <row r="6790" spans="1:5" x14ac:dyDescent="0.2">
      <c r="A6790">
        <v>6729</v>
      </c>
      <c r="B6790" s="138">
        <f ca="1">'Revenues 9-14'!H246</f>
        <v>0</v>
      </c>
      <c r="D6790" s="2" t="str">
        <f t="shared" ca="1" si="105"/>
        <v>Error?</v>
      </c>
      <c r="E6790" s="2" t="s">
        <v>190</v>
      </c>
    </row>
    <row r="6791" spans="1:5" x14ac:dyDescent="0.2">
      <c r="A6791">
        <v>6730</v>
      </c>
      <c r="B6791" s="138">
        <f ca="1">'Revenues 9-14'!J246</f>
        <v>0</v>
      </c>
      <c r="D6791" s="2" t="str">
        <f t="shared" ca="1" si="105"/>
        <v>Error?</v>
      </c>
      <c r="E6791" s="2" t="s">
        <v>190</v>
      </c>
    </row>
    <row r="6792" spans="1:5" x14ac:dyDescent="0.2">
      <c r="A6792">
        <v>6731</v>
      </c>
      <c r="B6792" s="138">
        <f ca="1">'Revenues 9-14'!K246</f>
        <v>0</v>
      </c>
      <c r="D6792" s="2" t="str">
        <f t="shared" ca="1" si="105"/>
        <v>Error?</v>
      </c>
      <c r="E6792" s="2" t="s">
        <v>190</v>
      </c>
    </row>
    <row r="6793" spans="1:5" x14ac:dyDescent="0.2">
      <c r="A6793">
        <v>6732</v>
      </c>
      <c r="B6793" s="138">
        <f ca="1">'Revenues 9-14'!C247</f>
        <v>0</v>
      </c>
      <c r="D6793" s="2" t="str">
        <f t="shared" ca="1" si="105"/>
        <v>Error?</v>
      </c>
      <c r="E6793" s="2" t="s">
        <v>190</v>
      </c>
    </row>
    <row r="6794" spans="1:5" x14ac:dyDescent="0.2">
      <c r="A6794">
        <v>6733</v>
      </c>
      <c r="B6794" s="138">
        <f ca="1">'Revenues 9-14'!D247</f>
        <v>0</v>
      </c>
      <c r="D6794" s="2" t="str">
        <f t="shared" ca="1" si="105"/>
        <v>Error?</v>
      </c>
      <c r="E6794" s="2" t="s">
        <v>190</v>
      </c>
    </row>
    <row r="6795" spans="1:5" x14ac:dyDescent="0.2">
      <c r="A6795">
        <v>6734</v>
      </c>
      <c r="B6795" s="138">
        <f ca="1">'Revenues 9-14'!E247</f>
        <v>0</v>
      </c>
      <c r="D6795" s="2" t="str">
        <f t="shared" ca="1" si="105"/>
        <v>Error?</v>
      </c>
      <c r="E6795" s="2" t="s">
        <v>190</v>
      </c>
    </row>
    <row r="6796" spans="1:5" x14ac:dyDescent="0.2">
      <c r="A6796">
        <v>6735</v>
      </c>
      <c r="B6796" s="138">
        <f ca="1">'Revenues 9-14'!F247</f>
        <v>0</v>
      </c>
      <c r="D6796" s="2" t="str">
        <f t="shared" ca="1" si="105"/>
        <v>Error?</v>
      </c>
      <c r="E6796" s="2" t="s">
        <v>190</v>
      </c>
    </row>
    <row r="6797" spans="1:5" x14ac:dyDescent="0.2">
      <c r="A6797">
        <v>6736</v>
      </c>
      <c r="B6797" s="138">
        <f ca="1">'Revenues 9-14'!G247</f>
        <v>0</v>
      </c>
      <c r="D6797" s="2" t="str">
        <f t="shared" ca="1" si="105"/>
        <v>Error?</v>
      </c>
      <c r="E6797" s="2" t="s">
        <v>190</v>
      </c>
    </row>
    <row r="6798" spans="1:5" x14ac:dyDescent="0.2">
      <c r="A6798">
        <v>6737</v>
      </c>
      <c r="B6798" s="138">
        <f ca="1">'Revenues 9-14'!H247</f>
        <v>0</v>
      </c>
      <c r="D6798" s="2" t="str">
        <f t="shared" ca="1" si="105"/>
        <v>Error?</v>
      </c>
      <c r="E6798" s="2" t="s">
        <v>190</v>
      </c>
    </row>
    <row r="6799" spans="1:5" x14ac:dyDescent="0.2">
      <c r="A6799">
        <v>6738</v>
      </c>
      <c r="B6799" s="138">
        <f ca="1">'Revenues 9-14'!J247</f>
        <v>0</v>
      </c>
      <c r="D6799" s="2" t="str">
        <f t="shared" ca="1" si="105"/>
        <v>Error?</v>
      </c>
      <c r="E6799" s="2" t="s">
        <v>190</v>
      </c>
    </row>
    <row r="6800" spans="1:5" x14ac:dyDescent="0.2">
      <c r="A6800">
        <v>6739</v>
      </c>
      <c r="B6800" s="138">
        <f ca="1">'Revenues 9-14'!K247</f>
        <v>0</v>
      </c>
      <c r="D6800" s="2" t="str">
        <f t="shared" ca="1" si="105"/>
        <v>Error?</v>
      </c>
      <c r="E6800" s="2" t="s">
        <v>190</v>
      </c>
    </row>
    <row r="6801" spans="1:5" x14ac:dyDescent="0.2">
      <c r="A6801">
        <v>6740</v>
      </c>
      <c r="B6801" s="138">
        <f ca="1">'Revenues 9-14'!C248</f>
        <v>0</v>
      </c>
      <c r="D6801" s="2" t="str">
        <f t="shared" ca="1" si="105"/>
        <v>Error?</v>
      </c>
      <c r="E6801" s="2" t="s">
        <v>190</v>
      </c>
    </row>
    <row r="6802" spans="1:5" x14ac:dyDescent="0.2">
      <c r="A6802">
        <v>6741</v>
      </c>
      <c r="B6802" s="138">
        <f ca="1">'Revenues 9-14'!D248</f>
        <v>0</v>
      </c>
      <c r="D6802" s="2" t="str">
        <f t="shared" ca="1" si="105"/>
        <v>Error?</v>
      </c>
      <c r="E6802" s="2" t="s">
        <v>190</v>
      </c>
    </row>
    <row r="6803" spans="1:5" x14ac:dyDescent="0.2">
      <c r="A6803">
        <v>6742</v>
      </c>
      <c r="B6803" s="138">
        <f ca="1">'Revenues 9-14'!E248</f>
        <v>0</v>
      </c>
      <c r="D6803" s="2" t="str">
        <f t="shared" ca="1" si="105"/>
        <v>Error?</v>
      </c>
      <c r="E6803" s="2" t="s">
        <v>190</v>
      </c>
    </row>
    <row r="6804" spans="1:5" x14ac:dyDescent="0.2">
      <c r="A6804">
        <v>6743</v>
      </c>
      <c r="B6804" s="138">
        <f ca="1">'Revenues 9-14'!F248</f>
        <v>0</v>
      </c>
      <c r="D6804" s="2" t="str">
        <f t="shared" ca="1" si="105"/>
        <v>Error?</v>
      </c>
      <c r="E6804" s="2" t="s">
        <v>190</v>
      </c>
    </row>
    <row r="6805" spans="1:5" x14ac:dyDescent="0.2">
      <c r="A6805">
        <v>6744</v>
      </c>
      <c r="B6805" s="138">
        <f ca="1">'Revenues 9-14'!G248</f>
        <v>0</v>
      </c>
      <c r="D6805" s="2" t="str">
        <f t="shared" ca="1" si="105"/>
        <v>Error?</v>
      </c>
      <c r="E6805" s="2" t="s">
        <v>190</v>
      </c>
    </row>
    <row r="6806" spans="1:5" x14ac:dyDescent="0.2">
      <c r="A6806">
        <v>6745</v>
      </c>
      <c r="B6806" s="138">
        <f ca="1">'Revenues 9-14'!H248</f>
        <v>0</v>
      </c>
      <c r="D6806" s="2" t="str">
        <f t="shared" ca="1" si="105"/>
        <v>Error?</v>
      </c>
      <c r="E6806" s="2" t="s">
        <v>190</v>
      </c>
    </row>
    <row r="6807" spans="1:5" x14ac:dyDescent="0.2">
      <c r="A6807">
        <v>6746</v>
      </c>
      <c r="B6807" s="138">
        <f ca="1">'Revenues 9-14'!J248</f>
        <v>0</v>
      </c>
      <c r="D6807" s="2" t="str">
        <f t="shared" ca="1" si="105"/>
        <v>Error?</v>
      </c>
      <c r="E6807" s="2" t="s">
        <v>190</v>
      </c>
    </row>
    <row r="6808" spans="1:5" x14ac:dyDescent="0.2">
      <c r="A6808">
        <v>6747</v>
      </c>
      <c r="B6808" s="138">
        <f ca="1">'Revenues 9-14'!K248</f>
        <v>0</v>
      </c>
      <c r="D6808" s="2" t="str">
        <f t="shared" ca="1" si="105"/>
        <v>Error?</v>
      </c>
      <c r="E6808" s="2" t="s">
        <v>190</v>
      </c>
    </row>
    <row r="6809" spans="1:5" x14ac:dyDescent="0.2">
      <c r="A6809">
        <v>6748</v>
      </c>
      <c r="B6809" s="138">
        <f ca="1">'Revenues 9-14'!C249</f>
        <v>0</v>
      </c>
      <c r="D6809" s="2" t="str">
        <f t="shared" ca="1" si="105"/>
        <v>Error?</v>
      </c>
      <c r="E6809" s="2" t="s">
        <v>190</v>
      </c>
    </row>
    <row r="6810" spans="1:5" x14ac:dyDescent="0.2">
      <c r="A6810">
        <v>6749</v>
      </c>
      <c r="B6810" s="138">
        <f ca="1">'Revenues 9-14'!D249</f>
        <v>0</v>
      </c>
      <c r="D6810" s="2" t="str">
        <f t="shared" ca="1" si="105"/>
        <v>Error?</v>
      </c>
      <c r="E6810" s="2" t="s">
        <v>190</v>
      </c>
    </row>
    <row r="6811" spans="1:5" x14ac:dyDescent="0.2">
      <c r="A6811">
        <v>6750</v>
      </c>
      <c r="B6811" s="138">
        <f ca="1">'Revenues 9-14'!E249</f>
        <v>0</v>
      </c>
      <c r="D6811" s="2" t="str">
        <f t="shared" ca="1" si="105"/>
        <v>Error?</v>
      </c>
      <c r="E6811" s="2" t="s">
        <v>190</v>
      </c>
    </row>
    <row r="6812" spans="1:5" x14ac:dyDescent="0.2">
      <c r="A6812">
        <v>6751</v>
      </c>
      <c r="B6812" s="138">
        <f ca="1">'Revenues 9-14'!F249</f>
        <v>0</v>
      </c>
      <c r="D6812" s="2" t="str">
        <f t="shared" ca="1" si="105"/>
        <v>Error?</v>
      </c>
      <c r="E6812" s="2" t="s">
        <v>190</v>
      </c>
    </row>
    <row r="6813" spans="1:5" x14ac:dyDescent="0.2">
      <c r="A6813">
        <v>6752</v>
      </c>
      <c r="B6813" s="138">
        <f ca="1">'Revenues 9-14'!G249</f>
        <v>0</v>
      </c>
      <c r="D6813" s="2" t="str">
        <f t="shared" ca="1" si="105"/>
        <v>Error?</v>
      </c>
      <c r="E6813" s="2" t="s">
        <v>190</v>
      </c>
    </row>
    <row r="6814" spans="1:5" x14ac:dyDescent="0.2">
      <c r="A6814">
        <v>6753</v>
      </c>
      <c r="B6814" s="138">
        <f ca="1">'Revenues 9-14'!H249</f>
        <v>0</v>
      </c>
      <c r="D6814" s="2" t="str">
        <f t="shared" ca="1" si="105"/>
        <v>Error?</v>
      </c>
      <c r="E6814" s="2" t="s">
        <v>190</v>
      </c>
    </row>
    <row r="6815" spans="1:5" x14ac:dyDescent="0.2">
      <c r="A6815">
        <v>6754</v>
      </c>
      <c r="B6815" s="138">
        <f ca="1">'Revenues 9-14'!J249</f>
        <v>0</v>
      </c>
      <c r="D6815" s="2" t="str">
        <f t="shared" ca="1" si="105"/>
        <v>Error?</v>
      </c>
      <c r="E6815" s="2" t="s">
        <v>190</v>
      </c>
    </row>
    <row r="6816" spans="1:5" x14ac:dyDescent="0.2">
      <c r="A6816">
        <v>6755</v>
      </c>
      <c r="B6816" s="138">
        <f ca="1">'Revenues 9-14'!K249</f>
        <v>0</v>
      </c>
      <c r="D6816" s="2" t="str">
        <f t="shared" ca="1" si="105"/>
        <v>Error?</v>
      </c>
      <c r="E6816" s="2" t="s">
        <v>190</v>
      </c>
    </row>
    <row r="6817" spans="1:5" x14ac:dyDescent="0.2">
      <c r="A6817">
        <v>6756</v>
      </c>
      <c r="B6817" s="138">
        <f ca="1">'Revenues 9-14'!C250</f>
        <v>0</v>
      </c>
      <c r="D6817" s="2" t="str">
        <f t="shared" ca="1" si="105"/>
        <v>Error?</v>
      </c>
      <c r="E6817" s="2" t="s">
        <v>190</v>
      </c>
    </row>
    <row r="6818" spans="1:5" x14ac:dyDescent="0.2">
      <c r="A6818">
        <v>6757</v>
      </c>
      <c r="B6818" s="138">
        <f ca="1">'Revenues 9-14'!D250</f>
        <v>0</v>
      </c>
      <c r="D6818" s="2" t="str">
        <f t="shared" ca="1" si="105"/>
        <v>Error?</v>
      </c>
      <c r="E6818" s="2" t="s">
        <v>190</v>
      </c>
    </row>
    <row r="6819" spans="1:5" x14ac:dyDescent="0.2">
      <c r="A6819">
        <v>6758</v>
      </c>
      <c r="B6819" s="138">
        <f ca="1">'Revenues 9-14'!E250</f>
        <v>0</v>
      </c>
      <c r="D6819" s="2" t="str">
        <f t="shared" ca="1" si="105"/>
        <v>Error?</v>
      </c>
      <c r="E6819" s="2" t="s">
        <v>190</v>
      </c>
    </row>
    <row r="6820" spans="1:5" x14ac:dyDescent="0.2">
      <c r="A6820">
        <v>6759</v>
      </c>
      <c r="B6820" s="138">
        <f ca="1">'Revenues 9-14'!F250</f>
        <v>0</v>
      </c>
      <c r="D6820" s="2" t="str">
        <f t="shared" ca="1" si="105"/>
        <v>Error?</v>
      </c>
      <c r="E6820" s="2" t="s">
        <v>190</v>
      </c>
    </row>
    <row r="6821" spans="1:5" x14ac:dyDescent="0.2">
      <c r="A6821">
        <v>6760</v>
      </c>
      <c r="B6821" s="138">
        <f ca="1">'Revenues 9-14'!G250</f>
        <v>0</v>
      </c>
      <c r="D6821" s="2" t="str">
        <f t="shared" ca="1" si="105"/>
        <v>Error?</v>
      </c>
      <c r="E6821" s="2" t="s">
        <v>190</v>
      </c>
    </row>
    <row r="6822" spans="1:5" x14ac:dyDescent="0.2">
      <c r="A6822">
        <v>6761</v>
      </c>
      <c r="B6822" s="138">
        <f ca="1">'Revenues 9-14'!H250</f>
        <v>0</v>
      </c>
      <c r="D6822" s="2" t="str">
        <f t="shared" ca="1" si="105"/>
        <v>Error?</v>
      </c>
      <c r="E6822" s="2" t="s">
        <v>190</v>
      </c>
    </row>
    <row r="6823" spans="1:5" x14ac:dyDescent="0.2">
      <c r="A6823">
        <v>6762</v>
      </c>
      <c r="B6823" s="138">
        <f ca="1">'Revenues 9-14'!J250</f>
        <v>0</v>
      </c>
      <c r="D6823" s="2" t="str">
        <f t="shared" ca="1" si="105"/>
        <v>Error?</v>
      </c>
      <c r="E6823" s="2" t="s">
        <v>190</v>
      </c>
    </row>
    <row r="6824" spans="1:5" x14ac:dyDescent="0.2">
      <c r="A6824">
        <v>6763</v>
      </c>
      <c r="B6824" s="138">
        <f ca="1">'Revenues 9-14'!K250</f>
        <v>0</v>
      </c>
      <c r="D6824" s="2" t="str">
        <f t="shared" ca="1" si="105"/>
        <v>Error?</v>
      </c>
      <c r="E6824" s="2" t="s">
        <v>190</v>
      </c>
    </row>
    <row r="6825" spans="1:5" x14ac:dyDescent="0.2">
      <c r="A6825">
        <v>6764</v>
      </c>
      <c r="B6825" s="138">
        <f ca="1">'Revenues 9-14'!C251</f>
        <v>0</v>
      </c>
      <c r="D6825" s="2" t="str">
        <f t="shared" ca="1" si="105"/>
        <v>Error?</v>
      </c>
      <c r="E6825" s="2" t="s">
        <v>190</v>
      </c>
    </row>
    <row r="6826" spans="1:5" x14ac:dyDescent="0.2">
      <c r="A6826">
        <v>6765</v>
      </c>
      <c r="B6826" s="138">
        <f ca="1">'Revenues 9-14'!D251</f>
        <v>0</v>
      </c>
      <c r="D6826" s="2" t="str">
        <f t="shared" ca="1" si="105"/>
        <v>Error?</v>
      </c>
      <c r="E6826" s="2" t="s">
        <v>190</v>
      </c>
    </row>
    <row r="6827" spans="1:5" x14ac:dyDescent="0.2">
      <c r="A6827">
        <v>6766</v>
      </c>
      <c r="B6827" s="138">
        <f ca="1">'Revenues 9-14'!E251</f>
        <v>0</v>
      </c>
      <c r="D6827" s="2" t="str">
        <f t="shared" ca="1" si="105"/>
        <v>Error?</v>
      </c>
      <c r="E6827" s="2" t="s">
        <v>190</v>
      </c>
    </row>
    <row r="6828" spans="1:5" x14ac:dyDescent="0.2">
      <c r="A6828">
        <v>6767</v>
      </c>
      <c r="B6828" s="138">
        <f ca="1">'Revenues 9-14'!F251</f>
        <v>0</v>
      </c>
      <c r="D6828" s="2" t="str">
        <f t="shared" ca="1" si="105"/>
        <v>Error?</v>
      </c>
      <c r="E6828" s="2" t="s">
        <v>190</v>
      </c>
    </row>
    <row r="6829" spans="1:5" x14ac:dyDescent="0.2">
      <c r="A6829">
        <v>6768</v>
      </c>
      <c r="B6829" s="138">
        <f ca="1">'Revenues 9-14'!G251</f>
        <v>0</v>
      </c>
      <c r="D6829" s="2" t="str">
        <f t="shared" ca="1" si="105"/>
        <v>Error?</v>
      </c>
      <c r="E6829" s="2" t="s">
        <v>190</v>
      </c>
    </row>
    <row r="6830" spans="1:5" x14ac:dyDescent="0.2">
      <c r="A6830">
        <v>6769</v>
      </c>
      <c r="B6830" s="138">
        <f ca="1">'Revenues 9-14'!H251</f>
        <v>0</v>
      </c>
      <c r="D6830" s="2" t="str">
        <f t="shared" ca="1" si="105"/>
        <v>Error?</v>
      </c>
      <c r="E6830" s="2" t="s">
        <v>190</v>
      </c>
    </row>
    <row r="6831" spans="1:5" x14ac:dyDescent="0.2">
      <c r="A6831">
        <v>6770</v>
      </c>
      <c r="B6831" s="138">
        <f ca="1">'Revenues 9-14'!J251</f>
        <v>0</v>
      </c>
      <c r="D6831" s="2" t="str">
        <f t="shared" ca="1" si="105"/>
        <v>Error?</v>
      </c>
      <c r="E6831" s="2" t="s">
        <v>190</v>
      </c>
    </row>
    <row r="6832" spans="1:5" x14ac:dyDescent="0.2">
      <c r="A6832">
        <v>6771</v>
      </c>
      <c r="B6832" s="138">
        <f ca="1">'Revenues 9-14'!K251</f>
        <v>0</v>
      </c>
      <c r="D6832" s="2" t="str">
        <f t="shared" ca="1" si="105"/>
        <v>Error?</v>
      </c>
    </row>
    <row r="6833" spans="1:5" x14ac:dyDescent="0.2">
      <c r="A6833">
        <v>6772</v>
      </c>
      <c r="B6833" s="138">
        <f ca="1">'Revenues 9-14'!C252</f>
        <v>0</v>
      </c>
      <c r="D6833" s="2" t="str">
        <f t="shared" ca="1" si="105"/>
        <v>Error?</v>
      </c>
    </row>
    <row r="6834" spans="1:5" x14ac:dyDescent="0.2">
      <c r="A6834">
        <v>6773</v>
      </c>
      <c r="B6834" s="138">
        <f ca="1">'Revenues 9-14'!D252</f>
        <v>0</v>
      </c>
      <c r="D6834" s="2" t="str">
        <f t="shared" ca="1" si="105"/>
        <v>Error?</v>
      </c>
    </row>
    <row r="6835" spans="1:5" x14ac:dyDescent="0.2">
      <c r="A6835">
        <v>6774</v>
      </c>
      <c r="B6835" s="138">
        <f ca="1">'Revenues 9-14'!E252</f>
        <v>0</v>
      </c>
      <c r="D6835" s="2" t="str">
        <f t="shared" ca="1" si="105"/>
        <v>Error?</v>
      </c>
    </row>
    <row r="6836" spans="1:5" x14ac:dyDescent="0.2">
      <c r="A6836">
        <v>6775</v>
      </c>
      <c r="B6836" s="138">
        <f ca="1">'Revenues 9-14'!F252</f>
        <v>0</v>
      </c>
      <c r="D6836" s="2" t="str">
        <f t="shared" ca="1" si="105"/>
        <v>Error?</v>
      </c>
    </row>
    <row r="6837" spans="1:5" x14ac:dyDescent="0.2">
      <c r="A6837">
        <v>6776</v>
      </c>
      <c r="B6837" s="138">
        <f ca="1">'Revenues 9-14'!G252</f>
        <v>0</v>
      </c>
      <c r="D6837" s="2" t="str">
        <f t="shared" ca="1" si="105"/>
        <v>Error?</v>
      </c>
    </row>
    <row r="6838" spans="1:5" x14ac:dyDescent="0.2">
      <c r="A6838">
        <v>6777</v>
      </c>
      <c r="B6838" s="138">
        <f ca="1">'Revenues 9-14'!H252</f>
        <v>0</v>
      </c>
      <c r="D6838" s="2" t="str">
        <f t="shared" ca="1" si="105"/>
        <v>Error?</v>
      </c>
    </row>
    <row r="6839" spans="1:5" x14ac:dyDescent="0.2">
      <c r="A6839">
        <v>6778</v>
      </c>
      <c r="B6839" s="138">
        <f ca="1">'Revenues 9-14'!J252</f>
        <v>0</v>
      </c>
      <c r="D6839" s="2" t="str">
        <f t="shared" ca="1" si="105"/>
        <v>Error?</v>
      </c>
    </row>
    <row r="6840" spans="1:5" x14ac:dyDescent="0.2">
      <c r="A6840">
        <v>6779</v>
      </c>
      <c r="B6840" s="138">
        <f ca="1">'Revenues 9-14'!K252</f>
        <v>0</v>
      </c>
      <c r="D6840" s="2" t="str">
        <f t="shared" ca="1"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 ca="1">'Expenditures 15-22'!I5</f>
        <v>0</v>
      </c>
      <c r="D6844" s="2" t="str">
        <f t="shared" ca="1" si="105"/>
        <v>Error?</v>
      </c>
    </row>
    <row r="6845" spans="1:5" x14ac:dyDescent="0.2">
      <c r="A6845">
        <v>6784</v>
      </c>
      <c r="B6845" s="138">
        <f ca="1">'Expenditures 15-22'!J5</f>
        <v>0</v>
      </c>
      <c r="D6845" s="2" t="str">
        <f t="shared" ca="1" si="105"/>
        <v>Error?</v>
      </c>
    </row>
    <row r="6846" spans="1:5" x14ac:dyDescent="0.2">
      <c r="A6846">
        <v>6785</v>
      </c>
      <c r="B6846" s="138">
        <f ca="1">'Expenditures 15-22'!I7</f>
        <v>0</v>
      </c>
      <c r="D6846" s="2" t="str">
        <f t="shared" ca="1" si="105"/>
        <v>Error?</v>
      </c>
    </row>
    <row r="6847" spans="1:5" x14ac:dyDescent="0.2">
      <c r="A6847">
        <v>6786</v>
      </c>
      <c r="B6847" s="138">
        <f ca="1">'Expenditures 15-22'!J7</f>
        <v>0</v>
      </c>
      <c r="D6847" s="2" t="str">
        <f t="shared" ref="D6847:D6910" ca="1" si="106">IF(ISBLANK(B6847),"OK",IF(A6847-B6847=0,"OK","Error?"))</f>
        <v>Error?</v>
      </c>
    </row>
    <row r="6848" spans="1:5" x14ac:dyDescent="0.2">
      <c r="A6848">
        <v>6787</v>
      </c>
      <c r="B6848" s="138">
        <f ca="1">'Expenditures 15-22'!K7</f>
        <v>0</v>
      </c>
      <c r="D6848" s="2" t="str">
        <f t="shared" ca="1" si="106"/>
        <v>Error?</v>
      </c>
    </row>
    <row r="6849" spans="1:4" x14ac:dyDescent="0.2">
      <c r="A6849">
        <v>6788</v>
      </c>
      <c r="B6849" s="138">
        <f ca="1">'Expenditures 15-22'!I8</f>
        <v>0</v>
      </c>
      <c r="D6849" s="2" t="str">
        <f t="shared" ca="1" si="106"/>
        <v>Error?</v>
      </c>
    </row>
    <row r="6850" spans="1:4" x14ac:dyDescent="0.2">
      <c r="A6850">
        <v>6789</v>
      </c>
      <c r="B6850" s="138">
        <f ca="1">'Expenditures 15-22'!J8</f>
        <v>0</v>
      </c>
      <c r="D6850" s="2" t="str">
        <f t="shared" ca="1" si="106"/>
        <v>Error?</v>
      </c>
    </row>
    <row r="6851" spans="1:4" x14ac:dyDescent="0.2">
      <c r="A6851">
        <v>6790</v>
      </c>
      <c r="B6851" s="138">
        <f ca="1">'Expenditures 15-22'!I9</f>
        <v>0</v>
      </c>
      <c r="D6851" s="2" t="str">
        <f t="shared" ca="1" si="106"/>
        <v>Error?</v>
      </c>
    </row>
    <row r="6852" spans="1:4" x14ac:dyDescent="0.2">
      <c r="A6852">
        <v>6791</v>
      </c>
      <c r="B6852" s="138">
        <f ca="1">'Expenditures 15-22'!J9</f>
        <v>0</v>
      </c>
      <c r="D6852" s="2" t="str">
        <f t="shared" ca="1" si="106"/>
        <v>Error?</v>
      </c>
    </row>
    <row r="6853" spans="1:4" x14ac:dyDescent="0.2">
      <c r="A6853">
        <v>6792</v>
      </c>
      <c r="B6853" s="138">
        <f ca="1">'Expenditures 15-22'!K9</f>
        <v>587777</v>
      </c>
      <c r="D6853" s="2" t="str">
        <f t="shared" ca="1" si="106"/>
        <v>Error?</v>
      </c>
    </row>
    <row r="6854" spans="1:4" x14ac:dyDescent="0.2">
      <c r="A6854">
        <v>6793</v>
      </c>
      <c r="B6854" s="138">
        <f ca="1">'Expenditures 15-22'!I10</f>
        <v>0</v>
      </c>
      <c r="D6854" s="2" t="str">
        <f t="shared" ca="1" si="106"/>
        <v>Error?</v>
      </c>
    </row>
    <row r="6855" spans="1:4" x14ac:dyDescent="0.2">
      <c r="A6855">
        <v>6794</v>
      </c>
      <c r="B6855" s="138">
        <f ca="1">'Expenditures 15-22'!J10</f>
        <v>0</v>
      </c>
      <c r="D6855" s="2" t="str">
        <f t="shared" ca="1" si="106"/>
        <v>Error?</v>
      </c>
    </row>
    <row r="6856" spans="1:4" x14ac:dyDescent="0.2">
      <c r="A6856">
        <v>6795</v>
      </c>
      <c r="B6856" s="138">
        <f ca="1">'Expenditures 15-22'!I11</f>
        <v>0</v>
      </c>
      <c r="D6856" s="2" t="str">
        <f t="shared" ca="1" si="106"/>
        <v>Error?</v>
      </c>
    </row>
    <row r="6857" spans="1:4" x14ac:dyDescent="0.2">
      <c r="A6857">
        <v>6796</v>
      </c>
      <c r="B6857" s="138">
        <f ca="1">'Expenditures 15-22'!J11</f>
        <v>0</v>
      </c>
      <c r="D6857" s="2" t="str">
        <f t="shared" ca="1" si="106"/>
        <v>Error?</v>
      </c>
    </row>
    <row r="6858" spans="1:4" x14ac:dyDescent="0.2">
      <c r="A6858">
        <v>6797</v>
      </c>
      <c r="B6858" s="138">
        <f ca="1">'Expenditures 15-22'!K11</f>
        <v>666866</v>
      </c>
      <c r="D6858" s="2" t="str">
        <f t="shared" ca="1" si="106"/>
        <v>Error?</v>
      </c>
    </row>
    <row r="6859" spans="1:4" x14ac:dyDescent="0.2">
      <c r="A6859">
        <v>6798</v>
      </c>
      <c r="B6859" s="138">
        <f ca="1">'Expenditures 15-22'!I12</f>
        <v>0</v>
      </c>
      <c r="D6859" s="2" t="str">
        <f t="shared" ca="1" si="106"/>
        <v>Error?</v>
      </c>
    </row>
    <row r="6860" spans="1:4" x14ac:dyDescent="0.2">
      <c r="A6860">
        <v>6799</v>
      </c>
      <c r="B6860" s="138">
        <f ca="1">'Expenditures 15-22'!J12</f>
        <v>0</v>
      </c>
      <c r="D6860" s="2" t="str">
        <f t="shared" ca="1" si="106"/>
        <v>Error?</v>
      </c>
    </row>
    <row r="6861" spans="1:4" x14ac:dyDescent="0.2">
      <c r="A6861">
        <v>6800</v>
      </c>
      <c r="B6861" s="138">
        <f ca="1">'Expenditures 15-22'!I13</f>
        <v>0</v>
      </c>
      <c r="D6861" s="2" t="str">
        <f t="shared" ca="1" si="106"/>
        <v>Error?</v>
      </c>
    </row>
    <row r="6862" spans="1:4" x14ac:dyDescent="0.2">
      <c r="A6862">
        <v>6801</v>
      </c>
      <c r="B6862" s="138">
        <f ca="1">'Expenditures 15-22'!J13</f>
        <v>0</v>
      </c>
      <c r="D6862" s="2" t="str">
        <f t="shared" ca="1" si="106"/>
        <v>Error?</v>
      </c>
    </row>
    <row r="6863" spans="1:4" x14ac:dyDescent="0.2">
      <c r="A6863">
        <v>6802</v>
      </c>
      <c r="B6863" s="138">
        <f ca="1">'Expenditures 15-22'!I14</f>
        <v>0</v>
      </c>
      <c r="D6863" s="2" t="str">
        <f t="shared" ca="1" si="106"/>
        <v>Error?</v>
      </c>
    </row>
    <row r="6864" spans="1:4" x14ac:dyDescent="0.2">
      <c r="A6864">
        <v>6803</v>
      </c>
      <c r="B6864" s="138">
        <f ca="1">'Expenditures 15-22'!J14</f>
        <v>0</v>
      </c>
      <c r="D6864" s="2" t="str">
        <f t="shared" ca="1" si="106"/>
        <v>Error?</v>
      </c>
    </row>
    <row r="6865" spans="1:4" x14ac:dyDescent="0.2">
      <c r="A6865">
        <v>6804</v>
      </c>
      <c r="B6865" s="138">
        <f ca="1">'Expenditures 15-22'!I15</f>
        <v>0</v>
      </c>
      <c r="D6865" s="2" t="str">
        <f t="shared" ca="1" si="106"/>
        <v>Error?</v>
      </c>
    </row>
    <row r="6866" spans="1:4" x14ac:dyDescent="0.2">
      <c r="A6866">
        <v>6805</v>
      </c>
      <c r="B6866" s="138">
        <f ca="1">'Expenditures 15-22'!J15</f>
        <v>0</v>
      </c>
      <c r="D6866" s="2" t="str">
        <f t="shared" ca="1" si="106"/>
        <v>Error?</v>
      </c>
    </row>
    <row r="6867" spans="1:4" x14ac:dyDescent="0.2">
      <c r="A6867">
        <v>6806</v>
      </c>
      <c r="B6867" s="138">
        <f ca="1">'Expenditures 15-22'!I16</f>
        <v>0</v>
      </c>
      <c r="D6867" s="2" t="str">
        <f t="shared" ca="1" si="106"/>
        <v>Error?</v>
      </c>
    </row>
    <row r="6868" spans="1:4" x14ac:dyDescent="0.2">
      <c r="A6868">
        <v>6807</v>
      </c>
      <c r="B6868" s="138">
        <f ca="1">'Expenditures 15-22'!J16</f>
        <v>0</v>
      </c>
      <c r="D6868" s="2" t="str">
        <f t="shared" ca="1" si="106"/>
        <v>Error?</v>
      </c>
    </row>
    <row r="6869" spans="1:4" x14ac:dyDescent="0.2">
      <c r="A6869">
        <v>6808</v>
      </c>
      <c r="B6869" s="138">
        <f ca="1">'Expenditures 15-22'!I17</f>
        <v>0</v>
      </c>
      <c r="D6869" s="2" t="str">
        <f t="shared" ca="1" si="106"/>
        <v>Error?</v>
      </c>
    </row>
    <row r="6870" spans="1:4" x14ac:dyDescent="0.2">
      <c r="A6870">
        <v>6809</v>
      </c>
      <c r="B6870" s="138">
        <f ca="1">'Expenditures 15-22'!J17</f>
        <v>0</v>
      </c>
      <c r="D6870" s="2" t="str">
        <f t="shared" ca="1" si="106"/>
        <v>Error?</v>
      </c>
    </row>
    <row r="6871" spans="1:4" x14ac:dyDescent="0.2">
      <c r="A6871">
        <v>6810</v>
      </c>
      <c r="B6871" s="138">
        <f ca="1">'Expenditures 15-22'!K17</f>
        <v>0</v>
      </c>
      <c r="D6871" s="2" t="str">
        <f t="shared" ca="1" si="106"/>
        <v>Error?</v>
      </c>
    </row>
    <row r="6872" spans="1:4" x14ac:dyDescent="0.2">
      <c r="A6872">
        <v>6811</v>
      </c>
      <c r="B6872" s="138">
        <f ca="1">'Expenditures 15-22'!I18</f>
        <v>0</v>
      </c>
      <c r="D6872" s="2" t="str">
        <f t="shared" ca="1" si="106"/>
        <v>Error?</v>
      </c>
    </row>
    <row r="6873" spans="1:4" x14ac:dyDescent="0.2">
      <c r="A6873">
        <v>6812</v>
      </c>
      <c r="B6873" s="138">
        <f ca="1">'Expenditures 15-22'!J18</f>
        <v>0</v>
      </c>
      <c r="D6873" s="2" t="str">
        <f t="shared" ca="1" si="106"/>
        <v>Error?</v>
      </c>
    </row>
    <row r="6874" spans="1:4" x14ac:dyDescent="0.2">
      <c r="A6874">
        <v>6813</v>
      </c>
      <c r="B6874" s="138">
        <f ca="1">'Expenditures 15-22'!I19</f>
        <v>0</v>
      </c>
      <c r="D6874" s="2" t="str">
        <f t="shared" ca="1" si="106"/>
        <v>Error?</v>
      </c>
    </row>
    <row r="6875" spans="1:4" x14ac:dyDescent="0.2">
      <c r="A6875">
        <v>6814</v>
      </c>
      <c r="B6875" s="138">
        <f ca="1">'Expenditures 15-22'!J19</f>
        <v>0</v>
      </c>
      <c r="D6875" s="2" t="str">
        <f t="shared" ca="1" si="106"/>
        <v>Error?</v>
      </c>
    </row>
    <row r="6876" spans="1:4" x14ac:dyDescent="0.2">
      <c r="A6876">
        <v>6815</v>
      </c>
      <c r="B6876" s="138">
        <f ca="1">'Expenditures 15-22'!H20</f>
        <v>0</v>
      </c>
      <c r="D6876" s="2" t="str">
        <f t="shared" ca="1" si="106"/>
        <v>Error?</v>
      </c>
    </row>
    <row r="6877" spans="1:4" x14ac:dyDescent="0.2">
      <c r="A6877">
        <v>6816</v>
      </c>
      <c r="B6877" s="138">
        <f ca="1">'Expenditures 15-22'!K20</f>
        <v>0</v>
      </c>
      <c r="D6877" s="2" t="str">
        <f t="shared" ca="1" si="106"/>
        <v>Error?</v>
      </c>
    </row>
    <row r="6878" spans="1:4" x14ac:dyDescent="0.2">
      <c r="A6878">
        <v>6817</v>
      </c>
      <c r="B6878" s="138">
        <f ca="1">'Expenditures 15-22'!H21</f>
        <v>0</v>
      </c>
      <c r="D6878" s="2" t="str">
        <f t="shared" ca="1" si="106"/>
        <v>Error?</v>
      </c>
    </row>
    <row r="6879" spans="1:4" x14ac:dyDescent="0.2">
      <c r="A6879">
        <v>6818</v>
      </c>
      <c r="B6879" s="138">
        <f ca="1">'Expenditures 15-22'!K21</f>
        <v>0</v>
      </c>
      <c r="D6879" s="2" t="str">
        <f t="shared" ca="1" si="106"/>
        <v>Error?</v>
      </c>
    </row>
    <row r="6880" spans="1:4" x14ac:dyDescent="0.2">
      <c r="A6880">
        <v>6819</v>
      </c>
      <c r="B6880" s="138">
        <f ca="1">'Expenditures 15-22'!H22</f>
        <v>0</v>
      </c>
      <c r="D6880" s="2" t="str">
        <f t="shared" ca="1" si="106"/>
        <v>Error?</v>
      </c>
    </row>
    <row r="6881" spans="1:4" x14ac:dyDescent="0.2">
      <c r="A6881">
        <v>6820</v>
      </c>
      <c r="B6881" s="138">
        <f ca="1">'Expenditures 15-22'!K22</f>
        <v>0</v>
      </c>
      <c r="D6881" s="2" t="str">
        <f t="shared" ca="1" si="106"/>
        <v>Error?</v>
      </c>
    </row>
    <row r="6882" spans="1:4" x14ac:dyDescent="0.2">
      <c r="A6882">
        <v>6821</v>
      </c>
      <c r="B6882" s="138">
        <f ca="1">'Expenditures 15-22'!H23</f>
        <v>0</v>
      </c>
      <c r="D6882" s="2" t="str">
        <f t="shared" ca="1" si="106"/>
        <v>Error?</v>
      </c>
    </row>
    <row r="6883" spans="1:4" x14ac:dyDescent="0.2">
      <c r="A6883">
        <v>6822</v>
      </c>
      <c r="B6883" s="138">
        <f ca="1">'Expenditures 15-22'!K23</f>
        <v>0</v>
      </c>
      <c r="D6883" s="2" t="str">
        <f t="shared" ca="1" si="106"/>
        <v>Error?</v>
      </c>
    </row>
    <row r="6884" spans="1:4" x14ac:dyDescent="0.2">
      <c r="A6884">
        <v>6823</v>
      </c>
      <c r="B6884" s="138">
        <f ca="1">'Expenditures 15-22'!H24</f>
        <v>0</v>
      </c>
      <c r="D6884" s="2" t="str">
        <f t="shared" ca="1" si="106"/>
        <v>Error?</v>
      </c>
    </row>
    <row r="6885" spans="1:4" x14ac:dyDescent="0.2">
      <c r="A6885">
        <v>6824</v>
      </c>
      <c r="B6885" s="138">
        <f ca="1">'Expenditures 15-22'!K24</f>
        <v>0</v>
      </c>
      <c r="D6885" s="2" t="str">
        <f t="shared" ca="1" si="106"/>
        <v>Error?</v>
      </c>
    </row>
    <row r="6886" spans="1:4" x14ac:dyDescent="0.2">
      <c r="A6886">
        <v>6825</v>
      </c>
      <c r="B6886" s="138">
        <f ca="1">'Expenditures 15-22'!H25</f>
        <v>0</v>
      </c>
      <c r="D6886" s="2" t="str">
        <f t="shared" ca="1" si="106"/>
        <v>Error?</v>
      </c>
    </row>
    <row r="6887" spans="1:4" x14ac:dyDescent="0.2">
      <c r="A6887">
        <v>6826</v>
      </c>
      <c r="B6887" s="138">
        <f ca="1">'Expenditures 15-22'!K25</f>
        <v>0</v>
      </c>
      <c r="D6887" s="2" t="str">
        <f t="shared" ca="1" si="106"/>
        <v>Error?</v>
      </c>
    </row>
    <row r="6888" spans="1:4" x14ac:dyDescent="0.2">
      <c r="A6888">
        <v>6827</v>
      </c>
      <c r="B6888" s="138">
        <f ca="1">'Expenditures 15-22'!H26</f>
        <v>0</v>
      </c>
      <c r="D6888" s="2" t="str">
        <f t="shared" ca="1" si="106"/>
        <v>Error?</v>
      </c>
    </row>
    <row r="6889" spans="1:4" x14ac:dyDescent="0.2">
      <c r="A6889">
        <v>6828</v>
      </c>
      <c r="B6889" s="138">
        <f ca="1">'Expenditures 15-22'!K26</f>
        <v>0</v>
      </c>
      <c r="D6889" s="2" t="str">
        <f t="shared" ca="1" si="106"/>
        <v>Error?</v>
      </c>
    </row>
    <row r="6890" spans="1:4" x14ac:dyDescent="0.2">
      <c r="A6890">
        <v>6829</v>
      </c>
      <c r="B6890" s="138">
        <f ca="1">'Expenditures 15-22'!H27</f>
        <v>0</v>
      </c>
      <c r="D6890" s="2" t="str">
        <f t="shared" ca="1" si="106"/>
        <v>Error?</v>
      </c>
    </row>
    <row r="6891" spans="1:4" x14ac:dyDescent="0.2">
      <c r="A6891">
        <v>6830</v>
      </c>
      <c r="B6891" s="138">
        <f ca="1">'Expenditures 15-22'!K27</f>
        <v>0</v>
      </c>
      <c r="D6891" s="2" t="str">
        <f t="shared" ca="1" si="106"/>
        <v>Error?</v>
      </c>
    </row>
    <row r="6892" spans="1:4" x14ac:dyDescent="0.2">
      <c r="A6892">
        <v>6831</v>
      </c>
      <c r="B6892" s="138">
        <f ca="1">'Expenditures 15-22'!H28</f>
        <v>0</v>
      </c>
      <c r="D6892" s="2" t="str">
        <f t="shared" ca="1" si="106"/>
        <v>Error?</v>
      </c>
    </row>
    <row r="6893" spans="1:4" x14ac:dyDescent="0.2">
      <c r="A6893">
        <v>6832</v>
      </c>
      <c r="B6893" s="138">
        <f ca="1">'Expenditures 15-22'!K28</f>
        <v>0</v>
      </c>
      <c r="D6893" s="2" t="str">
        <f t="shared" ca="1" si="106"/>
        <v>Error?</v>
      </c>
    </row>
    <row r="6894" spans="1:4" x14ac:dyDescent="0.2">
      <c r="A6894">
        <v>6833</v>
      </c>
      <c r="B6894" s="138">
        <f ca="1">'Expenditures 15-22'!H29</f>
        <v>0</v>
      </c>
      <c r="D6894" s="2" t="str">
        <f t="shared" ca="1" si="106"/>
        <v>Error?</v>
      </c>
    </row>
    <row r="6895" spans="1:4" x14ac:dyDescent="0.2">
      <c r="A6895">
        <v>6834</v>
      </c>
      <c r="B6895" s="138">
        <f ca="1">'Expenditures 15-22'!K29</f>
        <v>0</v>
      </c>
      <c r="D6895" s="2" t="str">
        <f t="shared" ca="1" si="106"/>
        <v>Error?</v>
      </c>
    </row>
    <row r="6896" spans="1:4" x14ac:dyDescent="0.2">
      <c r="A6896">
        <v>6835</v>
      </c>
      <c r="B6896" s="138">
        <f ca="1">'Expenditures 15-22'!H30</f>
        <v>0</v>
      </c>
      <c r="D6896" s="2" t="str">
        <f t="shared" ca="1" si="106"/>
        <v>Error?</v>
      </c>
    </row>
    <row r="6897" spans="1:4" x14ac:dyDescent="0.2">
      <c r="A6897">
        <v>6836</v>
      </c>
      <c r="B6897" s="138">
        <f ca="1">'Expenditures 15-22'!K30</f>
        <v>0</v>
      </c>
      <c r="D6897" s="2" t="str">
        <f t="shared" ca="1" si="106"/>
        <v>Error?</v>
      </c>
    </row>
    <row r="6898" spans="1:4" x14ac:dyDescent="0.2">
      <c r="A6898">
        <v>6837</v>
      </c>
      <c r="B6898" s="138">
        <f ca="1">'Expenditures 15-22'!H31</f>
        <v>0</v>
      </c>
      <c r="D6898" s="2" t="str">
        <f t="shared" ca="1" si="106"/>
        <v>Error?</v>
      </c>
    </row>
    <row r="6899" spans="1:4" x14ac:dyDescent="0.2">
      <c r="A6899">
        <v>6838</v>
      </c>
      <c r="B6899" s="138">
        <f ca="1">'Expenditures 15-22'!K31</f>
        <v>0</v>
      </c>
      <c r="D6899" s="2" t="str">
        <f t="shared" ca="1" si="106"/>
        <v>Error?</v>
      </c>
    </row>
    <row r="6900" spans="1:4" x14ac:dyDescent="0.2">
      <c r="A6900">
        <v>6839</v>
      </c>
      <c r="B6900" s="138">
        <f ca="1">'Expenditures 15-22'!H32</f>
        <v>0</v>
      </c>
      <c r="D6900" s="2" t="str">
        <f t="shared" ca="1" si="106"/>
        <v>Error?</v>
      </c>
    </row>
    <row r="6901" spans="1:4" x14ac:dyDescent="0.2">
      <c r="A6901">
        <v>6840</v>
      </c>
      <c r="B6901" s="138">
        <f ca="1">'Expenditures 15-22'!K32</f>
        <v>0</v>
      </c>
      <c r="D6901" s="2" t="str">
        <f t="shared" ca="1" si="106"/>
        <v>Error?</v>
      </c>
    </row>
    <row r="6902" spans="1:4" x14ac:dyDescent="0.2">
      <c r="A6902">
        <v>6841</v>
      </c>
      <c r="B6902" s="138">
        <f ca="1">'Expenditures 15-22'!I33</f>
        <v>0</v>
      </c>
      <c r="D6902" s="2" t="str">
        <f t="shared" ca="1" si="106"/>
        <v>Error?</v>
      </c>
    </row>
    <row r="6903" spans="1:4" x14ac:dyDescent="0.2">
      <c r="A6903">
        <v>6842</v>
      </c>
      <c r="B6903" s="138">
        <f ca="1">'Expenditures 15-22'!J33</f>
        <v>0</v>
      </c>
      <c r="D6903" s="2" t="str">
        <f t="shared" ca="1" si="106"/>
        <v>Error?</v>
      </c>
    </row>
    <row r="6904" spans="1:4" x14ac:dyDescent="0.2">
      <c r="A6904">
        <v>6843</v>
      </c>
      <c r="B6904" s="138">
        <f ca="1">'Expenditures 15-22'!I36</f>
        <v>0</v>
      </c>
      <c r="D6904" s="2" t="str">
        <f t="shared" ca="1" si="106"/>
        <v>Error?</v>
      </c>
    </row>
    <row r="6905" spans="1:4" x14ac:dyDescent="0.2">
      <c r="A6905">
        <v>6844</v>
      </c>
      <c r="B6905" s="138">
        <f ca="1">'Expenditures 15-22'!J36</f>
        <v>0</v>
      </c>
      <c r="D6905" s="2" t="str">
        <f t="shared" ca="1" si="106"/>
        <v>Error?</v>
      </c>
    </row>
    <row r="6906" spans="1:4" x14ac:dyDescent="0.2">
      <c r="A6906">
        <v>6845</v>
      </c>
      <c r="B6906" s="138">
        <f ca="1">'Expenditures 15-22'!I37</f>
        <v>0</v>
      </c>
      <c r="D6906" s="2" t="str">
        <f t="shared" ca="1" si="106"/>
        <v>Error?</v>
      </c>
    </row>
    <row r="6907" spans="1:4" x14ac:dyDescent="0.2">
      <c r="A6907">
        <v>6846</v>
      </c>
      <c r="B6907" s="138">
        <f ca="1">'Expenditures 15-22'!J37</f>
        <v>0</v>
      </c>
      <c r="D6907" s="2" t="str">
        <f t="shared" ca="1" si="106"/>
        <v>Error?</v>
      </c>
    </row>
    <row r="6908" spans="1:4" x14ac:dyDescent="0.2">
      <c r="A6908">
        <v>6847</v>
      </c>
      <c r="B6908" s="138">
        <f ca="1">'Expenditures 15-22'!I38</f>
        <v>0</v>
      </c>
      <c r="D6908" s="2" t="str">
        <f t="shared" ca="1" si="106"/>
        <v>Error?</v>
      </c>
    </row>
    <row r="6909" spans="1:4" x14ac:dyDescent="0.2">
      <c r="A6909">
        <v>6848</v>
      </c>
      <c r="B6909" s="138">
        <f ca="1">'Expenditures 15-22'!J38</f>
        <v>0</v>
      </c>
      <c r="D6909" s="2" t="str">
        <f t="shared" ca="1" si="106"/>
        <v>Error?</v>
      </c>
    </row>
    <row r="6910" spans="1:4" x14ac:dyDescent="0.2">
      <c r="A6910">
        <v>6849</v>
      </c>
      <c r="B6910" s="138">
        <f ca="1">'Expenditures 15-22'!I39</f>
        <v>0</v>
      </c>
      <c r="D6910" s="2" t="str">
        <f t="shared" ca="1" si="106"/>
        <v>Error?</v>
      </c>
    </row>
    <row r="6911" spans="1:4" x14ac:dyDescent="0.2">
      <c r="A6911">
        <v>6850</v>
      </c>
      <c r="B6911" s="138">
        <f ca="1">'Expenditures 15-22'!J39</f>
        <v>0</v>
      </c>
      <c r="D6911" s="2" t="str">
        <f t="shared" ref="D6911:D6974" ca="1" si="107">IF(ISBLANK(B6911),"OK",IF(A6911-B6911=0,"OK","Error?"))</f>
        <v>Error?</v>
      </c>
    </row>
    <row r="6912" spans="1:4" x14ac:dyDescent="0.2">
      <c r="A6912">
        <v>6851</v>
      </c>
      <c r="B6912" s="138">
        <f ca="1">'Expenditures 15-22'!I40</f>
        <v>0</v>
      </c>
      <c r="D6912" s="2" t="str">
        <f t="shared" ca="1" si="107"/>
        <v>Error?</v>
      </c>
    </row>
    <row r="6913" spans="1:4" x14ac:dyDescent="0.2">
      <c r="A6913">
        <v>6852</v>
      </c>
      <c r="B6913" s="138">
        <f ca="1">'Expenditures 15-22'!J40</f>
        <v>0</v>
      </c>
      <c r="D6913" s="2" t="str">
        <f t="shared" ca="1" si="107"/>
        <v>Error?</v>
      </c>
    </row>
    <row r="6914" spans="1:4" x14ac:dyDescent="0.2">
      <c r="A6914">
        <v>6853</v>
      </c>
      <c r="B6914" s="138">
        <f ca="1">'Expenditures 15-22'!I41</f>
        <v>0</v>
      </c>
      <c r="D6914" s="2" t="str">
        <f t="shared" ca="1" si="107"/>
        <v>Error?</v>
      </c>
    </row>
    <row r="6915" spans="1:4" x14ac:dyDescent="0.2">
      <c r="A6915">
        <v>6854</v>
      </c>
      <c r="B6915" s="138">
        <f ca="1">'Expenditures 15-22'!J41</f>
        <v>0</v>
      </c>
      <c r="D6915" s="2" t="str">
        <f t="shared" ca="1" si="107"/>
        <v>Error?</v>
      </c>
    </row>
    <row r="6916" spans="1:4" x14ac:dyDescent="0.2">
      <c r="A6916">
        <v>6855</v>
      </c>
      <c r="B6916" s="138">
        <f ca="1">'Expenditures 15-22'!I42</f>
        <v>0</v>
      </c>
      <c r="D6916" s="2" t="str">
        <f t="shared" ca="1" si="107"/>
        <v>Error?</v>
      </c>
    </row>
    <row r="6917" spans="1:4" x14ac:dyDescent="0.2">
      <c r="A6917">
        <v>6856</v>
      </c>
      <c r="B6917" s="138">
        <f ca="1">'Expenditures 15-22'!J42</f>
        <v>0</v>
      </c>
      <c r="D6917" s="2" t="str">
        <f t="shared" ca="1" si="107"/>
        <v>Error?</v>
      </c>
    </row>
    <row r="6918" spans="1:4" x14ac:dyDescent="0.2">
      <c r="A6918">
        <v>6857</v>
      </c>
      <c r="B6918" s="138">
        <f ca="1">'Expenditures 15-22'!I44</f>
        <v>0</v>
      </c>
      <c r="D6918" s="2" t="str">
        <f t="shared" ca="1" si="107"/>
        <v>Error?</v>
      </c>
    </row>
    <row r="6919" spans="1:4" x14ac:dyDescent="0.2">
      <c r="A6919">
        <v>6858</v>
      </c>
      <c r="B6919" s="138">
        <f ca="1">'Expenditures 15-22'!J44</f>
        <v>0</v>
      </c>
      <c r="D6919" s="2" t="str">
        <f t="shared" ca="1" si="107"/>
        <v>Error?</v>
      </c>
    </row>
    <row r="6920" spans="1:4" x14ac:dyDescent="0.2">
      <c r="A6920">
        <v>6859</v>
      </c>
      <c r="B6920" s="138">
        <f ca="1">'Expenditures 15-22'!I45</f>
        <v>0</v>
      </c>
      <c r="D6920" s="2" t="str">
        <f t="shared" ca="1" si="107"/>
        <v>Error?</v>
      </c>
    </row>
    <row r="6921" spans="1:4" x14ac:dyDescent="0.2">
      <c r="A6921">
        <v>6860</v>
      </c>
      <c r="B6921" s="138">
        <f ca="1">'Expenditures 15-22'!J45</f>
        <v>0</v>
      </c>
      <c r="D6921" s="2" t="str">
        <f t="shared" ca="1" si="107"/>
        <v>Error?</v>
      </c>
    </row>
    <row r="6922" spans="1:4" x14ac:dyDescent="0.2">
      <c r="A6922">
        <v>6861</v>
      </c>
      <c r="B6922" s="138">
        <f ca="1">'Expenditures 15-22'!I46</f>
        <v>0</v>
      </c>
      <c r="D6922" s="2" t="str">
        <f t="shared" ca="1" si="107"/>
        <v>Error?</v>
      </c>
    </row>
    <row r="6923" spans="1:4" x14ac:dyDescent="0.2">
      <c r="A6923">
        <v>6862</v>
      </c>
      <c r="B6923" s="138">
        <f ca="1">'Expenditures 15-22'!J46</f>
        <v>0</v>
      </c>
      <c r="D6923" s="2" t="str">
        <f t="shared" ca="1" si="107"/>
        <v>Error?</v>
      </c>
    </row>
    <row r="6924" spans="1:4" x14ac:dyDescent="0.2">
      <c r="A6924">
        <v>6863</v>
      </c>
      <c r="B6924" s="138">
        <f ca="1">'Expenditures 15-22'!I47</f>
        <v>0</v>
      </c>
      <c r="D6924" s="2" t="str">
        <f t="shared" ca="1" si="107"/>
        <v>Error?</v>
      </c>
    </row>
    <row r="6925" spans="1:4" x14ac:dyDescent="0.2">
      <c r="A6925">
        <v>6864</v>
      </c>
      <c r="B6925" s="138">
        <f ca="1">'Expenditures 15-22'!J47</f>
        <v>0</v>
      </c>
      <c r="D6925" s="2" t="str">
        <f t="shared" ca="1" si="107"/>
        <v>Error?</v>
      </c>
    </row>
    <row r="6926" spans="1:4" x14ac:dyDescent="0.2">
      <c r="A6926">
        <v>6865</v>
      </c>
      <c r="B6926" s="138">
        <f ca="1">'Expenditures 15-22'!I49</f>
        <v>0</v>
      </c>
      <c r="D6926" s="2" t="str">
        <f t="shared" ca="1" si="107"/>
        <v>Error?</v>
      </c>
    </row>
    <row r="6927" spans="1:4" x14ac:dyDescent="0.2">
      <c r="A6927">
        <v>6866</v>
      </c>
      <c r="B6927" s="138">
        <f ca="1">'Expenditures 15-22'!J49</f>
        <v>0</v>
      </c>
      <c r="D6927" s="2" t="str">
        <f t="shared" ca="1" si="107"/>
        <v>Error?</v>
      </c>
    </row>
    <row r="6928" spans="1:4" x14ac:dyDescent="0.2">
      <c r="A6928">
        <v>6867</v>
      </c>
      <c r="B6928" s="138">
        <f ca="1">'Expenditures 15-22'!I50</f>
        <v>0</v>
      </c>
      <c r="D6928" s="2" t="str">
        <f t="shared" ca="1" si="107"/>
        <v>Error?</v>
      </c>
    </row>
    <row r="6929" spans="1:4" x14ac:dyDescent="0.2">
      <c r="A6929">
        <v>6868</v>
      </c>
      <c r="B6929" s="138">
        <f ca="1">'Expenditures 15-22'!J50</f>
        <v>0</v>
      </c>
      <c r="D6929" s="2" t="str">
        <f t="shared" ca="1" si="107"/>
        <v>Error?</v>
      </c>
    </row>
    <row r="6930" spans="1:4" x14ac:dyDescent="0.2">
      <c r="A6930">
        <v>6869</v>
      </c>
      <c r="B6930" s="138">
        <f ca="1">'Expenditures 15-22'!I51</f>
        <v>0</v>
      </c>
      <c r="D6930" s="2" t="str">
        <f t="shared" ca="1" si="107"/>
        <v>Error?</v>
      </c>
    </row>
    <row r="6931" spans="1:4" x14ac:dyDescent="0.2">
      <c r="A6931">
        <v>6870</v>
      </c>
      <c r="B6931" s="138">
        <f ca="1">'Expenditures 15-22'!J51</f>
        <v>0</v>
      </c>
      <c r="D6931" s="2" t="str">
        <f t="shared" ca="1" si="107"/>
        <v>Error?</v>
      </c>
    </row>
    <row r="6932" spans="1:4" x14ac:dyDescent="0.2">
      <c r="A6932">
        <v>6871</v>
      </c>
      <c r="B6932" s="138">
        <f ca="1">'Expenditures 15-22'!C52</f>
        <v>0</v>
      </c>
      <c r="D6932" s="2" t="str">
        <f t="shared" ca="1" si="107"/>
        <v>Error?</v>
      </c>
    </row>
    <row r="6933" spans="1:4" x14ac:dyDescent="0.2">
      <c r="A6933">
        <v>6872</v>
      </c>
      <c r="B6933" s="138">
        <f ca="1">'Expenditures 15-22'!D52</f>
        <v>0</v>
      </c>
      <c r="D6933" s="2" t="str">
        <f t="shared" ca="1" si="107"/>
        <v>Error?</v>
      </c>
    </row>
    <row r="6934" spans="1:4" x14ac:dyDescent="0.2">
      <c r="A6934">
        <v>6873</v>
      </c>
      <c r="B6934" s="138">
        <f ca="1">'Expenditures 15-22'!E52</f>
        <v>0</v>
      </c>
      <c r="D6934" s="2" t="str">
        <f t="shared" ca="1" si="107"/>
        <v>Error?</v>
      </c>
    </row>
    <row r="6935" spans="1:4" x14ac:dyDescent="0.2">
      <c r="A6935">
        <v>6874</v>
      </c>
      <c r="B6935" s="138">
        <f ca="1">'Expenditures 15-22'!F52</f>
        <v>0</v>
      </c>
      <c r="D6935" s="2" t="str">
        <f t="shared" ca="1" si="107"/>
        <v>Error?</v>
      </c>
    </row>
    <row r="6936" spans="1:4" x14ac:dyDescent="0.2">
      <c r="A6936">
        <v>6875</v>
      </c>
      <c r="B6936" s="138">
        <f ca="1">'Expenditures 15-22'!G52</f>
        <v>0</v>
      </c>
      <c r="D6936" s="2" t="str">
        <f t="shared" ca="1" si="107"/>
        <v>Error?</v>
      </c>
    </row>
    <row r="6937" spans="1:4" x14ac:dyDescent="0.2">
      <c r="A6937">
        <v>6876</v>
      </c>
      <c r="B6937" s="138">
        <f ca="1">'Expenditures 15-22'!H52</f>
        <v>0</v>
      </c>
      <c r="D6937" s="2" t="str">
        <f t="shared" ca="1" si="107"/>
        <v>Error?</v>
      </c>
    </row>
    <row r="6938" spans="1:4" x14ac:dyDescent="0.2">
      <c r="A6938">
        <v>6877</v>
      </c>
      <c r="B6938" s="138">
        <f ca="1">'Expenditures 15-22'!I52</f>
        <v>0</v>
      </c>
      <c r="D6938" s="2" t="str">
        <f t="shared" ca="1" si="107"/>
        <v>Error?</v>
      </c>
    </row>
    <row r="6939" spans="1:4" x14ac:dyDescent="0.2">
      <c r="A6939">
        <v>6878</v>
      </c>
      <c r="B6939" s="138">
        <f ca="1">'Expenditures 15-22'!J52</f>
        <v>0</v>
      </c>
      <c r="D6939" s="2" t="str">
        <f t="shared" ca="1" si="107"/>
        <v>Error?</v>
      </c>
    </row>
    <row r="6940" spans="1:4" x14ac:dyDescent="0.2">
      <c r="A6940">
        <v>6879</v>
      </c>
      <c r="B6940" s="138">
        <f ca="1">'Expenditures 15-22'!K52</f>
        <v>0</v>
      </c>
      <c r="D6940" s="2" t="str">
        <f t="shared" ca="1" si="107"/>
        <v>Error?</v>
      </c>
    </row>
    <row r="6941" spans="1:4" x14ac:dyDescent="0.2">
      <c r="A6941">
        <v>6880</v>
      </c>
      <c r="B6941" s="138">
        <f ca="1">'Expenditures 15-22'!L52</f>
        <v>0</v>
      </c>
      <c r="D6941" s="2" t="str">
        <f t="shared" ca="1" si="107"/>
        <v>Error?</v>
      </c>
    </row>
    <row r="6942" spans="1:4" x14ac:dyDescent="0.2">
      <c r="A6942">
        <v>6881</v>
      </c>
      <c r="B6942" s="138">
        <f ca="1">'Expenditures 15-22'!I53</f>
        <v>0</v>
      </c>
      <c r="D6942" s="2" t="str">
        <f t="shared" ca="1" si="107"/>
        <v>Error?</v>
      </c>
    </row>
    <row r="6943" spans="1:4" x14ac:dyDescent="0.2">
      <c r="A6943">
        <v>6882</v>
      </c>
      <c r="B6943" s="138">
        <f ca="1">'Expenditures 15-22'!J53</f>
        <v>0</v>
      </c>
      <c r="D6943" s="2" t="str">
        <f t="shared" ca="1" si="107"/>
        <v>Error?</v>
      </c>
    </row>
    <row r="6944" spans="1:4" x14ac:dyDescent="0.2">
      <c r="A6944">
        <v>6883</v>
      </c>
      <c r="B6944" s="138">
        <f ca="1">'Expenditures 15-22'!I55</f>
        <v>0</v>
      </c>
      <c r="D6944" s="2" t="str">
        <f t="shared" ca="1" si="107"/>
        <v>Error?</v>
      </c>
    </row>
    <row r="6945" spans="1:4" x14ac:dyDescent="0.2">
      <c r="A6945">
        <v>6884</v>
      </c>
      <c r="B6945" s="138">
        <f ca="1">'Expenditures 15-22'!J55</f>
        <v>0</v>
      </c>
      <c r="D6945" s="2" t="str">
        <f t="shared" ca="1" si="107"/>
        <v>Error?</v>
      </c>
    </row>
    <row r="6946" spans="1:4" x14ac:dyDescent="0.2">
      <c r="A6946">
        <v>6885</v>
      </c>
      <c r="B6946" s="138">
        <f ca="1">'Expenditures 15-22'!I56</f>
        <v>0</v>
      </c>
      <c r="D6946" s="2" t="str">
        <f t="shared" ca="1" si="107"/>
        <v>Error?</v>
      </c>
    </row>
    <row r="6947" spans="1:4" x14ac:dyDescent="0.2">
      <c r="A6947">
        <v>6886</v>
      </c>
      <c r="B6947" s="138">
        <f ca="1">'Expenditures 15-22'!J56</f>
        <v>0</v>
      </c>
      <c r="D6947" s="2" t="str">
        <f t="shared" ca="1" si="107"/>
        <v>Error?</v>
      </c>
    </row>
    <row r="6948" spans="1:4" x14ac:dyDescent="0.2">
      <c r="A6948">
        <v>6887</v>
      </c>
      <c r="B6948" s="138">
        <f ca="1">'Expenditures 15-22'!I57</f>
        <v>0</v>
      </c>
      <c r="D6948" s="2" t="str">
        <f t="shared" ca="1" si="107"/>
        <v>Error?</v>
      </c>
    </row>
    <row r="6949" spans="1:4" x14ac:dyDescent="0.2">
      <c r="A6949">
        <v>6888</v>
      </c>
      <c r="B6949" s="138">
        <f ca="1">'Expenditures 15-22'!J57</f>
        <v>0</v>
      </c>
      <c r="D6949" s="2" t="str">
        <f t="shared" ca="1" si="107"/>
        <v>Error?</v>
      </c>
    </row>
    <row r="6950" spans="1:4" x14ac:dyDescent="0.2">
      <c r="A6950">
        <v>6889</v>
      </c>
      <c r="B6950" s="138">
        <f ca="1">'Expenditures 15-22'!I59</f>
        <v>0</v>
      </c>
      <c r="D6950" s="2" t="str">
        <f t="shared" ca="1" si="107"/>
        <v>Error?</v>
      </c>
    </row>
    <row r="6951" spans="1:4" x14ac:dyDescent="0.2">
      <c r="A6951">
        <v>6890</v>
      </c>
      <c r="B6951" s="138">
        <f ca="1">'Expenditures 15-22'!J59</f>
        <v>0</v>
      </c>
      <c r="D6951" s="2" t="str">
        <f t="shared" ca="1" si="107"/>
        <v>Error?</v>
      </c>
    </row>
    <row r="6952" spans="1:4" x14ac:dyDescent="0.2">
      <c r="A6952">
        <v>6891</v>
      </c>
      <c r="B6952" s="138">
        <f ca="1">'Expenditures 15-22'!I60</f>
        <v>0</v>
      </c>
      <c r="D6952" s="2" t="str">
        <f t="shared" ca="1" si="107"/>
        <v>Error?</v>
      </c>
    </row>
    <row r="6953" spans="1:4" x14ac:dyDescent="0.2">
      <c r="A6953">
        <v>6892</v>
      </c>
      <c r="B6953" s="138">
        <f ca="1">'Expenditures 15-22'!J60</f>
        <v>0</v>
      </c>
      <c r="D6953" s="2" t="str">
        <f t="shared" ca="1" si="107"/>
        <v>Error?</v>
      </c>
    </row>
    <row r="6954" spans="1:4" x14ac:dyDescent="0.2">
      <c r="A6954">
        <v>6893</v>
      </c>
      <c r="B6954" s="138">
        <f ca="1">'Expenditures 15-22'!I61</f>
        <v>0</v>
      </c>
      <c r="D6954" s="2" t="str">
        <f t="shared" ca="1" si="107"/>
        <v>Error?</v>
      </c>
    </row>
    <row r="6955" spans="1:4" x14ac:dyDescent="0.2">
      <c r="A6955">
        <v>6894</v>
      </c>
      <c r="B6955" s="138">
        <f ca="1">'Expenditures 15-22'!J61</f>
        <v>0</v>
      </c>
      <c r="D6955" s="2" t="str">
        <f t="shared" ca="1" si="107"/>
        <v>Error?</v>
      </c>
    </row>
    <row r="6956" spans="1:4" x14ac:dyDescent="0.2">
      <c r="A6956">
        <v>6895</v>
      </c>
      <c r="B6956" s="138">
        <f ca="1">'Expenditures 15-22'!I62</f>
        <v>0</v>
      </c>
      <c r="D6956" s="2" t="str">
        <f t="shared" ca="1" si="107"/>
        <v>Error?</v>
      </c>
    </row>
    <row r="6957" spans="1:4" x14ac:dyDescent="0.2">
      <c r="A6957">
        <v>6896</v>
      </c>
      <c r="B6957" s="138">
        <f ca="1">'Expenditures 15-22'!J62</f>
        <v>0</v>
      </c>
      <c r="D6957" s="2" t="str">
        <f t="shared" ca="1" si="107"/>
        <v>Error?</v>
      </c>
    </row>
    <row r="6958" spans="1:4" x14ac:dyDescent="0.2">
      <c r="A6958">
        <v>6897</v>
      </c>
      <c r="B6958" s="138">
        <f ca="1">'Expenditures 15-22'!I63</f>
        <v>0</v>
      </c>
      <c r="D6958" s="2" t="str">
        <f t="shared" ca="1" si="107"/>
        <v>Error?</v>
      </c>
    </row>
    <row r="6959" spans="1:4" x14ac:dyDescent="0.2">
      <c r="A6959">
        <v>6898</v>
      </c>
      <c r="B6959" s="138">
        <f ca="1">'Expenditures 15-22'!J63</f>
        <v>0</v>
      </c>
      <c r="D6959" s="2" t="str">
        <f t="shared" ca="1" si="107"/>
        <v>Error?</v>
      </c>
    </row>
    <row r="6960" spans="1:4" x14ac:dyDescent="0.2">
      <c r="A6960">
        <v>6899</v>
      </c>
      <c r="B6960" s="138">
        <f ca="1">'Expenditures 15-22'!J64</f>
        <v>0</v>
      </c>
      <c r="D6960" s="2" t="str">
        <f t="shared" ca="1" si="107"/>
        <v>Error?</v>
      </c>
    </row>
    <row r="6961" spans="1:4" x14ac:dyDescent="0.2">
      <c r="A6961">
        <v>6900</v>
      </c>
      <c r="B6961" s="138">
        <f ca="1">'Expenditures 15-22'!I65</f>
        <v>0</v>
      </c>
      <c r="D6961" s="2" t="str">
        <f t="shared" ca="1" si="107"/>
        <v>Error?</v>
      </c>
    </row>
    <row r="6962" spans="1:4" x14ac:dyDescent="0.2">
      <c r="A6962">
        <v>6901</v>
      </c>
      <c r="B6962" s="138">
        <f ca="1">'Expenditures 15-22'!J65</f>
        <v>0</v>
      </c>
      <c r="D6962" s="2" t="str">
        <f t="shared" ca="1" si="107"/>
        <v>Error?</v>
      </c>
    </row>
    <row r="6963" spans="1:4" x14ac:dyDescent="0.2">
      <c r="A6963">
        <v>6902</v>
      </c>
      <c r="B6963" s="138">
        <f ca="1">'Expenditures 15-22'!I67</f>
        <v>0</v>
      </c>
      <c r="D6963" s="2" t="str">
        <f t="shared" ca="1" si="107"/>
        <v>Error?</v>
      </c>
    </row>
    <row r="6964" spans="1:4" x14ac:dyDescent="0.2">
      <c r="A6964">
        <v>6903</v>
      </c>
      <c r="B6964" s="138">
        <f ca="1">'Expenditures 15-22'!J67</f>
        <v>0</v>
      </c>
      <c r="D6964" s="2" t="str">
        <f t="shared" ca="1" si="107"/>
        <v>Error?</v>
      </c>
    </row>
    <row r="6965" spans="1:4" x14ac:dyDescent="0.2">
      <c r="A6965">
        <v>6904</v>
      </c>
      <c r="B6965" s="138">
        <f ca="1">'Expenditures 15-22'!I68</f>
        <v>0</v>
      </c>
      <c r="D6965" s="2" t="str">
        <f t="shared" ca="1" si="107"/>
        <v>Error?</v>
      </c>
    </row>
    <row r="6966" spans="1:4" x14ac:dyDescent="0.2">
      <c r="A6966">
        <v>6905</v>
      </c>
      <c r="B6966" s="138">
        <f ca="1">'Expenditures 15-22'!J68</f>
        <v>0</v>
      </c>
      <c r="D6966" s="2" t="str">
        <f t="shared" ca="1" si="107"/>
        <v>Error?</v>
      </c>
    </row>
    <row r="6967" spans="1:4" x14ac:dyDescent="0.2">
      <c r="A6967">
        <v>6906</v>
      </c>
      <c r="B6967" s="138">
        <f ca="1">'Expenditures 15-22'!I69</f>
        <v>0</v>
      </c>
      <c r="D6967" s="2" t="str">
        <f t="shared" ca="1" si="107"/>
        <v>Error?</v>
      </c>
    </row>
    <row r="6968" spans="1:4" x14ac:dyDescent="0.2">
      <c r="A6968">
        <v>6907</v>
      </c>
      <c r="B6968" s="138">
        <f ca="1">'Expenditures 15-22'!J69</f>
        <v>0</v>
      </c>
      <c r="D6968" s="2" t="str">
        <f t="shared" ca="1" si="107"/>
        <v>Error?</v>
      </c>
    </row>
    <row r="6969" spans="1:4" x14ac:dyDescent="0.2">
      <c r="A6969">
        <v>6908</v>
      </c>
      <c r="B6969" s="138">
        <f ca="1">'Expenditures 15-22'!I70</f>
        <v>0</v>
      </c>
      <c r="D6969" s="2" t="str">
        <f t="shared" ca="1" si="107"/>
        <v>Error?</v>
      </c>
    </row>
    <row r="6970" spans="1:4" x14ac:dyDescent="0.2">
      <c r="A6970">
        <v>6909</v>
      </c>
      <c r="B6970" s="138">
        <f ca="1">'Expenditures 15-22'!J70</f>
        <v>0</v>
      </c>
      <c r="D6970" s="2" t="str">
        <f t="shared" ca="1" si="107"/>
        <v>Error?</v>
      </c>
    </row>
    <row r="6971" spans="1:4" x14ac:dyDescent="0.2">
      <c r="A6971">
        <v>6910</v>
      </c>
      <c r="B6971" s="138">
        <f ca="1">'Expenditures 15-22'!I71</f>
        <v>0</v>
      </c>
      <c r="D6971" s="2" t="str">
        <f t="shared" ca="1" si="107"/>
        <v>Error?</v>
      </c>
    </row>
    <row r="6972" spans="1:4" x14ac:dyDescent="0.2">
      <c r="A6972">
        <v>6911</v>
      </c>
      <c r="B6972" s="138">
        <f ca="1">'Expenditures 15-22'!J71</f>
        <v>0</v>
      </c>
      <c r="D6972" s="2" t="str">
        <f t="shared" ca="1" si="107"/>
        <v>Error?</v>
      </c>
    </row>
    <row r="6973" spans="1:4" x14ac:dyDescent="0.2">
      <c r="A6973">
        <v>6912</v>
      </c>
      <c r="B6973" s="138">
        <f ca="1">'Expenditures 15-22'!I72</f>
        <v>0</v>
      </c>
      <c r="D6973" s="2" t="str">
        <f t="shared" ca="1" si="107"/>
        <v>Error?</v>
      </c>
    </row>
    <row r="6974" spans="1:4" x14ac:dyDescent="0.2">
      <c r="A6974">
        <v>6913</v>
      </c>
      <c r="B6974" s="138">
        <f ca="1">'Expenditures 15-22'!J72</f>
        <v>0</v>
      </c>
      <c r="D6974" s="2" t="str">
        <f t="shared" ca="1" si="107"/>
        <v>Error?</v>
      </c>
    </row>
    <row r="6975" spans="1:4" x14ac:dyDescent="0.2">
      <c r="A6975">
        <v>6914</v>
      </c>
      <c r="B6975" s="138">
        <f ca="1">'Expenditures 15-22'!I73</f>
        <v>0</v>
      </c>
      <c r="D6975" s="2" t="str">
        <f t="shared" ref="D6975:D7038" ca="1" si="108">IF(ISBLANK(B6975),"OK",IF(A6975-B6975=0,"OK","Error?"))</f>
        <v>Error?</v>
      </c>
    </row>
    <row r="6976" spans="1:4" x14ac:dyDescent="0.2">
      <c r="A6976">
        <v>6915</v>
      </c>
      <c r="B6976" s="138">
        <f ca="1">'Expenditures 15-22'!J73</f>
        <v>0</v>
      </c>
      <c r="D6976" s="2" t="str">
        <f t="shared" ca="1" si="108"/>
        <v>Error?</v>
      </c>
    </row>
    <row r="6977" spans="1:4" x14ac:dyDescent="0.2">
      <c r="A6977">
        <v>6916</v>
      </c>
      <c r="B6977" s="138">
        <f ca="1">'Expenditures 15-22'!I74</f>
        <v>0</v>
      </c>
      <c r="D6977" s="2" t="str">
        <f t="shared" ca="1" si="108"/>
        <v>Error?</v>
      </c>
    </row>
    <row r="6978" spans="1:4" x14ac:dyDescent="0.2">
      <c r="A6978">
        <v>6917</v>
      </c>
      <c r="B6978" s="138">
        <f ca="1">'Expenditures 15-22'!J74</f>
        <v>0</v>
      </c>
      <c r="D6978" s="2" t="str">
        <f t="shared" ca="1" si="108"/>
        <v>Error?</v>
      </c>
    </row>
    <row r="6979" spans="1:4" x14ac:dyDescent="0.2">
      <c r="A6979">
        <v>6918</v>
      </c>
      <c r="B6979" s="138">
        <f ca="1">'Expenditures 15-22'!I75</f>
        <v>0</v>
      </c>
      <c r="D6979" s="2" t="str">
        <f t="shared" ca="1" si="108"/>
        <v>Error?</v>
      </c>
    </row>
    <row r="6980" spans="1:4" x14ac:dyDescent="0.2">
      <c r="A6980">
        <v>6919</v>
      </c>
      <c r="B6980" s="138">
        <f ca="1">'Expenditures 15-22'!J75</f>
        <v>0</v>
      </c>
      <c r="D6980" s="2" t="str">
        <f t="shared" ca="1" si="108"/>
        <v>Error?</v>
      </c>
    </row>
    <row r="6981" spans="1:4" x14ac:dyDescent="0.2">
      <c r="A6981">
        <v>6920</v>
      </c>
      <c r="B6981" s="138">
        <f ca="1">'Expenditures 15-22'!H85</f>
        <v>0</v>
      </c>
      <c r="D6981" s="2" t="str">
        <f t="shared" ca="1" si="108"/>
        <v>Error?</v>
      </c>
    </row>
    <row r="6982" spans="1:4" x14ac:dyDescent="0.2">
      <c r="A6982">
        <v>6921</v>
      </c>
      <c r="B6982" s="138">
        <f ca="1">'Expenditures 15-22'!K85</f>
        <v>0</v>
      </c>
      <c r="D6982" s="2" t="str">
        <f t="shared" ca="1" si="108"/>
        <v>Error?</v>
      </c>
    </row>
    <row r="6983" spans="1:4" x14ac:dyDescent="0.2">
      <c r="A6983">
        <v>6922</v>
      </c>
      <c r="B6983" s="138">
        <f ca="1">'Expenditures 15-22'!H86</f>
        <v>0</v>
      </c>
      <c r="D6983" s="2" t="str">
        <f t="shared" ca="1" si="108"/>
        <v>Error?</v>
      </c>
    </row>
    <row r="6984" spans="1:4" x14ac:dyDescent="0.2">
      <c r="A6984">
        <v>6923</v>
      </c>
      <c r="B6984" s="138">
        <f ca="1">'Expenditures 15-22'!K86</f>
        <v>0</v>
      </c>
      <c r="D6984" s="2" t="str">
        <f t="shared" ca="1" si="108"/>
        <v>Error?</v>
      </c>
    </row>
    <row r="6985" spans="1:4" x14ac:dyDescent="0.2">
      <c r="A6985">
        <v>6924</v>
      </c>
      <c r="B6985" s="138">
        <f ca="1">'Expenditures 15-22'!H87</f>
        <v>0</v>
      </c>
      <c r="D6985" s="2" t="str">
        <f t="shared" ca="1" si="108"/>
        <v>Error?</v>
      </c>
    </row>
    <row r="6986" spans="1:4" x14ac:dyDescent="0.2">
      <c r="A6986">
        <v>6925</v>
      </c>
      <c r="B6986" s="138">
        <f ca="1">'Expenditures 15-22'!K87</f>
        <v>0</v>
      </c>
      <c r="D6986" s="2" t="str">
        <f t="shared" ca="1" si="108"/>
        <v>Error?</v>
      </c>
    </row>
    <row r="6987" spans="1:4" x14ac:dyDescent="0.2">
      <c r="A6987">
        <v>6926</v>
      </c>
      <c r="B6987" s="138">
        <f ca="1">'Expenditures 15-22'!H88</f>
        <v>0</v>
      </c>
      <c r="D6987" s="2" t="str">
        <f t="shared" ca="1" si="108"/>
        <v>Error?</v>
      </c>
    </row>
    <row r="6988" spans="1:4" x14ac:dyDescent="0.2">
      <c r="A6988">
        <v>6927</v>
      </c>
      <c r="B6988" s="138">
        <f ca="1">'Expenditures 15-22'!K88</f>
        <v>0</v>
      </c>
      <c r="D6988" s="2" t="str">
        <f t="shared" ca="1" si="108"/>
        <v>Error?</v>
      </c>
    </row>
    <row r="6989" spans="1:4" x14ac:dyDescent="0.2">
      <c r="A6989">
        <v>6928</v>
      </c>
      <c r="B6989" s="138">
        <f ca="1">'Expenditures 15-22'!H89</f>
        <v>0</v>
      </c>
      <c r="D6989" s="2" t="str">
        <f t="shared" ca="1" si="108"/>
        <v>Error?</v>
      </c>
    </row>
    <row r="6990" spans="1:4" x14ac:dyDescent="0.2">
      <c r="A6990">
        <v>6929</v>
      </c>
      <c r="B6990" s="138">
        <f ca="1">'Expenditures 15-22'!K89</f>
        <v>0</v>
      </c>
      <c r="D6990" s="2" t="str">
        <f t="shared" ca="1" si="108"/>
        <v>Error?</v>
      </c>
    </row>
    <row r="6991" spans="1:4" x14ac:dyDescent="0.2">
      <c r="A6991">
        <v>6930</v>
      </c>
      <c r="B6991" s="138">
        <f ca="1">'Expenditures 15-22'!H90</f>
        <v>0</v>
      </c>
      <c r="D6991" s="2" t="str">
        <f t="shared" ca="1" si="108"/>
        <v>Error?</v>
      </c>
    </row>
    <row r="6992" spans="1:4" x14ac:dyDescent="0.2">
      <c r="A6992">
        <v>6931</v>
      </c>
      <c r="B6992" s="138">
        <f ca="1">'Expenditures 15-22'!K90</f>
        <v>0</v>
      </c>
      <c r="D6992" s="2" t="str">
        <f t="shared" ca="1" si="108"/>
        <v>Error?</v>
      </c>
    </row>
    <row r="6993" spans="1:4" x14ac:dyDescent="0.2">
      <c r="A6993">
        <v>6932</v>
      </c>
      <c r="B6993" s="138">
        <f ca="1">'Expenditures 15-22'!H91</f>
        <v>0</v>
      </c>
      <c r="D6993" s="2" t="str">
        <f t="shared" ca="1" si="108"/>
        <v>Error?</v>
      </c>
    </row>
    <row r="6994" spans="1:4" x14ac:dyDescent="0.2">
      <c r="A6994">
        <v>6933</v>
      </c>
      <c r="B6994" s="138">
        <f ca="1">'Expenditures 15-22'!K91</f>
        <v>0</v>
      </c>
      <c r="D6994" s="2" t="str">
        <f t="shared" ca="1" si="108"/>
        <v>Error?</v>
      </c>
    </row>
    <row r="6995" spans="1:4" x14ac:dyDescent="0.2">
      <c r="A6995">
        <v>6934</v>
      </c>
      <c r="B6995" s="138">
        <f ca="1">'Expenditures 15-22'!H92</f>
        <v>0</v>
      </c>
      <c r="D6995" s="2" t="str">
        <f t="shared" ca="1" si="108"/>
        <v>Error?</v>
      </c>
    </row>
    <row r="6996" spans="1:4" x14ac:dyDescent="0.2">
      <c r="A6996">
        <v>6935</v>
      </c>
      <c r="B6996" s="138">
        <f ca="1">'Expenditures 15-22'!H93</f>
        <v>0</v>
      </c>
      <c r="D6996" s="2" t="str">
        <f t="shared" ca="1" si="108"/>
        <v>Error?</v>
      </c>
    </row>
    <row r="6997" spans="1:4" x14ac:dyDescent="0.2">
      <c r="A6997">
        <v>6936</v>
      </c>
      <c r="B6997" s="138">
        <f ca="1">'Expenditures 15-22'!K93</f>
        <v>0</v>
      </c>
      <c r="D6997" s="2" t="str">
        <f t="shared" ca="1" si="108"/>
        <v>Error?</v>
      </c>
    </row>
    <row r="6998" spans="1:4" x14ac:dyDescent="0.2">
      <c r="A6998">
        <v>6937</v>
      </c>
      <c r="B6998" s="138">
        <f ca="1">'Expenditures 15-22'!H94</f>
        <v>0</v>
      </c>
      <c r="D6998" s="2" t="str">
        <f t="shared" ca="1" si="108"/>
        <v>Error?</v>
      </c>
    </row>
    <row r="6999" spans="1:4" x14ac:dyDescent="0.2">
      <c r="A6999">
        <v>6938</v>
      </c>
      <c r="B6999" s="138">
        <f ca="1">'Expenditures 15-22'!K94</f>
        <v>0</v>
      </c>
      <c r="D6999" s="2" t="str">
        <f t="shared" ca="1" si="108"/>
        <v>Error?</v>
      </c>
    </row>
    <row r="7000" spans="1:4" x14ac:dyDescent="0.2">
      <c r="A7000">
        <v>6939</v>
      </c>
      <c r="B7000" s="138">
        <f ca="1">'Expenditures 15-22'!H95</f>
        <v>0</v>
      </c>
      <c r="D7000" s="2" t="str">
        <f t="shared" ca="1" si="108"/>
        <v>Error?</v>
      </c>
    </row>
    <row r="7001" spans="1:4" x14ac:dyDescent="0.2">
      <c r="A7001">
        <v>6940</v>
      </c>
      <c r="B7001" s="138">
        <f ca="1">'Expenditures 15-22'!K95</f>
        <v>0</v>
      </c>
      <c r="D7001" s="2" t="str">
        <f t="shared" ca="1" si="108"/>
        <v>Error?</v>
      </c>
    </row>
    <row r="7002" spans="1:4" x14ac:dyDescent="0.2">
      <c r="A7002">
        <v>6941</v>
      </c>
      <c r="B7002" s="138">
        <f ca="1">'Expenditures 15-22'!H96</f>
        <v>0</v>
      </c>
      <c r="D7002" s="2" t="str">
        <f t="shared" ca="1" si="108"/>
        <v>Error?</v>
      </c>
    </row>
    <row r="7003" spans="1:4" x14ac:dyDescent="0.2">
      <c r="A7003">
        <v>6942</v>
      </c>
      <c r="B7003" s="138">
        <f ca="1">'Expenditures 15-22'!K96</f>
        <v>0</v>
      </c>
      <c r="D7003" s="2" t="str">
        <f t="shared" ca="1" si="108"/>
        <v>Error?</v>
      </c>
    </row>
    <row r="7004" spans="1:4" x14ac:dyDescent="0.2">
      <c r="A7004">
        <v>6943</v>
      </c>
      <c r="B7004" s="138">
        <f ca="1">'Expenditures 15-22'!H97</f>
        <v>0</v>
      </c>
      <c r="D7004" s="2" t="str">
        <f t="shared" ca="1" si="108"/>
        <v>Error?</v>
      </c>
    </row>
    <row r="7005" spans="1:4" x14ac:dyDescent="0.2">
      <c r="A7005">
        <v>6944</v>
      </c>
      <c r="B7005" s="138">
        <f ca="1">'Expenditures 15-22'!K97</f>
        <v>0</v>
      </c>
      <c r="D7005" s="2" t="str">
        <f t="shared" ca="1" si="108"/>
        <v>Error?</v>
      </c>
    </row>
    <row r="7006" spans="1:4" x14ac:dyDescent="0.2">
      <c r="A7006">
        <v>6945</v>
      </c>
      <c r="B7006" s="138">
        <f ca="1">'Expenditures 15-22'!H98</f>
        <v>0</v>
      </c>
      <c r="D7006" s="2" t="str">
        <f t="shared" ca="1" si="108"/>
        <v>Error?</v>
      </c>
    </row>
    <row r="7007" spans="1:4" x14ac:dyDescent="0.2">
      <c r="A7007">
        <v>6946</v>
      </c>
      <c r="B7007" s="138">
        <f ca="1">'Expenditures 15-22'!K98</f>
        <v>0</v>
      </c>
      <c r="D7007" s="2" t="str">
        <f t="shared" ca="1" si="108"/>
        <v>Error?</v>
      </c>
    </row>
    <row r="7008" spans="1:4" x14ac:dyDescent="0.2">
      <c r="A7008">
        <v>6947</v>
      </c>
      <c r="B7008" s="138">
        <f ca="1">'Expenditures 15-22'!E99</f>
        <v>0</v>
      </c>
      <c r="D7008" s="2" t="str">
        <f t="shared" ca="1" si="108"/>
        <v>Error?</v>
      </c>
    </row>
    <row r="7009" spans="1:4" x14ac:dyDescent="0.2">
      <c r="A7009">
        <v>6948</v>
      </c>
      <c r="B7009" s="138">
        <f ca="1">'Expenditures 15-22'!H99</f>
        <v>0</v>
      </c>
      <c r="D7009" s="2" t="str">
        <f t="shared" ca="1" si="108"/>
        <v>Error?</v>
      </c>
    </row>
    <row r="7010" spans="1:4" x14ac:dyDescent="0.2">
      <c r="A7010">
        <v>6949</v>
      </c>
      <c r="B7010" s="138">
        <f ca="1">'Expenditures 15-22'!K99</f>
        <v>0</v>
      </c>
      <c r="D7010" s="2" t="str">
        <f t="shared" ca="1" si="108"/>
        <v>Error?</v>
      </c>
    </row>
    <row r="7011" spans="1:4" x14ac:dyDescent="0.2">
      <c r="A7011">
        <v>6950</v>
      </c>
      <c r="B7011" s="138">
        <f ca="1">'Expenditures 15-22'!E100</f>
        <v>0</v>
      </c>
      <c r="D7011" s="2" t="str">
        <f t="shared" ca="1" si="108"/>
        <v>Error?</v>
      </c>
    </row>
    <row r="7012" spans="1:4" x14ac:dyDescent="0.2">
      <c r="A7012">
        <v>6951</v>
      </c>
      <c r="B7012" s="138">
        <f ca="1">'Expenditures 15-22'!H100</f>
        <v>0</v>
      </c>
      <c r="D7012" s="2" t="str">
        <f t="shared" ca="1" si="108"/>
        <v>Error?</v>
      </c>
    </row>
    <row r="7013" spans="1:4" x14ac:dyDescent="0.2">
      <c r="A7013">
        <v>6952</v>
      </c>
      <c r="B7013" s="138">
        <f ca="1">'Expenditures 15-22'!K100</f>
        <v>0</v>
      </c>
      <c r="D7013" s="2" t="str">
        <f t="shared" ca="1" si="108"/>
        <v>Error?</v>
      </c>
    </row>
    <row r="7014" spans="1:4" x14ac:dyDescent="0.2">
      <c r="A7014">
        <v>6953</v>
      </c>
      <c r="B7014" s="138">
        <f ca="1">'Expenditures 15-22'!H101</f>
        <v>0</v>
      </c>
      <c r="D7014" s="2" t="str">
        <f t="shared" ca="1" si="108"/>
        <v>Error?</v>
      </c>
    </row>
    <row r="7015" spans="1:4" x14ac:dyDescent="0.2">
      <c r="A7015">
        <v>6954</v>
      </c>
      <c r="B7015" s="138">
        <f ca="1">'Expenditures 15-22'!K101</f>
        <v>0</v>
      </c>
      <c r="D7015" s="2" t="str">
        <f t="shared" ca="1" si="108"/>
        <v>Error?</v>
      </c>
    </row>
    <row r="7016" spans="1:4" x14ac:dyDescent="0.2">
      <c r="A7016">
        <v>6955</v>
      </c>
      <c r="B7016" s="138">
        <f ca="1">'Expenditures 15-22'!H111</f>
        <v>0</v>
      </c>
      <c r="D7016" s="2" t="str">
        <f t="shared" ca="1" si="108"/>
        <v>Error?</v>
      </c>
    </row>
    <row r="7017" spans="1:4" x14ac:dyDescent="0.2">
      <c r="A7017">
        <v>6956</v>
      </c>
      <c r="B7017" s="138">
        <f ca="1">'Expenditures 15-22'!K111</f>
        <v>0</v>
      </c>
      <c r="D7017" s="2" t="str">
        <f t="shared" ca="1" si="108"/>
        <v>Error?</v>
      </c>
    </row>
    <row r="7018" spans="1:4" x14ac:dyDescent="0.2">
      <c r="A7018">
        <v>6957</v>
      </c>
      <c r="B7018" s="138">
        <f ca="1">'Expenditures 15-22'!H112</f>
        <v>0</v>
      </c>
      <c r="D7018" s="2" t="str">
        <f t="shared" ca="1" si="108"/>
        <v>Error?</v>
      </c>
    </row>
    <row r="7019" spans="1:4" x14ac:dyDescent="0.2">
      <c r="A7019">
        <v>6958</v>
      </c>
      <c r="B7019" s="138">
        <f ca="1">'Expenditures 15-22'!K112</f>
        <v>0</v>
      </c>
      <c r="D7019" s="2" t="str">
        <f t="shared" ca="1" si="108"/>
        <v>Error?</v>
      </c>
    </row>
    <row r="7020" spans="1:4" x14ac:dyDescent="0.2">
      <c r="A7020">
        <v>6959</v>
      </c>
      <c r="B7020" s="138">
        <f ca="1">'Expenditures 15-22'!I114</f>
        <v>0</v>
      </c>
      <c r="D7020" s="2" t="str">
        <f t="shared" ca="1" si="108"/>
        <v>Error?</v>
      </c>
    </row>
    <row r="7021" spans="1:4" x14ac:dyDescent="0.2">
      <c r="A7021">
        <v>6960</v>
      </c>
      <c r="B7021" s="138">
        <f ca="1">'Expenditures 15-22'!J114</f>
        <v>0</v>
      </c>
      <c r="D7021" s="2" t="str">
        <f t="shared" ca="1" si="108"/>
        <v>Error?</v>
      </c>
    </row>
    <row r="7022" spans="1:4" x14ac:dyDescent="0.2">
      <c r="A7022">
        <v>6961</v>
      </c>
      <c r="B7022" s="138">
        <f ca="1">'Expenditures 15-22'!I120</f>
        <v>0</v>
      </c>
      <c r="D7022" s="2" t="str">
        <f t="shared" ca="1" si="108"/>
        <v>Error?</v>
      </c>
    </row>
    <row r="7023" spans="1:4" x14ac:dyDescent="0.2">
      <c r="A7023">
        <v>6962</v>
      </c>
      <c r="B7023" s="138">
        <f ca="1">'Expenditures 15-22'!J120</f>
        <v>0</v>
      </c>
      <c r="D7023" s="2" t="str">
        <f t="shared" ca="1" si="108"/>
        <v>Error?</v>
      </c>
    </row>
    <row r="7024" spans="1:4" x14ac:dyDescent="0.2">
      <c r="A7024">
        <v>6963</v>
      </c>
      <c r="B7024" s="138">
        <f ca="1">'Expenditures 15-22'!I122</f>
        <v>0</v>
      </c>
      <c r="D7024" s="2" t="str">
        <f t="shared" ca="1" si="108"/>
        <v>Error?</v>
      </c>
    </row>
    <row r="7025" spans="1:4" x14ac:dyDescent="0.2">
      <c r="A7025">
        <v>6964</v>
      </c>
      <c r="B7025" s="138">
        <f ca="1">'Expenditures 15-22'!J122</f>
        <v>0</v>
      </c>
      <c r="D7025" s="2" t="str">
        <f t="shared" ca="1" si="108"/>
        <v>Error?</v>
      </c>
    </row>
    <row r="7026" spans="1:4" x14ac:dyDescent="0.2">
      <c r="A7026">
        <v>6965</v>
      </c>
      <c r="B7026" s="138">
        <f ca="1">'Expenditures 15-22'!I123</f>
        <v>0</v>
      </c>
      <c r="D7026" s="2" t="str">
        <f t="shared" ca="1" si="108"/>
        <v>Error?</v>
      </c>
    </row>
    <row r="7027" spans="1:4" x14ac:dyDescent="0.2">
      <c r="A7027">
        <v>6966</v>
      </c>
      <c r="B7027" s="138">
        <f ca="1">'Expenditures 15-22'!J123</f>
        <v>0</v>
      </c>
      <c r="D7027" s="2" t="str">
        <f t="shared" ca="1" si="108"/>
        <v>Error?</v>
      </c>
    </row>
    <row r="7028" spans="1:4" x14ac:dyDescent="0.2">
      <c r="A7028">
        <v>6967</v>
      </c>
      <c r="B7028" s="138">
        <f ca="1">'Expenditures 15-22'!I124</f>
        <v>0</v>
      </c>
      <c r="D7028" s="2" t="str">
        <f t="shared" ca="1" si="108"/>
        <v>Error?</v>
      </c>
    </row>
    <row r="7029" spans="1:4" x14ac:dyDescent="0.2">
      <c r="A7029">
        <v>6968</v>
      </c>
      <c r="B7029" s="138">
        <f ca="1">'Expenditures 15-22'!J124</f>
        <v>0</v>
      </c>
      <c r="D7029" s="2" t="str">
        <f t="shared" ca="1" si="108"/>
        <v>Error?</v>
      </c>
    </row>
    <row r="7030" spans="1:4" x14ac:dyDescent="0.2">
      <c r="A7030">
        <v>6969</v>
      </c>
      <c r="B7030" s="138">
        <f ca="1">'Expenditures 15-22'!I125</f>
        <v>0</v>
      </c>
      <c r="D7030" s="2" t="str">
        <f t="shared" ca="1" si="108"/>
        <v>Error?</v>
      </c>
    </row>
    <row r="7031" spans="1:4" x14ac:dyDescent="0.2">
      <c r="A7031">
        <v>6970</v>
      </c>
      <c r="B7031" s="138">
        <f ca="1">'Expenditures 15-22'!J125</f>
        <v>0</v>
      </c>
      <c r="D7031" s="2" t="str">
        <f t="shared" ca="1" si="108"/>
        <v>Error?</v>
      </c>
    </row>
    <row r="7032" spans="1:4" x14ac:dyDescent="0.2">
      <c r="A7032">
        <v>6971</v>
      </c>
      <c r="B7032" s="138">
        <f ca="1">'Expenditures 15-22'!I126</f>
        <v>0</v>
      </c>
      <c r="D7032" s="2" t="str">
        <f t="shared" ca="1" si="108"/>
        <v>Error?</v>
      </c>
    </row>
    <row r="7033" spans="1:4" x14ac:dyDescent="0.2">
      <c r="A7033">
        <v>6972</v>
      </c>
      <c r="B7033" s="138">
        <f ca="1">'Expenditures 15-22'!I127</f>
        <v>0</v>
      </c>
      <c r="D7033" s="2" t="str">
        <f t="shared" ca="1" si="108"/>
        <v>Error?</v>
      </c>
    </row>
    <row r="7034" spans="1:4" x14ac:dyDescent="0.2">
      <c r="A7034">
        <v>6973</v>
      </c>
      <c r="B7034" s="138">
        <f ca="1">'Expenditures 15-22'!J127</f>
        <v>0</v>
      </c>
      <c r="D7034" s="2" t="str">
        <f t="shared" ca="1" si="108"/>
        <v>Error?</v>
      </c>
    </row>
    <row r="7035" spans="1:4" x14ac:dyDescent="0.2">
      <c r="A7035">
        <v>6974</v>
      </c>
      <c r="B7035" s="138">
        <f ca="1">'Expenditures 15-22'!I128</f>
        <v>0</v>
      </c>
      <c r="D7035" s="2" t="str">
        <f t="shared" ca="1" si="108"/>
        <v>Error?</v>
      </c>
    </row>
    <row r="7036" spans="1:4" x14ac:dyDescent="0.2">
      <c r="A7036">
        <v>6975</v>
      </c>
      <c r="B7036" s="138">
        <f ca="1">'Expenditures 15-22'!J128</f>
        <v>0</v>
      </c>
      <c r="D7036" s="2" t="str">
        <f t="shared" ca="1" si="108"/>
        <v>Error?</v>
      </c>
    </row>
    <row r="7037" spans="1:4" x14ac:dyDescent="0.2">
      <c r="A7037">
        <v>6976</v>
      </c>
      <c r="B7037" s="138">
        <f ca="1">'Expenditures 15-22'!I129</f>
        <v>0</v>
      </c>
      <c r="D7037" s="2" t="str">
        <f t="shared" ca="1" si="108"/>
        <v>Error?</v>
      </c>
    </row>
    <row r="7038" spans="1:4" x14ac:dyDescent="0.2">
      <c r="A7038">
        <v>6977</v>
      </c>
      <c r="B7038" s="138">
        <f ca="1">'Expenditures 15-22'!J129</f>
        <v>0</v>
      </c>
      <c r="D7038" s="2" t="str">
        <f t="shared" ca="1" si="108"/>
        <v>Error?</v>
      </c>
    </row>
    <row r="7039" spans="1:4" x14ac:dyDescent="0.2">
      <c r="A7039">
        <v>6978</v>
      </c>
      <c r="B7039" s="138">
        <f ca="1">'Expenditures 15-22'!I130</f>
        <v>0</v>
      </c>
      <c r="D7039" s="2" t="str">
        <f t="shared" ref="D7039:D7102" ca="1" si="109">IF(ISBLANK(B7039),"OK",IF(A7039-B7039=0,"OK","Error?"))</f>
        <v>Error?</v>
      </c>
    </row>
    <row r="7040" spans="1:4" x14ac:dyDescent="0.2">
      <c r="A7040">
        <v>6979</v>
      </c>
      <c r="B7040" s="138">
        <f ca="1">'Expenditures 15-22'!J130</f>
        <v>0</v>
      </c>
      <c r="D7040" s="2" t="str">
        <f t="shared" ca="1" si="109"/>
        <v>Error?</v>
      </c>
    </row>
    <row r="7041" spans="1:5" x14ac:dyDescent="0.2">
      <c r="A7041">
        <v>6980</v>
      </c>
      <c r="B7041" s="138">
        <f ca="1">'Revenues 9-14'!J266</f>
        <v>0</v>
      </c>
      <c r="D7041" s="2" t="str">
        <f t="shared" ca="1" si="109"/>
        <v>Error?</v>
      </c>
    </row>
    <row r="7042" spans="1:5" x14ac:dyDescent="0.2">
      <c r="A7042">
        <v>6981</v>
      </c>
      <c r="B7042" s="138">
        <f ca="1">'Acct Summary 7-8'!J13</f>
        <v>526774</v>
      </c>
      <c r="D7042" s="2" t="str">
        <f t="shared" ca="1" si="109"/>
        <v>Error?</v>
      </c>
    </row>
    <row r="7043" spans="1:5" x14ac:dyDescent="0.2">
      <c r="A7043">
        <v>6982</v>
      </c>
      <c r="B7043" s="138">
        <f ca="1">'Revenues 9-14'!H9</f>
        <v>0</v>
      </c>
      <c r="D7043" s="2" t="str">
        <f t="shared" ca="1" si="109"/>
        <v>Error?</v>
      </c>
    </row>
    <row r="7044" spans="1:5" x14ac:dyDescent="0.2">
      <c r="A7044">
        <v>6983</v>
      </c>
      <c r="B7044" s="138">
        <f ca="1">'Revenues 9-14'!D106</f>
        <v>0</v>
      </c>
      <c r="D7044" s="2" t="str">
        <f t="shared" ca="1" si="109"/>
        <v>Error?</v>
      </c>
    </row>
    <row r="7045" spans="1:5" x14ac:dyDescent="0.2">
      <c r="A7045">
        <v>6984</v>
      </c>
      <c r="B7045" s="138">
        <f ca="1">'Revenues 9-14'!E106</f>
        <v>0</v>
      </c>
      <c r="D7045" s="2" t="str">
        <f t="shared" ca="1" si="109"/>
        <v>Error?</v>
      </c>
    </row>
    <row r="7046" spans="1:5" x14ac:dyDescent="0.2">
      <c r="A7046">
        <v>6985</v>
      </c>
      <c r="B7046" s="138">
        <f ca="1">'Revenues 9-14'!F106</f>
        <v>0</v>
      </c>
      <c r="D7046" s="2" t="str">
        <f t="shared" ca="1" si="109"/>
        <v>Error?</v>
      </c>
    </row>
    <row r="7047" spans="1:5" x14ac:dyDescent="0.2">
      <c r="A7047">
        <v>6986</v>
      </c>
      <c r="B7047" s="138">
        <f ca="1">'Expenditures 15-22'!H147</f>
        <v>0</v>
      </c>
      <c r="D7047" s="2" t="str">
        <f t="shared" ca="1" si="109"/>
        <v>Error?</v>
      </c>
    </row>
    <row r="7048" spans="1:5" x14ac:dyDescent="0.2">
      <c r="A7048">
        <v>6987</v>
      </c>
      <c r="B7048" s="138">
        <f ca="1">'Expenditures 15-22'!K147</f>
        <v>0</v>
      </c>
      <c r="D7048" s="2" t="str">
        <f t="shared" ca="1" si="109"/>
        <v>Error?</v>
      </c>
    </row>
    <row r="7049" spans="1:5" x14ac:dyDescent="0.2">
      <c r="A7049">
        <v>6988</v>
      </c>
      <c r="B7049" s="138">
        <f ca="1">'Expenditures 15-22'!H148</f>
        <v>0</v>
      </c>
      <c r="D7049" s="2" t="str">
        <f t="shared" ca="1" si="109"/>
        <v>Error?</v>
      </c>
    </row>
    <row r="7050" spans="1:5" x14ac:dyDescent="0.2">
      <c r="A7050">
        <v>6989</v>
      </c>
      <c r="B7050" s="138">
        <f ca="1">'Expenditures 15-22'!K148</f>
        <v>0</v>
      </c>
      <c r="D7050" s="2" t="str">
        <f t="shared" ca="1" si="109"/>
        <v>Error?</v>
      </c>
    </row>
    <row r="7051" spans="1:5" x14ac:dyDescent="0.2">
      <c r="A7051">
        <v>6990</v>
      </c>
      <c r="B7051" s="138">
        <f ca="1">'Expenditures 15-22'!I151</f>
        <v>0</v>
      </c>
      <c r="D7051" s="2" t="str">
        <f t="shared" ca="1" si="109"/>
        <v>Error?</v>
      </c>
    </row>
    <row r="7052" spans="1:5" x14ac:dyDescent="0.2">
      <c r="A7052">
        <v>6991</v>
      </c>
      <c r="B7052" s="138">
        <f ca="1">'Expenditures 15-22'!J151</f>
        <v>0</v>
      </c>
      <c r="D7052" s="2" t="str">
        <f t="shared" ca="1" si="109"/>
        <v>Error?</v>
      </c>
    </row>
    <row r="7053" spans="1:5" x14ac:dyDescent="0.2">
      <c r="A7053">
        <v>6992</v>
      </c>
      <c r="B7053" s="138">
        <f>'Expenditures 15-22'!H155</f>
        <v>0</v>
      </c>
      <c r="D7053" s="2" t="str">
        <f t="shared" si="109"/>
        <v>Error?</v>
      </c>
    </row>
    <row r="7054" spans="1:5" x14ac:dyDescent="0.2">
      <c r="A7054">
        <v>6993</v>
      </c>
      <c r="B7054" s="138">
        <f ca="1">'Revenues 9-14'!J267</f>
        <v>0</v>
      </c>
      <c r="D7054" s="2" t="str">
        <f t="shared" ca="1" si="109"/>
        <v>Error?</v>
      </c>
      <c r="E7054" s="2" t="s">
        <v>114</v>
      </c>
    </row>
    <row r="7055" spans="1:5" x14ac:dyDescent="0.2">
      <c r="A7055">
        <v>6994</v>
      </c>
      <c r="B7055" s="138">
        <f ca="1">'Revenues 9-14'!J268</f>
        <v>554361</v>
      </c>
      <c r="D7055" s="2" t="str">
        <f t="shared" ca="1" si="109"/>
        <v>Error?</v>
      </c>
      <c r="E7055" s="2" t="s">
        <v>114</v>
      </c>
    </row>
    <row r="7056" spans="1:5" x14ac:dyDescent="0.2">
      <c r="A7056">
        <v>6995</v>
      </c>
      <c r="D7056" s="2" t="str">
        <f t="shared" si="109"/>
        <v>OK</v>
      </c>
      <c r="E7056" s="2" t="s">
        <v>114</v>
      </c>
    </row>
    <row r="7057" spans="1:4" x14ac:dyDescent="0.2">
      <c r="A7057">
        <v>6996</v>
      </c>
      <c r="B7057" s="138">
        <f ca="1">'Expenditures 15-22'!I180</f>
        <v>0</v>
      </c>
      <c r="D7057" s="2" t="str">
        <f t="shared" ca="1" si="109"/>
        <v>Error?</v>
      </c>
    </row>
    <row r="7058" spans="1:4" x14ac:dyDescent="0.2">
      <c r="A7058">
        <v>6997</v>
      </c>
      <c r="B7058" s="138">
        <f ca="1">'Expenditures 15-22'!J180</f>
        <v>0</v>
      </c>
      <c r="D7058" s="2" t="str">
        <f t="shared" ca="1" si="109"/>
        <v>Error?</v>
      </c>
    </row>
    <row r="7059" spans="1:4" x14ac:dyDescent="0.2">
      <c r="A7059">
        <v>6998</v>
      </c>
      <c r="B7059" s="138">
        <f ca="1">'Expenditures 15-22'!I182</f>
        <v>0</v>
      </c>
      <c r="D7059" s="2" t="str">
        <f t="shared" ca="1" si="109"/>
        <v>Error?</v>
      </c>
    </row>
    <row r="7060" spans="1:4" x14ac:dyDescent="0.2">
      <c r="A7060">
        <v>6999</v>
      </c>
      <c r="B7060" s="138">
        <f ca="1">'Expenditures 15-22'!J182</f>
        <v>0</v>
      </c>
      <c r="D7060" s="2" t="str">
        <f t="shared" ca="1" si="109"/>
        <v>Error?</v>
      </c>
    </row>
    <row r="7061" spans="1:4" x14ac:dyDescent="0.2">
      <c r="A7061">
        <v>7000</v>
      </c>
      <c r="B7061" s="138">
        <f ca="1">'Expenditures 15-22'!I183</f>
        <v>0</v>
      </c>
      <c r="D7061" s="2" t="str">
        <f t="shared" ca="1" si="109"/>
        <v>Error?</v>
      </c>
    </row>
    <row r="7062" spans="1:4" x14ac:dyDescent="0.2">
      <c r="A7062">
        <v>7001</v>
      </c>
      <c r="B7062" s="138">
        <f ca="1">'Expenditures 15-22'!J183</f>
        <v>0</v>
      </c>
      <c r="D7062" s="2" t="str">
        <f t="shared" ca="1" si="109"/>
        <v>Error?</v>
      </c>
    </row>
    <row r="7063" spans="1:4" x14ac:dyDescent="0.2">
      <c r="A7063">
        <v>7002</v>
      </c>
      <c r="B7063" s="138">
        <f ca="1">'Expenditures 15-22'!I184</f>
        <v>0</v>
      </c>
      <c r="D7063" s="2" t="str">
        <f t="shared" ca="1" si="109"/>
        <v>Error?</v>
      </c>
    </row>
    <row r="7064" spans="1:4" x14ac:dyDescent="0.2">
      <c r="A7064">
        <v>7003</v>
      </c>
      <c r="B7064" s="138">
        <f ca="1">'Expenditures 15-22'!J184</f>
        <v>0</v>
      </c>
      <c r="D7064" s="2" t="str">
        <f t="shared" ca="1" si="109"/>
        <v>Error?</v>
      </c>
    </row>
    <row r="7065" spans="1:4" x14ac:dyDescent="0.2">
      <c r="A7065">
        <v>7004</v>
      </c>
      <c r="B7065" s="138">
        <f ca="1">'Expenditures 15-22'!I185</f>
        <v>0</v>
      </c>
      <c r="D7065" s="2" t="str">
        <f t="shared" ca="1" si="109"/>
        <v>Error?</v>
      </c>
    </row>
    <row r="7066" spans="1:4" x14ac:dyDescent="0.2">
      <c r="A7066">
        <v>7005</v>
      </c>
      <c r="B7066" s="138">
        <f ca="1">'Expenditures 15-22'!J185</f>
        <v>0</v>
      </c>
      <c r="D7066" s="2" t="str">
        <f t="shared" ca="1" si="109"/>
        <v>Error?</v>
      </c>
    </row>
    <row r="7067" spans="1:4" x14ac:dyDescent="0.2">
      <c r="A7067">
        <v>7006</v>
      </c>
      <c r="B7067" s="138">
        <f ca="1">'Expenditures 15-22'!H205</f>
        <v>14916</v>
      </c>
      <c r="D7067" s="2" t="str">
        <f t="shared" ca="1" si="109"/>
        <v>Error?</v>
      </c>
    </row>
    <row r="7068" spans="1:4" x14ac:dyDescent="0.2">
      <c r="A7068">
        <v>7007</v>
      </c>
      <c r="B7068" s="138">
        <f ca="1">'Expenditures 15-22'!K205</f>
        <v>14916</v>
      </c>
      <c r="D7068" s="2" t="str">
        <f t="shared" ca="1" si="109"/>
        <v>Error?</v>
      </c>
    </row>
    <row r="7069" spans="1:4" x14ac:dyDescent="0.2">
      <c r="A7069">
        <v>7008</v>
      </c>
      <c r="B7069" s="138">
        <f ca="1">'Expenditures 15-22'!H207</f>
        <v>0</v>
      </c>
      <c r="D7069" s="2" t="str">
        <f t="shared" ca="1" si="109"/>
        <v>Error?</v>
      </c>
    </row>
    <row r="7070" spans="1:4" x14ac:dyDescent="0.2">
      <c r="A7070">
        <v>7009</v>
      </c>
      <c r="B7070" s="138">
        <f ca="1">'Expenditures 15-22'!K207</f>
        <v>0</v>
      </c>
      <c r="D7070" s="2" t="str">
        <f t="shared" ca="1" si="109"/>
        <v>Error?</v>
      </c>
    </row>
    <row r="7071" spans="1:4" x14ac:dyDescent="0.2">
      <c r="A7071">
        <v>7010</v>
      </c>
      <c r="B7071" s="138">
        <f ca="1">'Expenditures 15-22'!I210</f>
        <v>0</v>
      </c>
      <c r="D7071" s="2" t="str">
        <f t="shared" ca="1" si="109"/>
        <v>Error?</v>
      </c>
    </row>
    <row r="7072" spans="1:4" x14ac:dyDescent="0.2">
      <c r="A7072">
        <v>7011</v>
      </c>
      <c r="B7072" s="138">
        <f ca="1">'Expenditures 15-22'!J210</f>
        <v>0</v>
      </c>
      <c r="D7072" s="2" t="str">
        <f t="shared" ca="1" si="109"/>
        <v>Error?</v>
      </c>
    </row>
    <row r="7073" spans="1:4" x14ac:dyDescent="0.2">
      <c r="A7073">
        <v>7012</v>
      </c>
      <c r="B7073" s="138">
        <f ca="1">'Expenditures 15-22'!D216</f>
        <v>0</v>
      </c>
      <c r="D7073" s="2" t="str">
        <f t="shared" ca="1" si="109"/>
        <v>Error?</v>
      </c>
    </row>
    <row r="7074" spans="1:4" x14ac:dyDescent="0.2">
      <c r="A7074">
        <v>7013</v>
      </c>
      <c r="B7074" s="138">
        <f ca="1">'Expenditures 15-22'!K216</f>
        <v>0</v>
      </c>
      <c r="D7074" s="2" t="str">
        <f t="shared" ca="1" si="109"/>
        <v>Error?</v>
      </c>
    </row>
    <row r="7075" spans="1:4" x14ac:dyDescent="0.2">
      <c r="A7075">
        <v>7014</v>
      </c>
      <c r="B7075" s="138">
        <f ca="1">'Expenditures 15-22'!D218</f>
        <v>42953</v>
      </c>
      <c r="D7075" s="2" t="str">
        <f t="shared" ca="1" si="109"/>
        <v>Error?</v>
      </c>
    </row>
    <row r="7076" spans="1:4" x14ac:dyDescent="0.2">
      <c r="A7076">
        <v>7015</v>
      </c>
      <c r="B7076" s="138">
        <f ca="1">'Expenditures 15-22'!K218</f>
        <v>42953</v>
      </c>
      <c r="D7076" s="2" t="str">
        <f t="shared" ca="1" si="109"/>
        <v>Error?</v>
      </c>
    </row>
    <row r="7077" spans="1:4" x14ac:dyDescent="0.2">
      <c r="A7077">
        <v>7016</v>
      </c>
      <c r="B7077" s="138">
        <f ca="1">'Expenditures 15-22'!D220</f>
        <v>34034</v>
      </c>
      <c r="D7077" s="2" t="str">
        <f t="shared" ca="1" si="109"/>
        <v>Error?</v>
      </c>
    </row>
    <row r="7078" spans="1:4" x14ac:dyDescent="0.2">
      <c r="A7078">
        <v>7017</v>
      </c>
      <c r="B7078" s="138">
        <f ca="1">'Expenditures 15-22'!K220</f>
        <v>34034</v>
      </c>
      <c r="D7078" s="2" t="str">
        <f t="shared" ca="1" si="109"/>
        <v>Error?</v>
      </c>
    </row>
    <row r="7079" spans="1:4" x14ac:dyDescent="0.2">
      <c r="A7079">
        <v>7018</v>
      </c>
      <c r="B7079" s="138">
        <f ca="1">'Expenditures 15-22'!D226</f>
        <v>0</v>
      </c>
      <c r="D7079" s="2" t="str">
        <f t="shared" ca="1" si="109"/>
        <v>Error?</v>
      </c>
    </row>
    <row r="7080" spans="1:4" x14ac:dyDescent="0.2">
      <c r="A7080">
        <v>7019</v>
      </c>
      <c r="B7080" s="138">
        <f ca="1">'Expenditures 15-22'!K226</f>
        <v>0</v>
      </c>
      <c r="D7080" s="2" t="str">
        <f t="shared" ca="1" si="109"/>
        <v>Error?</v>
      </c>
    </row>
    <row r="7081" spans="1:4" x14ac:dyDescent="0.2">
      <c r="A7081">
        <v>7020</v>
      </c>
      <c r="B7081" s="138">
        <f ca="1">'Expenditures 15-22'!D248</f>
        <v>0</v>
      </c>
      <c r="D7081" s="2" t="str">
        <f t="shared" ca="1" si="109"/>
        <v>Error?</v>
      </c>
    </row>
    <row r="7082" spans="1:4" x14ac:dyDescent="0.2">
      <c r="A7082">
        <v>7021</v>
      </c>
      <c r="B7082" s="138">
        <f ca="1">'Expenditures 15-22'!K248</f>
        <v>0</v>
      </c>
      <c r="D7082" s="2" t="str">
        <f t="shared" ca="1" si="109"/>
        <v>Error?</v>
      </c>
    </row>
    <row r="7083" spans="1:4" x14ac:dyDescent="0.2">
      <c r="A7083">
        <v>7022</v>
      </c>
      <c r="B7083" s="138">
        <f ca="1">'Expenditures 15-22'!D249</f>
        <v>0</v>
      </c>
      <c r="D7083" s="2" t="str">
        <f t="shared" ca="1" si="109"/>
        <v>Error?</v>
      </c>
    </row>
    <row r="7084" spans="1:4" x14ac:dyDescent="0.2">
      <c r="A7084">
        <v>7023</v>
      </c>
      <c r="B7084" s="138">
        <f ca="1">'Expenditures 15-22'!K249</f>
        <v>0</v>
      </c>
      <c r="D7084" s="2" t="str">
        <f t="shared" ca="1" si="109"/>
        <v>Error?</v>
      </c>
    </row>
    <row r="7085" spans="1:4" x14ac:dyDescent="0.2">
      <c r="A7085">
        <v>7024</v>
      </c>
      <c r="B7085" s="138">
        <f ca="1">'Expenditures 15-22'!D250</f>
        <v>0</v>
      </c>
      <c r="D7085" s="2" t="str">
        <f t="shared" ca="1" si="109"/>
        <v>Error?</v>
      </c>
    </row>
    <row r="7086" spans="1:4" x14ac:dyDescent="0.2">
      <c r="A7086">
        <v>7025</v>
      </c>
      <c r="B7086" s="138">
        <f ca="1">'Expenditures 15-22'!K250</f>
        <v>0</v>
      </c>
      <c r="D7086" s="2" t="str">
        <f t="shared" ca="1" si="109"/>
        <v>Error?</v>
      </c>
    </row>
    <row r="7087" spans="1:4" x14ac:dyDescent="0.2">
      <c r="A7087">
        <v>7026</v>
      </c>
      <c r="B7087" s="138">
        <f ca="1">'Expenditures 15-22'!D251</f>
        <v>0</v>
      </c>
      <c r="D7087" s="2" t="str">
        <f t="shared" ca="1" si="109"/>
        <v>Error?</v>
      </c>
    </row>
    <row r="7088" spans="1:4" x14ac:dyDescent="0.2">
      <c r="A7088">
        <v>7027</v>
      </c>
      <c r="B7088" s="138">
        <f ca="1">'Expenditures 15-22'!K251</f>
        <v>0</v>
      </c>
      <c r="D7088" s="2" t="str">
        <f t="shared" ca="1" si="109"/>
        <v>Error?</v>
      </c>
    </row>
    <row r="7089" spans="1:4" x14ac:dyDescent="0.2">
      <c r="A7089">
        <v>7028</v>
      </c>
      <c r="B7089" s="138">
        <f ca="1">'Expenditures 15-22'!D252</f>
        <v>0</v>
      </c>
      <c r="D7089" s="2" t="str">
        <f t="shared" ca="1" si="109"/>
        <v>Error?</v>
      </c>
    </row>
    <row r="7090" spans="1:4" x14ac:dyDescent="0.2">
      <c r="A7090">
        <v>7029</v>
      </c>
      <c r="B7090" s="138">
        <f ca="1">'Expenditures 15-22'!K252</f>
        <v>0</v>
      </c>
      <c r="D7090" s="2" t="str">
        <f t="shared" ca="1" si="109"/>
        <v>Error?</v>
      </c>
    </row>
    <row r="7091" spans="1:4" x14ac:dyDescent="0.2">
      <c r="A7091">
        <v>7030</v>
      </c>
      <c r="B7091" s="138">
        <f ca="1">'Expenditures 15-22'!D253</f>
        <v>0</v>
      </c>
      <c r="D7091" s="2" t="str">
        <f t="shared" ca="1" si="109"/>
        <v>Error?</v>
      </c>
    </row>
    <row r="7092" spans="1:4" x14ac:dyDescent="0.2">
      <c r="A7092">
        <v>7031</v>
      </c>
      <c r="B7092" s="138">
        <f ca="1">'Expenditures 15-22'!K253</f>
        <v>0</v>
      </c>
      <c r="D7092" s="2" t="str">
        <f t="shared" ca="1" si="109"/>
        <v>Error?</v>
      </c>
    </row>
    <row r="7093" spans="1:4" x14ac:dyDescent="0.2">
      <c r="A7093">
        <v>7032</v>
      </c>
      <c r="B7093" s="138">
        <f ca="1">'Expenditures 15-22'!D254</f>
        <v>0</v>
      </c>
      <c r="D7093" s="2" t="str">
        <f t="shared" ca="1" si="109"/>
        <v>Error?</v>
      </c>
    </row>
    <row r="7094" spans="1:4" x14ac:dyDescent="0.2">
      <c r="A7094">
        <v>7033</v>
      </c>
      <c r="B7094" s="138">
        <f ca="1">'Expenditures 15-22'!K254</f>
        <v>0</v>
      </c>
      <c r="D7094" s="2" t="str">
        <f t="shared" ca="1" si="109"/>
        <v>Error?</v>
      </c>
    </row>
    <row r="7095" spans="1:4" x14ac:dyDescent="0.2">
      <c r="A7095">
        <v>7034</v>
      </c>
      <c r="B7095" s="138">
        <f ca="1">'Expenditures 15-22'!D255</f>
        <v>0</v>
      </c>
      <c r="D7095" s="2" t="str">
        <f t="shared" ca="1" si="109"/>
        <v>Error?</v>
      </c>
    </row>
    <row r="7096" spans="1:4" x14ac:dyDescent="0.2">
      <c r="A7096">
        <v>7035</v>
      </c>
      <c r="B7096" s="138">
        <f ca="1">'Expenditures 15-22'!K255</f>
        <v>0</v>
      </c>
      <c r="D7096" s="2" t="str">
        <f t="shared" ca="1" si="109"/>
        <v>Error?</v>
      </c>
    </row>
    <row r="7097" spans="1:4" x14ac:dyDescent="0.2">
      <c r="A7097">
        <v>7036</v>
      </c>
      <c r="B7097" s="138">
        <f ca="1">'Expenditures 15-22'!D256</f>
        <v>0</v>
      </c>
      <c r="D7097" s="2" t="str">
        <f t="shared" ca="1" si="109"/>
        <v>Error?</v>
      </c>
    </row>
    <row r="7098" spans="1:4" x14ac:dyDescent="0.2">
      <c r="A7098">
        <v>7037</v>
      </c>
      <c r="B7098" s="138">
        <f ca="1">'Expenditures 15-22'!K256</f>
        <v>0</v>
      </c>
      <c r="D7098" s="2" t="str">
        <f t="shared" ca="1" si="109"/>
        <v>Error?</v>
      </c>
    </row>
    <row r="7099" spans="1:4" x14ac:dyDescent="0.2">
      <c r="A7099">
        <v>7038</v>
      </c>
      <c r="B7099" s="138">
        <f ca="1">'Expenditures 15-22'!I301</f>
        <v>0</v>
      </c>
      <c r="D7099" s="2" t="str">
        <f t="shared" ca="1" si="109"/>
        <v>Error?</v>
      </c>
    </row>
    <row r="7100" spans="1:4" x14ac:dyDescent="0.2">
      <c r="A7100">
        <v>7039</v>
      </c>
      <c r="B7100" s="138">
        <f ca="1">'Expenditures 15-22'!J301</f>
        <v>0</v>
      </c>
      <c r="D7100" s="2" t="str">
        <f t="shared" ca="1" si="109"/>
        <v>Error?</v>
      </c>
    </row>
    <row r="7101" spans="1:4" x14ac:dyDescent="0.2">
      <c r="A7101">
        <v>7040</v>
      </c>
      <c r="B7101" s="138">
        <f ca="1">'Expenditures 15-22'!I302</f>
        <v>0</v>
      </c>
      <c r="D7101" s="2" t="str">
        <f t="shared" ca="1" si="109"/>
        <v>Error?</v>
      </c>
    </row>
    <row r="7102" spans="1:4" x14ac:dyDescent="0.2">
      <c r="A7102">
        <v>7041</v>
      </c>
      <c r="B7102" s="138">
        <f ca="1">'Expenditures 15-22'!J302</f>
        <v>0</v>
      </c>
      <c r="D7102" s="2" t="str">
        <f t="shared" ca="1" si="109"/>
        <v>Error?</v>
      </c>
    </row>
    <row r="7103" spans="1:4" x14ac:dyDescent="0.2">
      <c r="A7103">
        <v>7042</v>
      </c>
      <c r="B7103" s="138">
        <f ca="1">'Expenditures 15-22'!I303</f>
        <v>0</v>
      </c>
      <c r="D7103" s="2" t="str">
        <f t="shared" ref="D7103:D7166" ca="1" si="110">IF(ISBLANK(B7103),"OK",IF(A7103-B7103=0,"OK","Error?"))</f>
        <v>Error?</v>
      </c>
    </row>
    <row r="7104" spans="1:4" x14ac:dyDescent="0.2">
      <c r="A7104">
        <v>7043</v>
      </c>
      <c r="B7104" s="138">
        <f ca="1">'Expenditures 15-22'!J303</f>
        <v>0</v>
      </c>
      <c r="D7104" s="2" t="str">
        <f t="shared" ca="1" si="110"/>
        <v>Error?</v>
      </c>
    </row>
    <row r="7105" spans="1:4" x14ac:dyDescent="0.2">
      <c r="A7105">
        <v>7044</v>
      </c>
      <c r="B7105" s="138">
        <f ca="1">'Expenditures 15-22'!E306</f>
        <v>0</v>
      </c>
      <c r="D7105" s="2" t="str">
        <f t="shared" ca="1" si="110"/>
        <v>Error?</v>
      </c>
    </row>
    <row r="7106" spans="1:4" x14ac:dyDescent="0.2">
      <c r="A7106">
        <v>7045</v>
      </c>
      <c r="B7106" s="138">
        <f ca="1">'Expenditures 15-22'!H306</f>
        <v>0</v>
      </c>
      <c r="D7106" s="2" t="str">
        <f t="shared" ca="1" si="110"/>
        <v>Error?</v>
      </c>
    </row>
    <row r="7107" spans="1:4" x14ac:dyDescent="0.2">
      <c r="A7107">
        <v>7046</v>
      </c>
      <c r="B7107" s="138">
        <f ca="1">'Expenditures 15-22'!K306</f>
        <v>0</v>
      </c>
      <c r="D7107" s="2" t="str">
        <f t="shared" ca="1" si="110"/>
        <v>Error?</v>
      </c>
    </row>
    <row r="7108" spans="1:4" x14ac:dyDescent="0.2">
      <c r="A7108">
        <v>7047</v>
      </c>
      <c r="B7108" s="138">
        <f ca="1">'Expenditures 15-22'!E307</f>
        <v>0</v>
      </c>
      <c r="D7108" s="2" t="str">
        <f t="shared" ca="1" si="110"/>
        <v>Error?</v>
      </c>
    </row>
    <row r="7109" spans="1:4" x14ac:dyDescent="0.2">
      <c r="A7109">
        <v>7048</v>
      </c>
      <c r="B7109" s="138">
        <f ca="1">'Expenditures 15-22'!H307</f>
        <v>0</v>
      </c>
      <c r="D7109" s="2" t="str">
        <f t="shared" ca="1" si="110"/>
        <v>Error?</v>
      </c>
    </row>
    <row r="7110" spans="1:4" x14ac:dyDescent="0.2">
      <c r="A7110">
        <v>7049</v>
      </c>
      <c r="B7110" s="138">
        <f ca="1">'Expenditures 15-22'!E308</f>
        <v>0</v>
      </c>
      <c r="D7110" s="2" t="str">
        <f t="shared" ca="1" si="110"/>
        <v>Error?</v>
      </c>
    </row>
    <row r="7111" spans="1:4" x14ac:dyDescent="0.2">
      <c r="A7111">
        <v>7050</v>
      </c>
      <c r="B7111" s="138">
        <f ca="1">'Expenditures 15-22'!H308</f>
        <v>0</v>
      </c>
      <c r="D7111" s="2" t="str">
        <f t="shared" ca="1" si="110"/>
        <v>Error?</v>
      </c>
    </row>
    <row r="7112" spans="1:4" x14ac:dyDescent="0.2">
      <c r="A7112">
        <v>7051</v>
      </c>
      <c r="B7112" s="138">
        <f ca="1">'Expenditures 15-22'!E309</f>
        <v>0</v>
      </c>
      <c r="D7112" s="2" t="str">
        <f t="shared" ca="1" si="110"/>
        <v>Error?</v>
      </c>
    </row>
    <row r="7113" spans="1:4" x14ac:dyDescent="0.2">
      <c r="A7113">
        <v>7052</v>
      </c>
      <c r="B7113" s="138">
        <f ca="1">'Expenditures 15-22'!H309</f>
        <v>0</v>
      </c>
      <c r="D7113" s="2" t="str">
        <f t="shared" ca="1" si="110"/>
        <v>Error?</v>
      </c>
    </row>
    <row r="7114" spans="1:4" x14ac:dyDescent="0.2">
      <c r="A7114">
        <v>7053</v>
      </c>
      <c r="B7114" s="138">
        <f ca="1">'Expenditures 15-22'!E310</f>
        <v>0</v>
      </c>
      <c r="D7114" s="2" t="str">
        <f t="shared" ca="1" si="110"/>
        <v>Error?</v>
      </c>
    </row>
    <row r="7115" spans="1:4" x14ac:dyDescent="0.2">
      <c r="A7115">
        <v>7054</v>
      </c>
      <c r="B7115" s="138">
        <f ca="1">'Expenditures 15-22'!H310</f>
        <v>0</v>
      </c>
      <c r="D7115" s="2" t="str">
        <f t="shared" ca="1" si="110"/>
        <v>Error?</v>
      </c>
    </row>
    <row r="7116" spans="1:4" x14ac:dyDescent="0.2">
      <c r="A7116">
        <v>7055</v>
      </c>
      <c r="B7116" s="138">
        <f ca="1">'Expenditures 15-22'!I312</f>
        <v>0</v>
      </c>
      <c r="D7116" s="2" t="str">
        <f t="shared" ca="1" si="110"/>
        <v>Error?</v>
      </c>
    </row>
    <row r="7117" spans="1:4" x14ac:dyDescent="0.2">
      <c r="A7117">
        <v>7056</v>
      </c>
      <c r="B7117" s="138">
        <f ca="1">'Expenditures 15-22'!J312</f>
        <v>0</v>
      </c>
      <c r="D7117" s="2" t="str">
        <f t="shared" ca="1" si="110"/>
        <v>Error?</v>
      </c>
    </row>
    <row r="7118" spans="1:4" x14ac:dyDescent="0.2">
      <c r="A7118">
        <v>7057</v>
      </c>
      <c r="B7118" s="138">
        <f ca="1">'Expenditures 15-22'!C319</f>
        <v>0</v>
      </c>
      <c r="D7118" s="2" t="str">
        <f t="shared" ca="1" si="110"/>
        <v>Error?</v>
      </c>
    </row>
    <row r="7119" spans="1:4" x14ac:dyDescent="0.2">
      <c r="A7119">
        <v>7058</v>
      </c>
      <c r="B7119" s="138">
        <f ca="1">'Expenditures 15-22'!D319</f>
        <v>0</v>
      </c>
      <c r="D7119" s="2" t="str">
        <f t="shared" ca="1" si="110"/>
        <v>Error?</v>
      </c>
    </row>
    <row r="7120" spans="1:4" x14ac:dyDescent="0.2">
      <c r="A7120">
        <v>7059</v>
      </c>
      <c r="B7120" s="138">
        <f ca="1">'Expenditures 15-22'!E319</f>
        <v>0</v>
      </c>
      <c r="D7120" s="2" t="str">
        <f t="shared" ca="1" si="110"/>
        <v>Error?</v>
      </c>
    </row>
    <row r="7121" spans="1:4" x14ac:dyDescent="0.2">
      <c r="A7121">
        <v>7060</v>
      </c>
      <c r="B7121" s="138">
        <f ca="1">'Expenditures 15-22'!F319</f>
        <v>0</v>
      </c>
      <c r="D7121" s="2" t="str">
        <f t="shared" ca="1" si="110"/>
        <v>Error?</v>
      </c>
    </row>
    <row r="7122" spans="1:4" x14ac:dyDescent="0.2">
      <c r="A7122">
        <v>7061</v>
      </c>
      <c r="B7122" s="138">
        <f ca="1">'Expenditures 15-22'!G319</f>
        <v>0</v>
      </c>
      <c r="D7122" s="2" t="str">
        <f t="shared" ca="1" si="110"/>
        <v>Error?</v>
      </c>
    </row>
    <row r="7123" spans="1:4" x14ac:dyDescent="0.2">
      <c r="A7123">
        <v>7062</v>
      </c>
      <c r="B7123" s="138">
        <f ca="1">'Expenditures 15-22'!H319</f>
        <v>0</v>
      </c>
      <c r="D7123" s="2" t="str">
        <f t="shared" ca="1" si="110"/>
        <v>Error?</v>
      </c>
    </row>
    <row r="7124" spans="1:4" x14ac:dyDescent="0.2">
      <c r="A7124">
        <v>7063</v>
      </c>
      <c r="B7124" s="138">
        <f ca="1">'Expenditures 15-22'!I319</f>
        <v>0</v>
      </c>
      <c r="D7124" s="2" t="str">
        <f t="shared" ca="1" si="110"/>
        <v>Error?</v>
      </c>
    </row>
    <row r="7125" spans="1:4" x14ac:dyDescent="0.2">
      <c r="A7125">
        <v>7064</v>
      </c>
      <c r="B7125" s="138">
        <f ca="1">'Expenditures 15-22'!J319</f>
        <v>0</v>
      </c>
      <c r="D7125" s="2" t="str">
        <f t="shared" ca="1" si="110"/>
        <v>Error?</v>
      </c>
    </row>
    <row r="7126" spans="1:4" x14ac:dyDescent="0.2">
      <c r="A7126">
        <v>7065</v>
      </c>
      <c r="B7126" s="138">
        <f ca="1">'Expenditures 15-22'!K319</f>
        <v>0</v>
      </c>
      <c r="D7126" s="2" t="str">
        <f t="shared" ca="1" si="110"/>
        <v>Error?</v>
      </c>
    </row>
    <row r="7127" spans="1:4" x14ac:dyDescent="0.2">
      <c r="A7127">
        <v>7066</v>
      </c>
      <c r="B7127" s="138">
        <f ca="1">'Expenditures 15-22'!C320</f>
        <v>0</v>
      </c>
      <c r="D7127" s="2" t="str">
        <f t="shared" ca="1" si="110"/>
        <v>Error?</v>
      </c>
    </row>
    <row r="7128" spans="1:4" x14ac:dyDescent="0.2">
      <c r="A7128">
        <v>7067</v>
      </c>
      <c r="B7128" s="138">
        <f ca="1">'Expenditures 15-22'!D320</f>
        <v>0</v>
      </c>
      <c r="D7128" s="2" t="str">
        <f t="shared" ca="1" si="110"/>
        <v>Error?</v>
      </c>
    </row>
    <row r="7129" spans="1:4" x14ac:dyDescent="0.2">
      <c r="A7129">
        <v>7068</v>
      </c>
      <c r="B7129" s="138">
        <f ca="1">'Expenditures 15-22'!E320</f>
        <v>167793</v>
      </c>
      <c r="D7129" s="2" t="str">
        <f t="shared" ca="1" si="110"/>
        <v>Error?</v>
      </c>
    </row>
    <row r="7130" spans="1:4" x14ac:dyDescent="0.2">
      <c r="A7130">
        <v>7069</v>
      </c>
      <c r="B7130" s="138">
        <f ca="1">'Expenditures 15-22'!F320</f>
        <v>780</v>
      </c>
      <c r="D7130" s="2" t="str">
        <f t="shared" ca="1" si="110"/>
        <v>Error?</v>
      </c>
    </row>
    <row r="7131" spans="1:4" x14ac:dyDescent="0.2">
      <c r="A7131">
        <v>7070</v>
      </c>
      <c r="B7131" s="138">
        <f ca="1">'Expenditures 15-22'!G320</f>
        <v>0</v>
      </c>
      <c r="D7131" s="2" t="str">
        <f t="shared" ca="1" si="110"/>
        <v>Error?</v>
      </c>
    </row>
    <row r="7132" spans="1:4" x14ac:dyDescent="0.2">
      <c r="A7132">
        <v>7071</v>
      </c>
      <c r="B7132" s="138">
        <f ca="1">'Expenditures 15-22'!H320</f>
        <v>0</v>
      </c>
      <c r="D7132" s="2" t="str">
        <f t="shared" ca="1" si="110"/>
        <v>Error?</v>
      </c>
    </row>
    <row r="7133" spans="1:4" x14ac:dyDescent="0.2">
      <c r="A7133">
        <v>7072</v>
      </c>
      <c r="B7133" s="138">
        <f ca="1">'Expenditures 15-22'!I320</f>
        <v>0</v>
      </c>
      <c r="D7133" s="2" t="str">
        <f t="shared" ca="1" si="110"/>
        <v>Error?</v>
      </c>
    </row>
    <row r="7134" spans="1:4" x14ac:dyDescent="0.2">
      <c r="A7134">
        <v>7073</v>
      </c>
      <c r="B7134" s="138">
        <f ca="1">'Expenditures 15-22'!J320</f>
        <v>0</v>
      </c>
      <c r="D7134" s="2" t="str">
        <f t="shared" ca="1" si="110"/>
        <v>Error?</v>
      </c>
    </row>
    <row r="7135" spans="1:4" x14ac:dyDescent="0.2">
      <c r="A7135">
        <v>7074</v>
      </c>
      <c r="B7135" s="138">
        <f ca="1">'Expenditures 15-22'!K320</f>
        <v>168573</v>
      </c>
      <c r="D7135" s="2" t="str">
        <f t="shared" ca="1" si="110"/>
        <v>Error?</v>
      </c>
    </row>
    <row r="7136" spans="1:4" x14ac:dyDescent="0.2">
      <c r="A7136">
        <v>7075</v>
      </c>
      <c r="B7136" s="138">
        <f ca="1">'Expenditures 15-22'!C321</f>
        <v>0</v>
      </c>
      <c r="D7136" s="2" t="str">
        <f t="shared" ca="1" si="110"/>
        <v>Error?</v>
      </c>
    </row>
    <row r="7137" spans="1:4" x14ac:dyDescent="0.2">
      <c r="A7137">
        <v>7076</v>
      </c>
      <c r="B7137" s="138">
        <f ca="1">'Expenditures 15-22'!D321</f>
        <v>0</v>
      </c>
      <c r="D7137" s="2" t="str">
        <f t="shared" ca="1" si="110"/>
        <v>Error?</v>
      </c>
    </row>
    <row r="7138" spans="1:4" x14ac:dyDescent="0.2">
      <c r="A7138">
        <v>7077</v>
      </c>
      <c r="B7138" s="138">
        <f ca="1">'Expenditures 15-22'!E321</f>
        <v>0</v>
      </c>
      <c r="D7138" s="2" t="str">
        <f t="shared" ca="1" si="110"/>
        <v>Error?</v>
      </c>
    </row>
    <row r="7139" spans="1:4" x14ac:dyDescent="0.2">
      <c r="A7139">
        <v>7078</v>
      </c>
      <c r="B7139" s="138">
        <f ca="1">'Expenditures 15-22'!F321</f>
        <v>0</v>
      </c>
      <c r="D7139" s="2" t="str">
        <f t="shared" ca="1" si="110"/>
        <v>Error?</v>
      </c>
    </row>
    <row r="7140" spans="1:4" x14ac:dyDescent="0.2">
      <c r="A7140">
        <v>7079</v>
      </c>
      <c r="B7140" s="138">
        <f ca="1">'Expenditures 15-22'!G321</f>
        <v>0</v>
      </c>
      <c r="D7140" s="2" t="str">
        <f t="shared" ca="1" si="110"/>
        <v>Error?</v>
      </c>
    </row>
    <row r="7141" spans="1:4" x14ac:dyDescent="0.2">
      <c r="A7141">
        <v>7080</v>
      </c>
      <c r="B7141" s="138">
        <f ca="1">'Expenditures 15-22'!H321</f>
        <v>0</v>
      </c>
      <c r="D7141" s="2" t="str">
        <f t="shared" ca="1" si="110"/>
        <v>Error?</v>
      </c>
    </row>
    <row r="7142" spans="1:4" x14ac:dyDescent="0.2">
      <c r="A7142">
        <v>7081</v>
      </c>
      <c r="B7142" s="138">
        <f ca="1">'Expenditures 15-22'!I321</f>
        <v>0</v>
      </c>
      <c r="D7142" s="2" t="str">
        <f t="shared" ca="1" si="110"/>
        <v>Error?</v>
      </c>
    </row>
    <row r="7143" spans="1:4" x14ac:dyDescent="0.2">
      <c r="A7143">
        <v>7082</v>
      </c>
      <c r="B7143" s="138">
        <f ca="1">'Expenditures 15-22'!J321</f>
        <v>0</v>
      </c>
      <c r="D7143" s="2" t="str">
        <f t="shared" ca="1" si="110"/>
        <v>Error?</v>
      </c>
    </row>
    <row r="7144" spans="1:4" x14ac:dyDescent="0.2">
      <c r="A7144">
        <v>7083</v>
      </c>
      <c r="B7144" s="138">
        <f ca="1">'Expenditures 15-22'!K321</f>
        <v>0</v>
      </c>
      <c r="D7144" s="2" t="str">
        <f t="shared" ca="1" si="110"/>
        <v>Error?</v>
      </c>
    </row>
    <row r="7145" spans="1:4" x14ac:dyDescent="0.2">
      <c r="A7145">
        <v>7084</v>
      </c>
      <c r="B7145" s="138">
        <f ca="1">'Expenditures 15-22'!C322</f>
        <v>0</v>
      </c>
      <c r="D7145" s="2" t="str">
        <f t="shared" ca="1" si="110"/>
        <v>Error?</v>
      </c>
    </row>
    <row r="7146" spans="1:4" x14ac:dyDescent="0.2">
      <c r="A7146">
        <v>7085</v>
      </c>
      <c r="B7146" s="138">
        <f ca="1">'Expenditures 15-22'!D322</f>
        <v>0</v>
      </c>
      <c r="D7146" s="2" t="str">
        <f t="shared" ca="1" si="110"/>
        <v>Error?</v>
      </c>
    </row>
    <row r="7147" spans="1:4" x14ac:dyDescent="0.2">
      <c r="A7147">
        <v>7086</v>
      </c>
      <c r="B7147" s="138">
        <f ca="1">'Expenditures 15-22'!E322</f>
        <v>0</v>
      </c>
      <c r="D7147" s="2" t="str">
        <f t="shared" ca="1" si="110"/>
        <v>Error?</v>
      </c>
    </row>
    <row r="7148" spans="1:4" x14ac:dyDescent="0.2">
      <c r="A7148">
        <v>7087</v>
      </c>
      <c r="B7148" s="138">
        <f ca="1">'Expenditures 15-22'!F322</f>
        <v>0</v>
      </c>
      <c r="D7148" s="2" t="str">
        <f t="shared" ca="1" si="110"/>
        <v>Error?</v>
      </c>
    </row>
    <row r="7149" spans="1:4" x14ac:dyDescent="0.2">
      <c r="A7149">
        <v>7088</v>
      </c>
      <c r="B7149" s="138">
        <f ca="1">'Expenditures 15-22'!G322</f>
        <v>0</v>
      </c>
      <c r="D7149" s="2" t="str">
        <f t="shared" ca="1" si="110"/>
        <v>Error?</v>
      </c>
    </row>
    <row r="7150" spans="1:4" x14ac:dyDescent="0.2">
      <c r="A7150">
        <v>7089</v>
      </c>
      <c r="B7150" s="138">
        <f ca="1">'Expenditures 15-22'!H322</f>
        <v>0</v>
      </c>
      <c r="D7150" s="2" t="str">
        <f t="shared" ca="1" si="110"/>
        <v>Error?</v>
      </c>
    </row>
    <row r="7151" spans="1:4" x14ac:dyDescent="0.2">
      <c r="A7151">
        <v>7090</v>
      </c>
      <c r="B7151" s="138">
        <f ca="1">'Expenditures 15-22'!I322</f>
        <v>0</v>
      </c>
      <c r="D7151" s="2" t="str">
        <f t="shared" ca="1" si="110"/>
        <v>Error?</v>
      </c>
    </row>
    <row r="7152" spans="1:4" x14ac:dyDescent="0.2">
      <c r="A7152">
        <v>7091</v>
      </c>
      <c r="B7152" s="138">
        <f ca="1">'Expenditures 15-22'!J322</f>
        <v>0</v>
      </c>
      <c r="D7152" s="2" t="str">
        <f t="shared" ca="1" si="110"/>
        <v>Error?</v>
      </c>
    </row>
    <row r="7153" spans="1:4" x14ac:dyDescent="0.2">
      <c r="A7153">
        <v>7092</v>
      </c>
      <c r="B7153" s="138">
        <f ca="1">'Expenditures 15-22'!K322</f>
        <v>0</v>
      </c>
      <c r="D7153" s="2" t="str">
        <f t="shared" ca="1" si="110"/>
        <v>Error?</v>
      </c>
    </row>
    <row r="7154" spans="1:4" x14ac:dyDescent="0.2">
      <c r="A7154">
        <v>7093</v>
      </c>
      <c r="B7154" s="138">
        <f ca="1">'Expenditures 15-22'!C323</f>
        <v>0</v>
      </c>
      <c r="D7154" s="2" t="str">
        <f t="shared" ca="1" si="110"/>
        <v>Error?</v>
      </c>
    </row>
    <row r="7155" spans="1:4" x14ac:dyDescent="0.2">
      <c r="A7155">
        <v>7094</v>
      </c>
      <c r="B7155" s="138">
        <f ca="1">'Expenditures 15-22'!D323</f>
        <v>0</v>
      </c>
      <c r="D7155" s="2" t="str">
        <f t="shared" ca="1" si="110"/>
        <v>Error?</v>
      </c>
    </row>
    <row r="7156" spans="1:4" x14ac:dyDescent="0.2">
      <c r="A7156">
        <v>7095</v>
      </c>
      <c r="B7156" s="138">
        <f ca="1">'Expenditures 15-22'!E323</f>
        <v>0</v>
      </c>
      <c r="D7156" s="2" t="str">
        <f t="shared" ca="1" si="110"/>
        <v>Error?</v>
      </c>
    </row>
    <row r="7157" spans="1:4" x14ac:dyDescent="0.2">
      <c r="A7157">
        <v>7096</v>
      </c>
      <c r="B7157" s="138">
        <f ca="1">'Expenditures 15-22'!F323</f>
        <v>0</v>
      </c>
      <c r="D7157" s="2" t="str">
        <f t="shared" ca="1" si="110"/>
        <v>Error?</v>
      </c>
    </row>
    <row r="7158" spans="1:4" x14ac:dyDescent="0.2">
      <c r="A7158">
        <v>7097</v>
      </c>
      <c r="B7158" s="138">
        <f ca="1">'Expenditures 15-22'!G323</f>
        <v>0</v>
      </c>
      <c r="D7158" s="2" t="str">
        <f t="shared" ca="1" si="110"/>
        <v>Error?</v>
      </c>
    </row>
    <row r="7159" spans="1:4" x14ac:dyDescent="0.2">
      <c r="A7159">
        <v>7098</v>
      </c>
      <c r="B7159" s="138">
        <f ca="1">'Expenditures 15-22'!H323</f>
        <v>0</v>
      </c>
      <c r="D7159" s="2" t="str">
        <f t="shared" ca="1" si="110"/>
        <v>Error?</v>
      </c>
    </row>
    <row r="7160" spans="1:4" x14ac:dyDescent="0.2">
      <c r="A7160">
        <v>7099</v>
      </c>
      <c r="B7160" s="138">
        <f ca="1">'Expenditures 15-22'!I323</f>
        <v>0</v>
      </c>
      <c r="D7160" s="2" t="str">
        <f t="shared" ca="1" si="110"/>
        <v>Error?</v>
      </c>
    </row>
    <row r="7161" spans="1:4" x14ac:dyDescent="0.2">
      <c r="A7161">
        <v>7100</v>
      </c>
      <c r="B7161" s="138">
        <f ca="1">'Expenditures 15-22'!J323</f>
        <v>0</v>
      </c>
      <c r="D7161" s="2" t="str">
        <f t="shared" ca="1" si="110"/>
        <v>Error?</v>
      </c>
    </row>
    <row r="7162" spans="1:4" x14ac:dyDescent="0.2">
      <c r="A7162">
        <v>7101</v>
      </c>
      <c r="B7162" s="138">
        <f ca="1">'Expenditures 15-22'!K323</f>
        <v>0</v>
      </c>
      <c r="D7162" s="2" t="str">
        <f t="shared" ca="1" si="110"/>
        <v>Error?</v>
      </c>
    </row>
    <row r="7163" spans="1:4" x14ac:dyDescent="0.2">
      <c r="A7163">
        <v>7102</v>
      </c>
      <c r="B7163" s="138">
        <f ca="1">'Expenditures 15-22'!C324</f>
        <v>0</v>
      </c>
      <c r="D7163" s="2" t="str">
        <f t="shared" ca="1" si="110"/>
        <v>Error?</v>
      </c>
    </row>
    <row r="7164" spans="1:4" x14ac:dyDescent="0.2">
      <c r="A7164">
        <v>7103</v>
      </c>
      <c r="B7164" s="138">
        <f ca="1">'Expenditures 15-22'!D324</f>
        <v>0</v>
      </c>
      <c r="D7164" s="2" t="str">
        <f t="shared" ca="1" si="110"/>
        <v>Error?</v>
      </c>
    </row>
    <row r="7165" spans="1:4" x14ac:dyDescent="0.2">
      <c r="A7165">
        <v>7104</v>
      </c>
      <c r="B7165" s="138">
        <f ca="1">'Expenditures 15-22'!E324</f>
        <v>0</v>
      </c>
      <c r="D7165" s="2" t="str">
        <f t="shared" ca="1" si="110"/>
        <v>Error?</v>
      </c>
    </row>
    <row r="7166" spans="1:4" x14ac:dyDescent="0.2">
      <c r="A7166">
        <v>7105</v>
      </c>
      <c r="B7166" s="138">
        <f ca="1">'Expenditures 15-22'!F324</f>
        <v>0</v>
      </c>
      <c r="D7166" s="2" t="str">
        <f t="shared" ca="1" si="110"/>
        <v>Error?</v>
      </c>
    </row>
    <row r="7167" spans="1:4" x14ac:dyDescent="0.2">
      <c r="A7167">
        <v>7106</v>
      </c>
      <c r="B7167" s="138">
        <f ca="1">'Expenditures 15-22'!G324</f>
        <v>0</v>
      </c>
      <c r="D7167" s="2" t="str">
        <f t="shared" ref="D7167:D7230" ca="1" si="111">IF(ISBLANK(B7167),"OK",IF(A7167-B7167=0,"OK","Error?"))</f>
        <v>Error?</v>
      </c>
    </row>
    <row r="7168" spans="1:4" x14ac:dyDescent="0.2">
      <c r="A7168">
        <v>7107</v>
      </c>
      <c r="B7168" s="138">
        <f ca="1">'Expenditures 15-22'!H324</f>
        <v>0</v>
      </c>
      <c r="D7168" s="2" t="str">
        <f t="shared" ca="1" si="111"/>
        <v>Error?</v>
      </c>
    </row>
    <row r="7169" spans="1:4" x14ac:dyDescent="0.2">
      <c r="A7169">
        <v>7108</v>
      </c>
      <c r="B7169" s="138">
        <f ca="1">'Expenditures 15-22'!I324</f>
        <v>0</v>
      </c>
      <c r="D7169" s="2" t="str">
        <f t="shared" ca="1" si="111"/>
        <v>Error?</v>
      </c>
    </row>
    <row r="7170" spans="1:4" x14ac:dyDescent="0.2">
      <c r="A7170">
        <v>7109</v>
      </c>
      <c r="B7170" s="138">
        <f ca="1">'Expenditures 15-22'!J324</f>
        <v>0</v>
      </c>
      <c r="D7170" s="2" t="str">
        <f t="shared" ca="1" si="111"/>
        <v>Error?</v>
      </c>
    </row>
    <row r="7171" spans="1:4" x14ac:dyDescent="0.2">
      <c r="A7171">
        <v>7110</v>
      </c>
      <c r="B7171" s="138">
        <f ca="1">'Expenditures 15-22'!K324</f>
        <v>0</v>
      </c>
      <c r="D7171" s="2" t="str">
        <f t="shared" ca="1" si="111"/>
        <v>Error?</v>
      </c>
    </row>
    <row r="7172" spans="1:4" x14ac:dyDescent="0.2">
      <c r="A7172">
        <v>7111</v>
      </c>
      <c r="B7172" s="138">
        <f ca="1">'Expenditures 15-22'!C325</f>
        <v>276114</v>
      </c>
      <c r="D7172" s="2" t="str">
        <f t="shared" ca="1" si="111"/>
        <v>Error?</v>
      </c>
    </row>
    <row r="7173" spans="1:4" x14ac:dyDescent="0.2">
      <c r="A7173">
        <v>7112</v>
      </c>
      <c r="B7173" s="138">
        <f ca="1">'Expenditures 15-22'!D325</f>
        <v>482</v>
      </c>
      <c r="D7173" s="2" t="str">
        <f t="shared" ca="1" si="111"/>
        <v>Error?</v>
      </c>
    </row>
    <row r="7174" spans="1:4" x14ac:dyDescent="0.2">
      <c r="A7174">
        <v>7113</v>
      </c>
      <c r="B7174" s="138">
        <f ca="1">'Expenditures 15-22'!E325</f>
        <v>72656</v>
      </c>
      <c r="D7174" s="2" t="str">
        <f t="shared" ca="1" si="111"/>
        <v>Error?</v>
      </c>
    </row>
    <row r="7175" spans="1:4" x14ac:dyDescent="0.2">
      <c r="A7175">
        <v>7114</v>
      </c>
      <c r="B7175" s="138">
        <f ca="1">'Expenditures 15-22'!F325</f>
        <v>8949</v>
      </c>
      <c r="D7175" s="2" t="str">
        <f t="shared" ca="1" si="111"/>
        <v>Error?</v>
      </c>
    </row>
    <row r="7176" spans="1:4" x14ac:dyDescent="0.2">
      <c r="A7176">
        <v>7115</v>
      </c>
      <c r="B7176" s="138">
        <f ca="1">'Expenditures 15-22'!G325</f>
        <v>0</v>
      </c>
      <c r="D7176" s="2" t="str">
        <f t="shared" ca="1" si="111"/>
        <v>Error?</v>
      </c>
    </row>
    <row r="7177" spans="1:4" x14ac:dyDescent="0.2">
      <c r="A7177">
        <v>7116</v>
      </c>
      <c r="B7177" s="138">
        <f ca="1">'Expenditures 15-22'!H325</f>
        <v>0</v>
      </c>
      <c r="D7177" s="2" t="str">
        <f t="shared" ca="1" si="111"/>
        <v>Error?</v>
      </c>
    </row>
    <row r="7178" spans="1:4" x14ac:dyDescent="0.2">
      <c r="A7178">
        <v>7117</v>
      </c>
      <c r="B7178" s="138">
        <f ca="1">'Expenditures 15-22'!I325</f>
        <v>0</v>
      </c>
      <c r="D7178" s="2" t="str">
        <f t="shared" ca="1" si="111"/>
        <v>Error?</v>
      </c>
    </row>
    <row r="7179" spans="1:4" x14ac:dyDescent="0.2">
      <c r="A7179">
        <v>7118</v>
      </c>
      <c r="B7179" s="138">
        <f ca="1">'Expenditures 15-22'!J325</f>
        <v>0</v>
      </c>
      <c r="D7179" s="2" t="str">
        <f t="shared" ca="1" si="111"/>
        <v>Error?</v>
      </c>
    </row>
    <row r="7180" spans="1:4" x14ac:dyDescent="0.2">
      <c r="A7180">
        <v>7119</v>
      </c>
      <c r="B7180" s="138">
        <f ca="1">'Expenditures 15-22'!K325</f>
        <v>358201</v>
      </c>
      <c r="D7180" s="2" t="str">
        <f t="shared" ca="1" si="111"/>
        <v>Error?</v>
      </c>
    </row>
    <row r="7181" spans="1:4" x14ac:dyDescent="0.2">
      <c r="A7181">
        <v>7120</v>
      </c>
      <c r="B7181" s="138">
        <f ca="1">'Expenditures 15-22'!C326</f>
        <v>0</v>
      </c>
      <c r="D7181" s="2" t="str">
        <f t="shared" ca="1" si="111"/>
        <v>Error?</v>
      </c>
    </row>
    <row r="7182" spans="1:4" x14ac:dyDescent="0.2">
      <c r="A7182">
        <v>7121</v>
      </c>
      <c r="B7182" s="138">
        <f ca="1">'Expenditures 15-22'!D326</f>
        <v>0</v>
      </c>
      <c r="D7182" s="2" t="str">
        <f t="shared" ca="1" si="111"/>
        <v>Error?</v>
      </c>
    </row>
    <row r="7183" spans="1:4" x14ac:dyDescent="0.2">
      <c r="A7183">
        <v>7122</v>
      </c>
      <c r="B7183" s="138">
        <f ca="1">'Expenditures 15-22'!E326</f>
        <v>0</v>
      </c>
      <c r="D7183" s="2" t="str">
        <f t="shared" ca="1" si="111"/>
        <v>Error?</v>
      </c>
    </row>
    <row r="7184" spans="1:4" x14ac:dyDescent="0.2">
      <c r="A7184">
        <v>7123</v>
      </c>
      <c r="B7184" s="138">
        <f ca="1">'Expenditures 15-22'!F326</f>
        <v>0</v>
      </c>
      <c r="D7184" s="2" t="str">
        <f t="shared" ca="1" si="111"/>
        <v>Error?</v>
      </c>
    </row>
    <row r="7185" spans="1:4" x14ac:dyDescent="0.2">
      <c r="A7185">
        <v>7124</v>
      </c>
      <c r="B7185" s="138">
        <f ca="1">'Expenditures 15-22'!G326</f>
        <v>0</v>
      </c>
      <c r="D7185" s="2" t="str">
        <f t="shared" ca="1" si="111"/>
        <v>Error?</v>
      </c>
    </row>
    <row r="7186" spans="1:4" x14ac:dyDescent="0.2">
      <c r="A7186">
        <v>7125</v>
      </c>
      <c r="B7186" s="138">
        <f ca="1">'Expenditures 15-22'!H326</f>
        <v>0</v>
      </c>
      <c r="D7186" s="2" t="str">
        <f t="shared" ca="1" si="111"/>
        <v>Error?</v>
      </c>
    </row>
    <row r="7187" spans="1:4" x14ac:dyDescent="0.2">
      <c r="A7187">
        <v>7126</v>
      </c>
      <c r="B7187" s="138">
        <f ca="1">'Expenditures 15-22'!I326</f>
        <v>0</v>
      </c>
      <c r="D7187" s="2" t="str">
        <f t="shared" ca="1" si="111"/>
        <v>Error?</v>
      </c>
    </row>
    <row r="7188" spans="1:4" x14ac:dyDescent="0.2">
      <c r="A7188">
        <v>7127</v>
      </c>
      <c r="B7188" s="138">
        <f ca="1">'Expenditures 15-22'!J326</f>
        <v>0</v>
      </c>
      <c r="D7188" s="2" t="str">
        <f t="shared" ca="1" si="111"/>
        <v>Error?</v>
      </c>
    </row>
    <row r="7189" spans="1:4" x14ac:dyDescent="0.2">
      <c r="A7189">
        <v>7128</v>
      </c>
      <c r="B7189" s="138">
        <f ca="1">'Expenditures 15-22'!K326</f>
        <v>0</v>
      </c>
      <c r="D7189" s="2" t="str">
        <f t="shared" ca="1" si="111"/>
        <v>Error?</v>
      </c>
    </row>
    <row r="7190" spans="1:4" x14ac:dyDescent="0.2">
      <c r="A7190">
        <v>7129</v>
      </c>
      <c r="B7190" s="138">
        <f ca="1">'Expenditures 15-22'!C327</f>
        <v>0</v>
      </c>
      <c r="D7190" s="2" t="str">
        <f t="shared" ca="1" si="111"/>
        <v>Error?</v>
      </c>
    </row>
    <row r="7191" spans="1:4" x14ac:dyDescent="0.2">
      <c r="A7191">
        <v>7130</v>
      </c>
      <c r="B7191" s="138">
        <f ca="1">'Expenditures 15-22'!D327</f>
        <v>0</v>
      </c>
      <c r="D7191" s="2" t="str">
        <f t="shared" ca="1" si="111"/>
        <v>Error?</v>
      </c>
    </row>
    <row r="7192" spans="1:4" x14ac:dyDescent="0.2">
      <c r="A7192">
        <v>7131</v>
      </c>
      <c r="B7192" s="138">
        <f ca="1">'Expenditures 15-22'!E327</f>
        <v>0</v>
      </c>
      <c r="D7192" s="2" t="str">
        <f t="shared" ca="1" si="111"/>
        <v>Error?</v>
      </c>
    </row>
    <row r="7193" spans="1:4" x14ac:dyDescent="0.2">
      <c r="A7193">
        <v>7132</v>
      </c>
      <c r="B7193" s="138">
        <f ca="1">'Expenditures 15-22'!F327</f>
        <v>0</v>
      </c>
      <c r="D7193" s="2" t="str">
        <f t="shared" ca="1" si="111"/>
        <v>Error?</v>
      </c>
    </row>
    <row r="7194" spans="1:4" x14ac:dyDescent="0.2">
      <c r="A7194">
        <v>7133</v>
      </c>
      <c r="B7194" s="138">
        <f ca="1">'Expenditures 15-22'!G327</f>
        <v>0</v>
      </c>
      <c r="D7194" s="2" t="str">
        <f t="shared" ca="1" si="111"/>
        <v>Error?</v>
      </c>
    </row>
    <row r="7195" spans="1:4" x14ac:dyDescent="0.2">
      <c r="A7195">
        <v>7134</v>
      </c>
      <c r="B7195" s="138">
        <f ca="1">'Expenditures 15-22'!H327</f>
        <v>0</v>
      </c>
      <c r="D7195" s="2" t="str">
        <f t="shared" ca="1" si="111"/>
        <v>Error?</v>
      </c>
    </row>
    <row r="7196" spans="1:4" x14ac:dyDescent="0.2">
      <c r="A7196">
        <v>7135</v>
      </c>
      <c r="B7196" s="138">
        <f ca="1">'Expenditures 15-22'!I327</f>
        <v>0</v>
      </c>
      <c r="D7196" s="2" t="str">
        <f t="shared" ca="1" si="111"/>
        <v>Error?</v>
      </c>
    </row>
    <row r="7197" spans="1:4" x14ac:dyDescent="0.2">
      <c r="A7197">
        <v>7136</v>
      </c>
      <c r="B7197" s="138">
        <f ca="1">'Expenditures 15-22'!J327</f>
        <v>0</v>
      </c>
      <c r="D7197" s="2" t="str">
        <f t="shared" ca="1" si="111"/>
        <v>Error?</v>
      </c>
    </row>
    <row r="7198" spans="1:4" x14ac:dyDescent="0.2">
      <c r="A7198">
        <v>7137</v>
      </c>
      <c r="B7198" s="138">
        <f ca="1">'Expenditures 15-22'!K327</f>
        <v>0</v>
      </c>
      <c r="D7198" s="2" t="str">
        <f t="shared" ca="1" si="111"/>
        <v>Error?</v>
      </c>
    </row>
    <row r="7199" spans="1:4" x14ac:dyDescent="0.2">
      <c r="A7199">
        <v>7138</v>
      </c>
      <c r="B7199" s="138">
        <f ca="1">'Expenditures 15-22'!C330</f>
        <v>276114</v>
      </c>
      <c r="D7199" s="2" t="str">
        <f t="shared" ca="1" si="111"/>
        <v>Error?</v>
      </c>
    </row>
    <row r="7200" spans="1:4" x14ac:dyDescent="0.2">
      <c r="A7200">
        <v>7139</v>
      </c>
      <c r="B7200" s="138">
        <f ca="1">'Expenditures 15-22'!D330</f>
        <v>482</v>
      </c>
      <c r="D7200" s="2" t="str">
        <f t="shared" ca="1" si="111"/>
        <v>Error?</v>
      </c>
    </row>
    <row r="7201" spans="1:4" x14ac:dyDescent="0.2">
      <c r="A7201">
        <v>7140</v>
      </c>
      <c r="B7201" s="138">
        <f ca="1">'Expenditures 15-22'!E330</f>
        <v>240449</v>
      </c>
      <c r="D7201" s="2" t="str">
        <f t="shared" ca="1" si="111"/>
        <v>Error?</v>
      </c>
    </row>
    <row r="7202" spans="1:4" x14ac:dyDescent="0.2">
      <c r="A7202">
        <v>7141</v>
      </c>
      <c r="B7202" s="138">
        <f ca="1">'Expenditures 15-22'!F330</f>
        <v>9729</v>
      </c>
      <c r="D7202" s="2" t="str">
        <f t="shared" ca="1" si="111"/>
        <v>Error?</v>
      </c>
    </row>
    <row r="7203" spans="1:4" x14ac:dyDescent="0.2">
      <c r="A7203">
        <v>7142</v>
      </c>
      <c r="B7203" s="138">
        <f ca="1">'Expenditures 15-22'!G330</f>
        <v>0</v>
      </c>
      <c r="D7203" s="2" t="str">
        <f t="shared" ca="1" si="111"/>
        <v>Error?</v>
      </c>
    </row>
    <row r="7204" spans="1:4" x14ac:dyDescent="0.2">
      <c r="A7204">
        <v>7143</v>
      </c>
      <c r="B7204" s="138">
        <f ca="1">'Expenditures 15-22'!H330</f>
        <v>0</v>
      </c>
      <c r="D7204" s="2" t="str">
        <f t="shared" ca="1" si="111"/>
        <v>Error?</v>
      </c>
    </row>
    <row r="7205" spans="1:4" x14ac:dyDescent="0.2">
      <c r="A7205">
        <v>7144</v>
      </c>
      <c r="B7205" s="138">
        <f ca="1">'Expenditures 15-22'!I330</f>
        <v>0</v>
      </c>
      <c r="D7205" s="2" t="str">
        <f t="shared" ca="1" si="111"/>
        <v>Error?</v>
      </c>
    </row>
    <row r="7206" spans="1:4" x14ac:dyDescent="0.2">
      <c r="A7206">
        <v>7145</v>
      </c>
      <c r="B7206" s="138">
        <f ca="1">'Expenditures 15-22'!J330</f>
        <v>0</v>
      </c>
      <c r="D7206" s="2" t="str">
        <f t="shared" ca="1" si="111"/>
        <v>Error?</v>
      </c>
    </row>
    <row r="7207" spans="1:4" x14ac:dyDescent="0.2">
      <c r="A7207">
        <v>7146</v>
      </c>
      <c r="B7207" s="138">
        <f ca="1">'Expenditures 15-22'!K330</f>
        <v>526774</v>
      </c>
      <c r="D7207" s="2" t="str">
        <f t="shared" ca="1" si="111"/>
        <v>Error?</v>
      </c>
    </row>
    <row r="7208" spans="1:4" x14ac:dyDescent="0.2">
      <c r="A7208">
        <v>7147</v>
      </c>
      <c r="B7208" s="138">
        <f ca="1">'Expenditures 15-22'!H337</f>
        <v>0</v>
      </c>
      <c r="D7208" s="2" t="str">
        <f t="shared" ca="1" si="111"/>
        <v>Error?</v>
      </c>
    </row>
    <row r="7209" spans="1:4" x14ac:dyDescent="0.2">
      <c r="A7209">
        <v>7148</v>
      </c>
      <c r="B7209" s="138">
        <f ca="1">'Expenditures 15-22'!K337</f>
        <v>0</v>
      </c>
      <c r="D7209" s="2" t="str">
        <f t="shared" ca="1" si="111"/>
        <v>Error?</v>
      </c>
    </row>
    <row r="7210" spans="1:4" x14ac:dyDescent="0.2">
      <c r="A7210">
        <v>7149</v>
      </c>
      <c r="B7210" s="138">
        <f ca="1">'Expenditures 15-22'!H338</f>
        <v>0</v>
      </c>
      <c r="D7210" s="2" t="str">
        <f t="shared" ca="1" si="111"/>
        <v>Error?</v>
      </c>
    </row>
    <row r="7211" spans="1:4" x14ac:dyDescent="0.2">
      <c r="A7211">
        <v>7150</v>
      </c>
      <c r="B7211" s="138">
        <f ca="1">'Expenditures 15-22'!K338</f>
        <v>0</v>
      </c>
      <c r="D7211" s="2" t="str">
        <f t="shared" ca="1" si="111"/>
        <v>Error?</v>
      </c>
    </row>
    <row r="7212" spans="1:4" x14ac:dyDescent="0.2">
      <c r="A7212">
        <v>7151</v>
      </c>
      <c r="B7212" s="138">
        <f ca="1">'Expenditures 15-22'!H339</f>
        <v>0</v>
      </c>
      <c r="D7212" s="2" t="str">
        <f t="shared" ca="1" si="111"/>
        <v>Error?</v>
      </c>
    </row>
    <row r="7213" spans="1:4" x14ac:dyDescent="0.2">
      <c r="A7213">
        <v>7152</v>
      </c>
      <c r="B7213" s="138">
        <f ca="1">'Expenditures 15-22'!K339</f>
        <v>0</v>
      </c>
      <c r="D7213" s="2" t="str">
        <f t="shared" ca="1" si="111"/>
        <v>Error?</v>
      </c>
    </row>
    <row r="7214" spans="1:4" x14ac:dyDescent="0.2">
      <c r="A7214">
        <v>7153</v>
      </c>
      <c r="B7214" s="138">
        <f ca="1">'Expenditures 15-22'!H340</f>
        <v>0</v>
      </c>
      <c r="D7214" s="2" t="str">
        <f t="shared" ca="1" si="111"/>
        <v>Error?</v>
      </c>
    </row>
    <row r="7215" spans="1:4" x14ac:dyDescent="0.2">
      <c r="A7215">
        <v>7154</v>
      </c>
      <c r="B7215" s="138">
        <f ca="1">'Expenditures 15-22'!K340</f>
        <v>0</v>
      </c>
      <c r="D7215" s="2" t="str">
        <f t="shared" ca="1" si="111"/>
        <v>Error?</v>
      </c>
    </row>
    <row r="7216" spans="1:4" x14ac:dyDescent="0.2">
      <c r="A7216">
        <v>7155</v>
      </c>
      <c r="B7216" s="138">
        <f ca="1">'Expenditures 15-22'!C342</f>
        <v>276114</v>
      </c>
      <c r="D7216" s="2" t="str">
        <f t="shared" ca="1" si="111"/>
        <v>Error?</v>
      </c>
    </row>
    <row r="7217" spans="1:4" x14ac:dyDescent="0.2">
      <c r="A7217">
        <v>7156</v>
      </c>
      <c r="B7217" s="138">
        <f ca="1">'Expenditures 15-22'!D342</f>
        <v>482</v>
      </c>
      <c r="D7217" s="2" t="str">
        <f t="shared" ca="1" si="111"/>
        <v>Error?</v>
      </c>
    </row>
    <row r="7218" spans="1:4" x14ac:dyDescent="0.2">
      <c r="A7218">
        <v>7157</v>
      </c>
      <c r="B7218" s="138">
        <f ca="1">'Expenditures 15-22'!E342</f>
        <v>240449</v>
      </c>
      <c r="D7218" s="2" t="str">
        <f t="shared" ca="1" si="111"/>
        <v>Error?</v>
      </c>
    </row>
    <row r="7219" spans="1:4" x14ac:dyDescent="0.2">
      <c r="A7219">
        <v>7158</v>
      </c>
      <c r="B7219" s="138">
        <f ca="1">'Expenditures 15-22'!F342</f>
        <v>9729</v>
      </c>
      <c r="D7219" s="2" t="str">
        <f t="shared" ca="1" si="111"/>
        <v>Error?</v>
      </c>
    </row>
    <row r="7220" spans="1:4" x14ac:dyDescent="0.2">
      <c r="A7220">
        <v>7159</v>
      </c>
      <c r="B7220" s="138">
        <f ca="1">'Expenditures 15-22'!G342</f>
        <v>0</v>
      </c>
      <c r="D7220" s="2" t="str">
        <f t="shared" ca="1" si="111"/>
        <v>Error?</v>
      </c>
    </row>
    <row r="7221" spans="1:4" x14ac:dyDescent="0.2">
      <c r="A7221">
        <v>7160</v>
      </c>
      <c r="B7221" s="138">
        <f ca="1">'Expenditures 15-22'!H342</f>
        <v>0</v>
      </c>
      <c r="D7221" s="2" t="str">
        <f t="shared" ca="1" si="111"/>
        <v>Error?</v>
      </c>
    </row>
    <row r="7222" spans="1:4" x14ac:dyDescent="0.2">
      <c r="A7222">
        <v>7161</v>
      </c>
      <c r="B7222" s="138">
        <f ca="1">'Expenditures 15-22'!I342</f>
        <v>0</v>
      </c>
      <c r="D7222" s="2" t="str">
        <f t="shared" ca="1" si="111"/>
        <v>Error?</v>
      </c>
    </row>
    <row r="7223" spans="1:4" x14ac:dyDescent="0.2">
      <c r="A7223">
        <v>7162</v>
      </c>
      <c r="B7223" s="138">
        <f ca="1">'Expenditures 15-22'!J342</f>
        <v>0</v>
      </c>
      <c r="D7223" s="2" t="str">
        <f t="shared" ca="1" si="111"/>
        <v>Error?</v>
      </c>
    </row>
    <row r="7224" spans="1:4" x14ac:dyDescent="0.2">
      <c r="A7224">
        <v>7163</v>
      </c>
      <c r="B7224" s="138">
        <f ca="1">'Expenditures 15-22'!K342</f>
        <v>526774</v>
      </c>
      <c r="D7224" s="2" t="str">
        <f t="shared" ca="1" si="111"/>
        <v>Error?</v>
      </c>
    </row>
    <row r="7225" spans="1:4" x14ac:dyDescent="0.2">
      <c r="A7225">
        <v>7164</v>
      </c>
      <c r="B7225" s="138">
        <f ca="1">'Expenditures 15-22'!K343</f>
        <v>27587</v>
      </c>
      <c r="D7225" s="2" t="str">
        <f t="shared" ca="1" si="111"/>
        <v>Error?</v>
      </c>
    </row>
    <row r="7226" spans="1:4" x14ac:dyDescent="0.2">
      <c r="A7226">
        <v>7165</v>
      </c>
      <c r="B7226" s="138">
        <f ca="1">'Expenditures 15-22'!I348</f>
        <v>0</v>
      </c>
      <c r="D7226" s="2" t="str">
        <f t="shared" ca="1" si="111"/>
        <v>Error?</v>
      </c>
    </row>
    <row r="7227" spans="1:4" x14ac:dyDescent="0.2">
      <c r="A7227">
        <v>7166</v>
      </c>
      <c r="B7227" s="138">
        <f ca="1">'Expenditures 15-22'!J348</f>
        <v>0</v>
      </c>
      <c r="D7227" s="2" t="str">
        <f t="shared" ca="1" si="111"/>
        <v>Error?</v>
      </c>
    </row>
    <row r="7228" spans="1:4" x14ac:dyDescent="0.2">
      <c r="A7228">
        <v>7167</v>
      </c>
      <c r="B7228" s="138">
        <f ca="1">'Expenditures 15-22'!I349</f>
        <v>0</v>
      </c>
      <c r="D7228" s="2" t="str">
        <f t="shared" ca="1" si="111"/>
        <v>Error?</v>
      </c>
    </row>
    <row r="7229" spans="1:4" x14ac:dyDescent="0.2">
      <c r="A7229">
        <v>7168</v>
      </c>
      <c r="B7229" s="138">
        <f ca="1">'Expenditures 15-22'!J349</f>
        <v>0</v>
      </c>
      <c r="D7229" s="2" t="str">
        <f t="shared" ca="1" si="111"/>
        <v>Error?</v>
      </c>
    </row>
    <row r="7230" spans="1:4" x14ac:dyDescent="0.2">
      <c r="A7230">
        <v>7169</v>
      </c>
      <c r="B7230" s="138">
        <f ca="1">'Expenditures 15-22'!I350</f>
        <v>0</v>
      </c>
      <c r="D7230" s="2" t="str">
        <f t="shared" ca="1" si="111"/>
        <v>Error?</v>
      </c>
    </row>
    <row r="7231" spans="1:4" x14ac:dyDescent="0.2">
      <c r="A7231">
        <v>7170</v>
      </c>
      <c r="B7231" s="138">
        <f ca="1">'Expenditures 15-22'!J350</f>
        <v>0</v>
      </c>
      <c r="D7231" s="2" t="str">
        <f t="shared" ref="D7231:D7294" ca="1" si="112">IF(ISBLANK(B7231),"OK",IF(A7231-B7231=0,"OK","Error?"))</f>
        <v>Error?</v>
      </c>
    </row>
    <row r="7232" spans="1:4" x14ac:dyDescent="0.2">
      <c r="A7232">
        <v>7171</v>
      </c>
      <c r="B7232" s="138">
        <f ca="1">'Expenditures 15-22'!I351</f>
        <v>0</v>
      </c>
      <c r="D7232" s="2" t="str">
        <f t="shared" ca="1" si="112"/>
        <v>Error?</v>
      </c>
    </row>
    <row r="7233" spans="1:4" x14ac:dyDescent="0.2">
      <c r="A7233">
        <v>7172</v>
      </c>
      <c r="B7233" s="138">
        <f ca="1">'Expenditures 15-22'!J351</f>
        <v>0</v>
      </c>
      <c r="D7233" s="2" t="str">
        <f t="shared" ca="1" si="112"/>
        <v>Error?</v>
      </c>
    </row>
    <row r="7234" spans="1:4" x14ac:dyDescent="0.2">
      <c r="A7234">
        <v>7173</v>
      </c>
      <c r="B7234" s="138">
        <f ca="1">'Expenditures 15-22'!I352</f>
        <v>0</v>
      </c>
      <c r="D7234" s="2" t="str">
        <f t="shared" ca="1" si="112"/>
        <v>Error?</v>
      </c>
    </row>
    <row r="7235" spans="1:4" x14ac:dyDescent="0.2">
      <c r="A7235">
        <v>7174</v>
      </c>
      <c r="B7235" s="138">
        <f ca="1">'Expenditures 15-22'!J352</f>
        <v>0</v>
      </c>
      <c r="D7235" s="2" t="str">
        <f t="shared" ca="1" si="112"/>
        <v>Error?</v>
      </c>
    </row>
    <row r="7236" spans="1:4" x14ac:dyDescent="0.2">
      <c r="A7236">
        <v>7175</v>
      </c>
      <c r="B7236" s="138">
        <f ca="1">'Expenditures 15-22'!H354</f>
        <v>0</v>
      </c>
      <c r="D7236" s="2" t="str">
        <f t="shared" ca="1" si="112"/>
        <v>Error?</v>
      </c>
    </row>
    <row r="7237" spans="1:4" x14ac:dyDescent="0.2">
      <c r="A7237">
        <v>7176</v>
      </c>
      <c r="B7237" s="138">
        <f ca="1">'Expenditures 15-22'!H355</f>
        <v>0</v>
      </c>
      <c r="D7237" s="2" t="str">
        <f t="shared" ca="1" si="112"/>
        <v>Error?</v>
      </c>
    </row>
    <row r="7238" spans="1:4" x14ac:dyDescent="0.2">
      <c r="A7238">
        <v>7177</v>
      </c>
      <c r="B7238" s="138">
        <f ca="1">'Expenditures 15-22'!H361</f>
        <v>0</v>
      </c>
      <c r="D7238" s="2" t="str">
        <f t="shared" ca="1" si="112"/>
        <v>Error?</v>
      </c>
    </row>
    <row r="7239" spans="1:4" x14ac:dyDescent="0.2">
      <c r="A7239">
        <v>7178</v>
      </c>
      <c r="B7239" s="138">
        <f ca="1">'Expenditures 15-22'!K361</f>
        <v>0</v>
      </c>
      <c r="D7239" s="2" t="str">
        <f t="shared" ca="1" si="112"/>
        <v>Error?</v>
      </c>
    </row>
    <row r="7240" spans="1:4" x14ac:dyDescent="0.2">
      <c r="A7240">
        <v>7179</v>
      </c>
      <c r="B7240" s="138">
        <f ca="1">'Expenditures 15-22'!H363</f>
        <v>0</v>
      </c>
      <c r="D7240" s="2" t="str">
        <f t="shared" ca="1" si="112"/>
        <v>Error?</v>
      </c>
    </row>
    <row r="7241" spans="1:4" x14ac:dyDescent="0.2">
      <c r="A7241">
        <v>7180</v>
      </c>
      <c r="B7241" s="138">
        <f ca="1">'Expenditures 15-22'!K363</f>
        <v>0</v>
      </c>
      <c r="D7241" s="2" t="str">
        <f t="shared" ca="1" si="112"/>
        <v>Error?</v>
      </c>
    </row>
    <row r="7242" spans="1:4" x14ac:dyDescent="0.2">
      <c r="A7242">
        <v>7181</v>
      </c>
      <c r="B7242" s="138">
        <f ca="1">'Expenditures 15-22'!H365</f>
        <v>0</v>
      </c>
      <c r="D7242" s="2" t="str">
        <f t="shared" ca="1" si="112"/>
        <v>Error?</v>
      </c>
    </row>
    <row r="7243" spans="1:4" x14ac:dyDescent="0.2">
      <c r="A7243">
        <v>7182</v>
      </c>
      <c r="B7243" s="138">
        <f ca="1">'Expenditures 15-22'!K365</f>
        <v>0</v>
      </c>
      <c r="D7243" s="2" t="str">
        <f t="shared" ca="1" si="112"/>
        <v>Error?</v>
      </c>
    </row>
    <row r="7244" spans="1:4" x14ac:dyDescent="0.2">
      <c r="A7244">
        <v>7183</v>
      </c>
      <c r="B7244" s="138">
        <f ca="1">'Expenditures 15-22'!I367</f>
        <v>0</v>
      </c>
      <c r="D7244" s="2" t="str">
        <f t="shared" ca="1" si="112"/>
        <v>Error?</v>
      </c>
    </row>
    <row r="7245" spans="1:4" x14ac:dyDescent="0.2">
      <c r="A7245">
        <f>A7244+1</f>
        <v>7184</v>
      </c>
      <c r="B7245" s="138">
        <f ca="1">'Expenditures 15-22'!J367</f>
        <v>0</v>
      </c>
      <c r="D7245" s="2" t="str">
        <f t="shared" ca="1" si="112"/>
        <v>Error?</v>
      </c>
    </row>
    <row r="7246" spans="1:4" x14ac:dyDescent="0.2">
      <c r="A7246">
        <f t="shared" ref="A7246:A7309" si="113">A7245+1</f>
        <v>7185</v>
      </c>
      <c r="B7246" s="138">
        <f ca="1">'Expenditures 15-22'!D7</f>
        <v>0</v>
      </c>
      <c r="D7246" s="2" t="str">
        <f t="shared" ca="1" si="112"/>
        <v>Error?</v>
      </c>
    </row>
    <row r="7247" spans="1:4" x14ac:dyDescent="0.2">
      <c r="A7247">
        <f t="shared" si="113"/>
        <v>7186</v>
      </c>
      <c r="B7247" s="138">
        <f ca="1">'Expenditures 15-22'!E7</f>
        <v>0</v>
      </c>
      <c r="D7247" s="2" t="str">
        <f t="shared" ca="1" si="112"/>
        <v>Error?</v>
      </c>
    </row>
    <row r="7248" spans="1:4" x14ac:dyDescent="0.2">
      <c r="A7248">
        <f t="shared" si="113"/>
        <v>7187</v>
      </c>
      <c r="B7248" s="138">
        <f ca="1">'Expenditures 15-22'!F7</f>
        <v>0</v>
      </c>
      <c r="D7248" s="2" t="str">
        <f t="shared" ca="1" si="112"/>
        <v>Error?</v>
      </c>
    </row>
    <row r="7249" spans="1:4" x14ac:dyDescent="0.2">
      <c r="A7249">
        <f t="shared" si="113"/>
        <v>7188</v>
      </c>
      <c r="B7249" s="138">
        <f ca="1">'Expenditures 15-22'!G7</f>
        <v>0</v>
      </c>
      <c r="D7249" s="2" t="str">
        <f t="shared" ca="1" si="112"/>
        <v>Error?</v>
      </c>
    </row>
    <row r="7250" spans="1:4" x14ac:dyDescent="0.2">
      <c r="A7250">
        <f t="shared" si="113"/>
        <v>7189</v>
      </c>
      <c r="B7250" s="138">
        <f ca="1">'Expenditures 15-22'!H7</f>
        <v>0</v>
      </c>
      <c r="D7250" s="2" t="str">
        <f t="shared" ca="1" si="112"/>
        <v>Error?</v>
      </c>
    </row>
    <row r="7251" spans="1:4" x14ac:dyDescent="0.2">
      <c r="A7251">
        <f t="shared" si="113"/>
        <v>7190</v>
      </c>
      <c r="B7251" s="138">
        <f ca="1">'Expenditures 15-22'!C9</f>
        <v>440496</v>
      </c>
      <c r="D7251" s="2" t="str">
        <f t="shared" ca="1" si="112"/>
        <v>Error?</v>
      </c>
    </row>
    <row r="7252" spans="1:4" x14ac:dyDescent="0.2">
      <c r="A7252">
        <f t="shared" si="113"/>
        <v>7191</v>
      </c>
      <c r="B7252" s="138">
        <f ca="1">'Expenditures 15-22'!D9</f>
        <v>142452</v>
      </c>
      <c r="D7252" s="2" t="str">
        <f t="shared" ca="1" si="112"/>
        <v>Error?</v>
      </c>
    </row>
    <row r="7253" spans="1:4" x14ac:dyDescent="0.2">
      <c r="A7253">
        <f t="shared" si="113"/>
        <v>7192</v>
      </c>
      <c r="B7253" s="138">
        <f ca="1">'Expenditures 15-22'!E9</f>
        <v>0</v>
      </c>
      <c r="D7253" s="2" t="str">
        <f t="shared" ca="1" si="112"/>
        <v>Error?</v>
      </c>
    </row>
    <row r="7254" spans="1:4" x14ac:dyDescent="0.2">
      <c r="A7254">
        <f t="shared" si="113"/>
        <v>7193</v>
      </c>
      <c r="B7254" s="138">
        <f ca="1">'Expenditures 15-22'!F9</f>
        <v>4829</v>
      </c>
      <c r="D7254" s="2" t="str">
        <f t="shared" ca="1" si="112"/>
        <v>Error?</v>
      </c>
    </row>
    <row r="7255" spans="1:4" x14ac:dyDescent="0.2">
      <c r="A7255">
        <f t="shared" si="113"/>
        <v>7194</v>
      </c>
      <c r="B7255" s="138">
        <f ca="1">'Expenditures 15-22'!G9</f>
        <v>0</v>
      </c>
      <c r="D7255" s="2" t="str">
        <f t="shared" ca="1" si="112"/>
        <v>Error?</v>
      </c>
    </row>
    <row r="7256" spans="1:4" x14ac:dyDescent="0.2">
      <c r="A7256">
        <f t="shared" si="113"/>
        <v>7195</v>
      </c>
      <c r="B7256" s="138">
        <f ca="1">'Expenditures 15-22'!H9</f>
        <v>0</v>
      </c>
      <c r="D7256" s="2" t="str">
        <f t="shared" ca="1" si="112"/>
        <v>Error?</v>
      </c>
    </row>
    <row r="7257" spans="1:4" x14ac:dyDescent="0.2">
      <c r="A7257">
        <f t="shared" si="113"/>
        <v>7196</v>
      </c>
      <c r="B7257" s="138">
        <f ca="1">'Expenditures 15-22'!C11</f>
        <v>484355</v>
      </c>
      <c r="D7257" s="2" t="str">
        <f t="shared" ca="1" si="112"/>
        <v>Error?</v>
      </c>
    </row>
    <row r="7258" spans="1:4" x14ac:dyDescent="0.2">
      <c r="A7258">
        <f t="shared" si="113"/>
        <v>7197</v>
      </c>
      <c r="B7258" s="138">
        <f ca="1">'Expenditures 15-22'!D11</f>
        <v>104519</v>
      </c>
      <c r="D7258" s="2" t="str">
        <f t="shared" ca="1" si="112"/>
        <v>Error?</v>
      </c>
    </row>
    <row r="7259" spans="1:4" x14ac:dyDescent="0.2">
      <c r="A7259">
        <f t="shared" si="113"/>
        <v>7198</v>
      </c>
      <c r="B7259" s="138">
        <f ca="1">'Expenditures 15-22'!E11</f>
        <v>15949</v>
      </c>
      <c r="D7259" s="2" t="str">
        <f t="shared" ca="1" si="112"/>
        <v>Error?</v>
      </c>
    </row>
    <row r="7260" spans="1:4" x14ac:dyDescent="0.2">
      <c r="A7260">
        <f t="shared" si="113"/>
        <v>7199</v>
      </c>
      <c r="B7260" s="138">
        <f ca="1">'Expenditures 15-22'!F11</f>
        <v>57333</v>
      </c>
      <c r="D7260" s="2" t="str">
        <f t="shared" ca="1" si="112"/>
        <v>Error?</v>
      </c>
    </row>
    <row r="7261" spans="1:4" x14ac:dyDescent="0.2">
      <c r="A7261">
        <f t="shared" si="113"/>
        <v>7200</v>
      </c>
      <c r="B7261" s="138">
        <f ca="1">'Expenditures 15-22'!G11</f>
        <v>4710</v>
      </c>
      <c r="D7261" s="2" t="str">
        <f t="shared" ca="1" si="112"/>
        <v>Error?</v>
      </c>
    </row>
    <row r="7262" spans="1:4" x14ac:dyDescent="0.2">
      <c r="A7262">
        <f t="shared" si="113"/>
        <v>7201</v>
      </c>
      <c r="B7262" s="138">
        <f ca="1">'Expenditures 15-22'!H11</f>
        <v>0</v>
      </c>
      <c r="D7262" s="2" t="str">
        <f t="shared" ca="1" si="112"/>
        <v>Error?</v>
      </c>
    </row>
    <row r="7263" spans="1:4" x14ac:dyDescent="0.2">
      <c r="A7263">
        <f t="shared" si="113"/>
        <v>7202</v>
      </c>
      <c r="B7263" s="138">
        <f ca="1">'Expenditures 15-22'!C17</f>
        <v>0</v>
      </c>
      <c r="D7263" s="2" t="str">
        <f t="shared" ca="1" si="112"/>
        <v>Error?</v>
      </c>
    </row>
    <row r="7264" spans="1:4" x14ac:dyDescent="0.2">
      <c r="A7264">
        <f t="shared" si="113"/>
        <v>7203</v>
      </c>
      <c r="B7264" s="138">
        <f ca="1">'Expenditures 15-22'!D17</f>
        <v>0</v>
      </c>
      <c r="D7264" s="2" t="str">
        <f t="shared" ca="1" si="112"/>
        <v>Error?</v>
      </c>
    </row>
    <row r="7265" spans="1:5" x14ac:dyDescent="0.2">
      <c r="A7265">
        <f t="shared" si="113"/>
        <v>7204</v>
      </c>
      <c r="B7265" s="138">
        <f ca="1">'Expenditures 15-22'!E17</f>
        <v>0</v>
      </c>
      <c r="D7265" s="2" t="str">
        <f t="shared" ca="1" si="112"/>
        <v>Error?</v>
      </c>
    </row>
    <row r="7266" spans="1:5" x14ac:dyDescent="0.2">
      <c r="A7266">
        <f t="shared" si="113"/>
        <v>7205</v>
      </c>
      <c r="B7266" s="138">
        <f ca="1">'Expenditures 15-22'!F17</f>
        <v>0</v>
      </c>
      <c r="D7266" s="2" t="str">
        <f t="shared" ca="1" si="112"/>
        <v>Error?</v>
      </c>
    </row>
    <row r="7267" spans="1:5" x14ac:dyDescent="0.2">
      <c r="A7267">
        <f t="shared" si="113"/>
        <v>7206</v>
      </c>
      <c r="B7267" s="138">
        <f ca="1">'Expenditures 15-22'!G17</f>
        <v>0</v>
      </c>
      <c r="D7267" s="2" t="str">
        <f t="shared" ca="1" si="112"/>
        <v>Error?</v>
      </c>
    </row>
    <row r="7268" spans="1:5" x14ac:dyDescent="0.2">
      <c r="A7268">
        <f t="shared" si="113"/>
        <v>7207</v>
      </c>
      <c r="B7268" s="138">
        <f ca="1">'Expenditures 15-22'!H17</f>
        <v>0</v>
      </c>
      <c r="D7268" s="2" t="str">
        <f t="shared" ca="1"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 ca="1">'Cap Outlay Deprec 26'!F17</f>
        <v>0</v>
      </c>
      <c r="D7624" s="2" t="str">
        <f t="shared" ca="1" si="124"/>
        <v>Error?</v>
      </c>
      <c r="E7624" s="2" t="s">
        <v>19</v>
      </c>
    </row>
    <row r="7625" spans="1:5" x14ac:dyDescent="0.2">
      <c r="A7625">
        <f t="shared" si="123"/>
        <v>7564</v>
      </c>
      <c r="B7625" s="138">
        <f ca="1">'Cap Outlay Deprec 26'!I17</f>
        <v>0</v>
      </c>
      <c r="D7625" s="2" t="str">
        <f t="shared" ca="1"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 ca="1">'Cap Outlay Deprec 26'!I18</f>
        <v>1454974</v>
      </c>
      <c r="D7631" s="2" t="str">
        <f t="shared" ca="1"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 ca="1">'Revenues 9-14'!G106</f>
        <v>0</v>
      </c>
      <c r="D7636" s="2" t="str">
        <f t="shared" ca="1" si="124"/>
        <v>Error?</v>
      </c>
      <c r="E7636" s="2" t="s">
        <v>80</v>
      </c>
    </row>
    <row r="7637" spans="1:6" x14ac:dyDescent="0.2">
      <c r="A7637">
        <f t="shared" si="125"/>
        <v>7576</v>
      </c>
      <c r="B7637" s="138">
        <f ca="1">'Revenues 9-14'!H106</f>
        <v>0</v>
      </c>
      <c r="D7637" s="2" t="str">
        <f t="shared" ca="1" si="124"/>
        <v>Error?</v>
      </c>
      <c r="E7637" s="2" t="s">
        <v>80</v>
      </c>
    </row>
    <row r="7638" spans="1:6" x14ac:dyDescent="0.2">
      <c r="A7638">
        <f t="shared" si="125"/>
        <v>7577</v>
      </c>
      <c r="B7638" s="138">
        <f ca="1">'Revenues 9-14'!J106</f>
        <v>0</v>
      </c>
      <c r="D7638" s="2" t="str">
        <f t="shared" ca="1" si="124"/>
        <v>Error?</v>
      </c>
      <c r="E7638" s="2" t="s">
        <v>80</v>
      </c>
    </row>
    <row r="7639" spans="1:6" x14ac:dyDescent="0.2">
      <c r="A7639">
        <f t="shared" si="125"/>
        <v>7578</v>
      </c>
      <c r="B7639" s="138">
        <f ca="1">'Revenues 9-14'!K106</f>
        <v>0</v>
      </c>
      <c r="D7639" s="2" t="str">
        <f t="shared" ca="1"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 ca="1">'Acct Summary 7-8'!C55</f>
        <v>0</v>
      </c>
      <c r="D7651" s="2" t="str">
        <f t="shared" ca="1" si="124"/>
        <v>Error?</v>
      </c>
      <c r="E7651" s="2" t="s">
        <v>827</v>
      </c>
    </row>
    <row r="7652" spans="1:5" x14ac:dyDescent="0.2">
      <c r="A7652">
        <v>7591</v>
      </c>
      <c r="B7652" s="138">
        <f ca="1">'Acct Summary 7-8'!D55</f>
        <v>0</v>
      </c>
      <c r="D7652" s="2" t="str">
        <f t="shared" ca="1" si="124"/>
        <v>Error?</v>
      </c>
      <c r="E7652" s="2" t="s">
        <v>827</v>
      </c>
    </row>
    <row r="7653" spans="1:5" x14ac:dyDescent="0.2">
      <c r="A7653">
        <v>7592</v>
      </c>
      <c r="B7653" s="138">
        <f ca="1">'Acct Summary 7-8'!H55</f>
        <v>0</v>
      </c>
      <c r="D7653" s="2" t="str">
        <f t="shared" ca="1" si="124"/>
        <v>Error?</v>
      </c>
      <c r="E7653" s="2" t="s">
        <v>827</v>
      </c>
    </row>
    <row r="7654" spans="1:5" x14ac:dyDescent="0.2">
      <c r="A7654">
        <v>7593</v>
      </c>
      <c r="B7654" s="138">
        <f ca="1">'Acct Summary 7-8'!C56</f>
        <v>0</v>
      </c>
      <c r="D7654" s="2" t="str">
        <f t="shared" ca="1" si="124"/>
        <v>Error?</v>
      </c>
      <c r="E7654" s="2" t="s">
        <v>827</v>
      </c>
    </row>
    <row r="7655" spans="1:5" x14ac:dyDescent="0.2">
      <c r="A7655">
        <v>7594</v>
      </c>
      <c r="B7655" s="138">
        <f ca="1">'Acct Summary 7-8'!D56</f>
        <v>0</v>
      </c>
      <c r="D7655" s="2" t="str">
        <f t="shared" ca="1" si="124"/>
        <v>Error?</v>
      </c>
      <c r="E7655" s="2" t="s">
        <v>827</v>
      </c>
    </row>
    <row r="7656" spans="1:5" x14ac:dyDescent="0.2">
      <c r="A7656">
        <v>7595</v>
      </c>
      <c r="B7656" s="138">
        <f ca="1">'Acct Summary 7-8'!H56</f>
        <v>0</v>
      </c>
      <c r="D7656" s="2" t="str">
        <f t="shared" ca="1" si="124"/>
        <v>Error?</v>
      </c>
      <c r="E7656" s="2" t="s">
        <v>827</v>
      </c>
    </row>
    <row r="7657" spans="1:5" x14ac:dyDescent="0.2">
      <c r="A7657">
        <v>7596</v>
      </c>
      <c r="B7657" s="138">
        <f ca="1">'Acct Summary 7-8'!C57</f>
        <v>0</v>
      </c>
      <c r="D7657" s="2" t="str">
        <f t="shared" ca="1" si="124"/>
        <v>Error?</v>
      </c>
      <c r="E7657" s="2" t="s">
        <v>827</v>
      </c>
    </row>
    <row r="7658" spans="1:5" x14ac:dyDescent="0.2">
      <c r="A7658">
        <v>7597</v>
      </c>
      <c r="B7658" s="138">
        <f ca="1">'Acct Summary 7-8'!D57</f>
        <v>0</v>
      </c>
      <c r="D7658" s="2" t="str">
        <f t="shared" ca="1" si="124"/>
        <v>Error?</v>
      </c>
      <c r="E7658" s="2" t="s">
        <v>827</v>
      </c>
    </row>
    <row r="7659" spans="1:5" x14ac:dyDescent="0.2">
      <c r="A7659">
        <v>7598</v>
      </c>
      <c r="B7659" s="138">
        <f ca="1">'Acct Summary 7-8'!H57</f>
        <v>0</v>
      </c>
      <c r="D7659" s="2" t="str">
        <f t="shared" ca="1" si="124"/>
        <v>Error?</v>
      </c>
      <c r="E7659" s="2" t="s">
        <v>827</v>
      </c>
    </row>
    <row r="7660" spans="1:5" x14ac:dyDescent="0.2">
      <c r="A7660">
        <v>7599</v>
      </c>
      <c r="B7660" s="138">
        <f ca="1">'Acct Summary 7-8'!C59</f>
        <v>0</v>
      </c>
      <c r="D7660" s="2" t="str">
        <f t="shared" ca="1" si="124"/>
        <v>Error?</v>
      </c>
      <c r="E7660" s="2" t="s">
        <v>827</v>
      </c>
    </row>
    <row r="7661" spans="1:5" x14ac:dyDescent="0.2">
      <c r="A7661">
        <v>7600</v>
      </c>
      <c r="B7661" s="138">
        <f ca="1">'Acct Summary 7-8'!D59</f>
        <v>0</v>
      </c>
      <c r="D7661" s="2" t="str">
        <f t="shared" ca="1" si="124"/>
        <v>Error?</v>
      </c>
      <c r="E7661" s="2" t="s">
        <v>827</v>
      </c>
    </row>
    <row r="7662" spans="1:5" x14ac:dyDescent="0.2">
      <c r="A7662">
        <v>7601</v>
      </c>
      <c r="B7662" s="138">
        <f ca="1">'Acct Summary 7-8'!H59</f>
        <v>0</v>
      </c>
      <c r="D7662" s="2" t="str">
        <f t="shared" ca="1" si="124"/>
        <v>Error?</v>
      </c>
      <c r="E7662" s="2" t="s">
        <v>827</v>
      </c>
    </row>
    <row r="7663" spans="1:5" x14ac:dyDescent="0.2">
      <c r="A7663">
        <v>7602</v>
      </c>
      <c r="B7663" s="138">
        <f ca="1">'Acct Summary 7-8'!C60</f>
        <v>0</v>
      </c>
      <c r="D7663" s="2" t="str">
        <f t="shared" ca="1" si="124"/>
        <v>Error?</v>
      </c>
      <c r="E7663" s="2" t="s">
        <v>827</v>
      </c>
    </row>
    <row r="7664" spans="1:5" x14ac:dyDescent="0.2">
      <c r="A7664">
        <v>7603</v>
      </c>
      <c r="B7664" s="138">
        <f ca="1">'Acct Summary 7-8'!D60</f>
        <v>0</v>
      </c>
      <c r="D7664" s="2" t="str">
        <f t="shared" ca="1" si="124"/>
        <v>Error?</v>
      </c>
      <c r="E7664" s="2" t="s">
        <v>827</v>
      </c>
    </row>
    <row r="7665" spans="1:5" x14ac:dyDescent="0.2">
      <c r="A7665">
        <v>7604</v>
      </c>
      <c r="B7665" s="138">
        <f ca="1">'Acct Summary 7-8'!H60</f>
        <v>0</v>
      </c>
      <c r="D7665" s="2" t="str">
        <f t="shared" ca="1" si="124"/>
        <v>Error?</v>
      </c>
      <c r="E7665" s="2" t="s">
        <v>827</v>
      </c>
    </row>
    <row r="7666" spans="1:5" x14ac:dyDescent="0.2">
      <c r="A7666">
        <v>7605</v>
      </c>
      <c r="B7666" s="138">
        <f ca="1">'Acct Summary 7-8'!C61</f>
        <v>0</v>
      </c>
      <c r="D7666" s="2" t="str">
        <f t="shared" ca="1" si="124"/>
        <v>Error?</v>
      </c>
      <c r="E7666" s="2" t="s">
        <v>827</v>
      </c>
    </row>
    <row r="7667" spans="1:5" x14ac:dyDescent="0.2">
      <c r="A7667">
        <v>7606</v>
      </c>
      <c r="B7667" s="138">
        <f ca="1">'Acct Summary 7-8'!D61</f>
        <v>0</v>
      </c>
      <c r="D7667" s="2" t="str">
        <f t="shared" ca="1" si="124"/>
        <v>Error?</v>
      </c>
      <c r="E7667" s="2" t="s">
        <v>827</v>
      </c>
    </row>
    <row r="7668" spans="1:5" x14ac:dyDescent="0.2">
      <c r="A7668">
        <v>7607</v>
      </c>
      <c r="B7668" s="138">
        <f ca="1">'Acct Summary 7-8'!H61</f>
        <v>0</v>
      </c>
      <c r="D7668" s="2" t="str">
        <f t="shared" ca="1" si="124"/>
        <v>Error?</v>
      </c>
      <c r="E7668" s="2" t="s">
        <v>827</v>
      </c>
    </row>
    <row r="7669" spans="1:5" x14ac:dyDescent="0.2">
      <c r="A7669">
        <v>7608</v>
      </c>
      <c r="B7669" s="138">
        <f ca="1">'Acct Summary 7-8'!C63</f>
        <v>0</v>
      </c>
      <c r="D7669" s="2" t="str">
        <f t="shared" ca="1" si="124"/>
        <v>Error?</v>
      </c>
      <c r="E7669" s="2" t="s">
        <v>827</v>
      </c>
    </row>
    <row r="7670" spans="1:5" x14ac:dyDescent="0.2">
      <c r="A7670">
        <v>7609</v>
      </c>
      <c r="B7670" s="138">
        <f ca="1">'Acct Summary 7-8'!D63</f>
        <v>0</v>
      </c>
      <c r="D7670" s="2" t="str">
        <f t="shared" ca="1" si="124"/>
        <v>Error?</v>
      </c>
      <c r="E7670" s="2" t="s">
        <v>827</v>
      </c>
    </row>
    <row r="7671" spans="1:5" x14ac:dyDescent="0.2">
      <c r="A7671">
        <v>7610</v>
      </c>
      <c r="B7671" s="138">
        <f ca="1">'Acct Summary 7-8'!C64</f>
        <v>0</v>
      </c>
      <c r="D7671" s="2" t="str">
        <f t="shared" ca="1" si="124"/>
        <v>Error?</v>
      </c>
      <c r="E7671" s="2" t="s">
        <v>827</v>
      </c>
    </row>
    <row r="7672" spans="1:5" x14ac:dyDescent="0.2">
      <c r="A7672">
        <v>7611</v>
      </c>
      <c r="B7672" s="138">
        <f ca="1">'Acct Summary 7-8'!D64</f>
        <v>0</v>
      </c>
      <c r="D7672" s="2" t="str">
        <f t="shared" ca="1" si="124"/>
        <v>Error?</v>
      </c>
      <c r="E7672" s="2" t="s">
        <v>827</v>
      </c>
    </row>
    <row r="7673" spans="1:5" x14ac:dyDescent="0.2">
      <c r="A7673">
        <v>7612</v>
      </c>
      <c r="B7673" s="138">
        <f ca="1">'Acct Summary 7-8'!C65</f>
        <v>0</v>
      </c>
      <c r="D7673" s="2" t="str">
        <f t="shared" ca="1" si="124"/>
        <v>Error?</v>
      </c>
      <c r="E7673" s="2" t="s">
        <v>827</v>
      </c>
    </row>
    <row r="7674" spans="1:5" x14ac:dyDescent="0.2">
      <c r="A7674">
        <v>7613</v>
      </c>
      <c r="B7674" s="138">
        <f ca="1">'Acct Summary 7-8'!D65</f>
        <v>0</v>
      </c>
      <c r="D7674" s="2" t="str">
        <f t="shared" ca="1" si="124"/>
        <v>Error?</v>
      </c>
      <c r="E7674" s="2" t="s">
        <v>827</v>
      </c>
    </row>
    <row r="7675" spans="1:5" x14ac:dyDescent="0.2">
      <c r="A7675">
        <v>7614</v>
      </c>
      <c r="B7675" s="138">
        <f ca="1">'Acct Summary 7-8'!C67</f>
        <v>0</v>
      </c>
      <c r="D7675" s="2" t="str">
        <f t="shared" ca="1" si="124"/>
        <v>Error?</v>
      </c>
      <c r="E7675" s="2" t="s">
        <v>827</v>
      </c>
    </row>
    <row r="7676" spans="1:5" x14ac:dyDescent="0.2">
      <c r="A7676">
        <v>7615</v>
      </c>
      <c r="B7676" s="138">
        <f ca="1">'Acct Summary 7-8'!D67</f>
        <v>0</v>
      </c>
      <c r="D7676" s="2" t="str">
        <f t="shared" ca="1" si="124"/>
        <v>Error?</v>
      </c>
      <c r="E7676" s="2" t="s">
        <v>827</v>
      </c>
    </row>
    <row r="7677" spans="1:5" x14ac:dyDescent="0.2">
      <c r="A7677">
        <v>7616</v>
      </c>
      <c r="B7677" s="138">
        <f ca="1">'Acct Summary 7-8'!C68</f>
        <v>0</v>
      </c>
      <c r="D7677" s="2" t="str">
        <f t="shared" ca="1" si="124"/>
        <v>Error?</v>
      </c>
      <c r="E7677" s="2" t="s">
        <v>827</v>
      </c>
    </row>
    <row r="7678" spans="1:5" x14ac:dyDescent="0.2">
      <c r="A7678">
        <v>7617</v>
      </c>
      <c r="B7678" s="138">
        <f ca="1">'Acct Summary 7-8'!D68</f>
        <v>0</v>
      </c>
      <c r="D7678" s="2" t="str">
        <f t="shared" ca="1" si="124"/>
        <v>Error?</v>
      </c>
      <c r="E7678" s="2" t="s">
        <v>827</v>
      </c>
    </row>
    <row r="7679" spans="1:5" x14ac:dyDescent="0.2">
      <c r="A7679">
        <v>7618</v>
      </c>
      <c r="B7679" s="138">
        <f ca="1">'Acct Summary 7-8'!C69</f>
        <v>0</v>
      </c>
      <c r="D7679" s="2" t="str">
        <f t="shared" ref="D7679:D7742" ca="1" si="126">IF(ISBLANK(B7679),"OK",IF(A7679-B7679=0,"OK","Error?"))</f>
        <v>Error?</v>
      </c>
      <c r="E7679" s="2" t="s">
        <v>827</v>
      </c>
    </row>
    <row r="7680" spans="1:5" x14ac:dyDescent="0.2">
      <c r="A7680">
        <v>7619</v>
      </c>
      <c r="B7680" s="138">
        <f ca="1">'Acct Summary 7-8'!D69</f>
        <v>0</v>
      </c>
      <c r="D7680" s="2" t="str">
        <f t="shared" ca="1" si="126"/>
        <v>Error?</v>
      </c>
      <c r="E7680" s="2" t="s">
        <v>827</v>
      </c>
    </row>
    <row r="7681" spans="1:5" x14ac:dyDescent="0.2">
      <c r="A7681">
        <v>7620</v>
      </c>
      <c r="B7681" s="138">
        <f ca="1">'Acct Summary 7-8'!C71</f>
        <v>0</v>
      </c>
      <c r="D7681" s="2" t="str">
        <f t="shared" ca="1" si="126"/>
        <v>Error?</v>
      </c>
      <c r="E7681" s="2" t="s">
        <v>827</v>
      </c>
    </row>
    <row r="7682" spans="1:5" x14ac:dyDescent="0.2">
      <c r="A7682">
        <v>7621</v>
      </c>
      <c r="B7682" s="138">
        <f ca="1">'Acct Summary 7-8'!D71</f>
        <v>0</v>
      </c>
      <c r="D7682" s="2" t="str">
        <f t="shared" ca="1" si="126"/>
        <v>Error?</v>
      </c>
      <c r="E7682" s="2" t="s">
        <v>827</v>
      </c>
    </row>
    <row r="7683" spans="1:5" x14ac:dyDescent="0.2">
      <c r="A7683">
        <v>7622</v>
      </c>
      <c r="B7683" s="138">
        <f ca="1">'Acct Summary 7-8'!C72</f>
        <v>0</v>
      </c>
      <c r="D7683" s="2" t="str">
        <f t="shared" ca="1" si="126"/>
        <v>Error?</v>
      </c>
      <c r="E7683" s="2" t="s">
        <v>827</v>
      </c>
    </row>
    <row r="7684" spans="1:5" x14ac:dyDescent="0.2">
      <c r="A7684">
        <v>7623</v>
      </c>
      <c r="B7684" s="138">
        <f ca="1">'Acct Summary 7-8'!D72</f>
        <v>0</v>
      </c>
      <c r="D7684" s="2" t="str">
        <f t="shared" ca="1" si="126"/>
        <v>Error?</v>
      </c>
      <c r="E7684" s="2" t="s">
        <v>827</v>
      </c>
    </row>
    <row r="7685" spans="1:5" x14ac:dyDescent="0.2">
      <c r="A7685">
        <v>7624</v>
      </c>
      <c r="B7685" s="138">
        <f ca="1">'Acct Summary 7-8'!C73</f>
        <v>0</v>
      </c>
      <c r="D7685" s="2" t="str">
        <f t="shared" ca="1" si="126"/>
        <v>Error?</v>
      </c>
      <c r="E7685" s="2" t="s">
        <v>827</v>
      </c>
    </row>
    <row r="7686" spans="1:5" x14ac:dyDescent="0.2">
      <c r="A7686">
        <v>7625</v>
      </c>
      <c r="B7686" s="138">
        <f ca="1">'Acct Summary 7-8'!D73</f>
        <v>0</v>
      </c>
      <c r="D7686" s="2" t="str">
        <f t="shared" ca="1" si="126"/>
        <v>Error?</v>
      </c>
      <c r="E7686" s="2" t="s">
        <v>827</v>
      </c>
    </row>
    <row r="7687" spans="1:5" x14ac:dyDescent="0.2">
      <c r="A7687">
        <v>7626</v>
      </c>
      <c r="B7687" s="138">
        <f ca="1">'Revenues 9-14'!C196</f>
        <v>0</v>
      </c>
      <c r="D7687" s="2" t="str">
        <f t="shared" ca="1" si="126"/>
        <v>Error?</v>
      </c>
      <c r="E7687" s="2" t="s">
        <v>827</v>
      </c>
    </row>
    <row r="7688" spans="1:5" x14ac:dyDescent="0.2">
      <c r="A7688">
        <v>7627</v>
      </c>
      <c r="B7688" s="138">
        <f ca="1">'Expenditures 15-22'!C328</f>
        <v>0</v>
      </c>
      <c r="D7688" s="2" t="str">
        <f t="shared" ca="1" si="126"/>
        <v>Error?</v>
      </c>
      <c r="E7688" s="2" t="s">
        <v>827</v>
      </c>
    </row>
    <row r="7689" spans="1:5" x14ac:dyDescent="0.2">
      <c r="A7689">
        <v>7628</v>
      </c>
      <c r="B7689" s="138">
        <f ca="1">'Expenditures 15-22'!D328</f>
        <v>0</v>
      </c>
      <c r="D7689" s="2" t="str">
        <f t="shared" ca="1" si="126"/>
        <v>Error?</v>
      </c>
      <c r="E7689" s="2" t="s">
        <v>827</v>
      </c>
    </row>
    <row r="7690" spans="1:5" x14ac:dyDescent="0.2">
      <c r="A7690">
        <v>7629</v>
      </c>
      <c r="B7690" s="138">
        <f ca="1">'Expenditures 15-22'!E328</f>
        <v>0</v>
      </c>
      <c r="D7690" s="2" t="str">
        <f t="shared" ca="1" si="126"/>
        <v>Error?</v>
      </c>
      <c r="E7690" s="2" t="s">
        <v>827</v>
      </c>
    </row>
    <row r="7691" spans="1:5" x14ac:dyDescent="0.2">
      <c r="A7691">
        <v>7630</v>
      </c>
      <c r="B7691" s="138">
        <f ca="1">'Expenditures 15-22'!F328</f>
        <v>0</v>
      </c>
      <c r="D7691" s="2" t="str">
        <f t="shared" ca="1" si="126"/>
        <v>Error?</v>
      </c>
      <c r="E7691" s="2" t="s">
        <v>827</v>
      </c>
    </row>
    <row r="7692" spans="1:5" x14ac:dyDescent="0.2">
      <c r="A7692">
        <v>7631</v>
      </c>
      <c r="B7692" s="138">
        <f ca="1">'Expenditures 15-22'!G328</f>
        <v>0</v>
      </c>
      <c r="D7692" s="2" t="str">
        <f t="shared" ca="1" si="126"/>
        <v>Error?</v>
      </c>
      <c r="E7692" s="2" t="s">
        <v>827</v>
      </c>
    </row>
    <row r="7693" spans="1:5" x14ac:dyDescent="0.2">
      <c r="A7693">
        <v>7632</v>
      </c>
      <c r="B7693" s="138">
        <f ca="1">'Expenditures 15-22'!H328</f>
        <v>0</v>
      </c>
      <c r="D7693" s="2" t="str">
        <f t="shared" ca="1" si="126"/>
        <v>Error?</v>
      </c>
      <c r="E7693" s="2" t="s">
        <v>827</v>
      </c>
    </row>
    <row r="7694" spans="1:5" x14ac:dyDescent="0.2">
      <c r="A7694">
        <v>7633</v>
      </c>
      <c r="B7694" s="138">
        <f ca="1">'Expenditures 15-22'!I328</f>
        <v>0</v>
      </c>
      <c r="D7694" s="2" t="str">
        <f t="shared" ca="1" si="126"/>
        <v>Error?</v>
      </c>
      <c r="E7694" s="2" t="s">
        <v>827</v>
      </c>
    </row>
    <row r="7695" spans="1:5" x14ac:dyDescent="0.2">
      <c r="A7695">
        <v>7634</v>
      </c>
      <c r="B7695" s="138">
        <f ca="1">'Expenditures 15-22'!J328</f>
        <v>0</v>
      </c>
      <c r="D7695" s="2" t="str">
        <f t="shared" ca="1" si="126"/>
        <v>Error?</v>
      </c>
      <c r="E7695" s="2" t="s">
        <v>827</v>
      </c>
    </row>
    <row r="7696" spans="1:5" x14ac:dyDescent="0.2">
      <c r="A7696">
        <v>7635</v>
      </c>
      <c r="B7696" s="138">
        <f ca="1">'Expenditures 15-22'!K328</f>
        <v>0</v>
      </c>
      <c r="D7696" s="2" t="str">
        <f t="shared" ca="1" si="126"/>
        <v>Error?</v>
      </c>
      <c r="E7696" s="2" t="s">
        <v>827</v>
      </c>
    </row>
    <row r="7697" spans="1:5" x14ac:dyDescent="0.2">
      <c r="A7697">
        <v>7636</v>
      </c>
      <c r="B7697" s="138">
        <f ca="1">'Expenditures 15-22'!C329</f>
        <v>0</v>
      </c>
      <c r="D7697" s="2" t="str">
        <f t="shared" ca="1" si="126"/>
        <v>Error?</v>
      </c>
      <c r="E7697" s="2" t="s">
        <v>827</v>
      </c>
    </row>
    <row r="7698" spans="1:5" x14ac:dyDescent="0.2">
      <c r="A7698">
        <v>7637</v>
      </c>
      <c r="B7698" s="138">
        <f ca="1">'Expenditures 15-22'!D329</f>
        <v>0</v>
      </c>
      <c r="D7698" s="2" t="str">
        <f t="shared" ca="1" si="126"/>
        <v>Error?</v>
      </c>
      <c r="E7698" s="2" t="s">
        <v>827</v>
      </c>
    </row>
    <row r="7699" spans="1:5" x14ac:dyDescent="0.2">
      <c r="A7699">
        <v>7638</v>
      </c>
      <c r="B7699" s="138">
        <f ca="1">'Expenditures 15-22'!E329</f>
        <v>0</v>
      </c>
      <c r="D7699" s="2" t="str">
        <f t="shared" ca="1" si="126"/>
        <v>Error?</v>
      </c>
      <c r="E7699" s="2" t="s">
        <v>827</v>
      </c>
    </row>
    <row r="7700" spans="1:5" x14ac:dyDescent="0.2">
      <c r="A7700">
        <v>7639</v>
      </c>
      <c r="B7700" s="138">
        <f ca="1">'Expenditures 15-22'!F329</f>
        <v>0</v>
      </c>
      <c r="D7700" s="2" t="str">
        <f t="shared" ca="1" si="126"/>
        <v>Error?</v>
      </c>
      <c r="E7700" s="2" t="s">
        <v>827</v>
      </c>
    </row>
    <row r="7701" spans="1:5" x14ac:dyDescent="0.2">
      <c r="A7701">
        <v>7640</v>
      </c>
      <c r="B7701" s="138">
        <f ca="1">'Expenditures 15-22'!G329</f>
        <v>0</v>
      </c>
      <c r="D7701" s="2" t="str">
        <f t="shared" ca="1" si="126"/>
        <v>Error?</v>
      </c>
      <c r="E7701" s="2" t="s">
        <v>827</v>
      </c>
    </row>
    <row r="7702" spans="1:5" x14ac:dyDescent="0.2">
      <c r="A7702">
        <v>7641</v>
      </c>
      <c r="B7702" s="138">
        <f ca="1">'Expenditures 15-22'!H329</f>
        <v>0</v>
      </c>
      <c r="D7702" s="2" t="str">
        <f t="shared" ca="1" si="126"/>
        <v>Error?</v>
      </c>
      <c r="E7702" s="2" t="s">
        <v>827</v>
      </c>
    </row>
    <row r="7703" spans="1:5" x14ac:dyDescent="0.2">
      <c r="A7703">
        <v>7642</v>
      </c>
      <c r="B7703" s="138">
        <f ca="1">'Expenditures 15-22'!I329</f>
        <v>0</v>
      </c>
      <c r="D7703" s="2" t="str">
        <f t="shared" ca="1" si="126"/>
        <v>Error?</v>
      </c>
      <c r="E7703" s="2" t="s">
        <v>827</v>
      </c>
    </row>
    <row r="7704" spans="1:5" x14ac:dyDescent="0.2">
      <c r="A7704">
        <v>7643</v>
      </c>
      <c r="B7704" s="138">
        <f ca="1">'Expenditures 15-22'!J329</f>
        <v>0</v>
      </c>
      <c r="D7704" s="2" t="str">
        <f t="shared" ca="1" si="126"/>
        <v>Error?</v>
      </c>
      <c r="E7704" s="2" t="s">
        <v>827</v>
      </c>
    </row>
    <row r="7705" spans="1:5" x14ac:dyDescent="0.2">
      <c r="A7705">
        <v>7644</v>
      </c>
      <c r="B7705" s="138">
        <f ca="1">'Expenditures 15-22'!K329</f>
        <v>0</v>
      </c>
      <c r="D7705" s="2" t="str">
        <f t="shared" ca="1" si="126"/>
        <v>Error?</v>
      </c>
      <c r="E7705" s="2" t="s">
        <v>827</v>
      </c>
    </row>
    <row r="7706" spans="1:5" x14ac:dyDescent="0.2">
      <c r="A7706">
        <v>7645</v>
      </c>
      <c r="B7706" s="138">
        <f ca="1">'Revenues 9-14'!H167</f>
        <v>0</v>
      </c>
      <c r="D7706" s="2" t="str">
        <f t="shared" ca="1" si="126"/>
        <v>Error?</v>
      </c>
      <c r="E7706" s="2" t="s">
        <v>827</v>
      </c>
    </row>
    <row r="7707" spans="1:5" x14ac:dyDescent="0.2">
      <c r="A7707">
        <v>7646</v>
      </c>
      <c r="B7707" s="138">
        <f ca="1">'Expenditures 15-22'!I64</f>
        <v>0</v>
      </c>
      <c r="D7707" s="2" t="str">
        <f t="shared" ca="1"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56214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 ca="1">'Revenues 9-14'!E103</f>
        <v>0</v>
      </c>
      <c r="D7728" s="2" t="str">
        <f t="shared" ca="1"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 ca="1">'Revenues 9-14'!H103</f>
        <v>0</v>
      </c>
      <c r="D7731" s="2" t="str">
        <f t="shared" ca="1"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 ca="1">'Expenditures 15-22'!H364</f>
        <v>0</v>
      </c>
      <c r="D7745" s="2" t="str">
        <f t="shared" ca="1" si="127"/>
        <v>Error?</v>
      </c>
      <c r="E7745" s="2" t="s">
        <v>827</v>
      </c>
    </row>
    <row r="7746" spans="1:6" x14ac:dyDescent="0.2">
      <c r="A7746">
        <v>7685</v>
      </c>
      <c r="B7746" s="138">
        <f ca="1">'Expenditures 15-22'!K364</f>
        <v>0</v>
      </c>
      <c r="D7746" s="2" t="str">
        <f t="shared" ca="1" si="127"/>
        <v>Error?</v>
      </c>
      <c r="E7746" s="2" t="s">
        <v>827</v>
      </c>
    </row>
    <row r="7747" spans="1:6" x14ac:dyDescent="0.2">
      <c r="A7747">
        <v>7686</v>
      </c>
      <c r="B7747" s="138">
        <f ca="1">'Revenues 9-14'!E266</f>
        <v>0</v>
      </c>
      <c r="D7747" s="2" t="str">
        <f t="shared" ca="1" si="127"/>
        <v>Error?</v>
      </c>
      <c r="E7747" s="2" t="s">
        <v>827</v>
      </c>
      <c r="F7747" s="2" t="s">
        <v>828</v>
      </c>
    </row>
    <row r="7748" spans="1:6" x14ac:dyDescent="0.2">
      <c r="A7748">
        <v>7687</v>
      </c>
      <c r="B7748" s="138">
        <f ca="1">'Acct Summary 7-8'!C25</f>
        <v>0</v>
      </c>
      <c r="D7748" s="2" t="str">
        <f t="shared" ca="1" si="127"/>
        <v>Error?</v>
      </c>
      <c r="E7748" s="4" t="s">
        <v>1333</v>
      </c>
    </row>
    <row r="7749" spans="1:6" x14ac:dyDescent="0.2">
      <c r="A7749">
        <v>7688</v>
      </c>
      <c r="B7749" s="138">
        <f ca="1">'Acct Summary 7-8'!D25</f>
        <v>750000</v>
      </c>
      <c r="D7749" s="2" t="str">
        <f t="shared" ca="1" si="127"/>
        <v>Error?</v>
      </c>
      <c r="E7749" s="4" t="s">
        <v>1333</v>
      </c>
    </row>
    <row r="7750" spans="1:6" x14ac:dyDescent="0.2">
      <c r="A7750">
        <v>7689</v>
      </c>
      <c r="B7750" s="138">
        <f ca="1">'Acct Summary 7-8'!E25</f>
        <v>0</v>
      </c>
      <c r="D7750" s="2" t="str">
        <f t="shared" ca="1" si="127"/>
        <v>Error?</v>
      </c>
      <c r="E7750" s="4" t="s">
        <v>1333</v>
      </c>
    </row>
    <row r="7751" spans="1:6" x14ac:dyDescent="0.2">
      <c r="A7751">
        <v>7690</v>
      </c>
      <c r="B7751" s="138">
        <f ca="1">'Acct Summary 7-8'!F25</f>
        <v>0</v>
      </c>
      <c r="D7751" s="2" t="str">
        <f t="shared" ca="1" si="127"/>
        <v>Error?</v>
      </c>
      <c r="E7751" s="4" t="s">
        <v>1333</v>
      </c>
    </row>
    <row r="7752" spans="1:6" x14ac:dyDescent="0.2">
      <c r="A7752">
        <v>7691</v>
      </c>
      <c r="B7752" s="138">
        <f ca="1">'Acct Summary 7-8'!G25</f>
        <v>0</v>
      </c>
      <c r="D7752" s="2" t="str">
        <f t="shared" ca="1" si="127"/>
        <v>Error?</v>
      </c>
      <c r="E7752" s="4" t="s">
        <v>1333</v>
      </c>
    </row>
    <row r="7753" spans="1:6" x14ac:dyDescent="0.2">
      <c r="A7753">
        <v>7692</v>
      </c>
      <c r="B7753" s="138">
        <f ca="1">'Acct Summary 7-8'!H25</f>
        <v>0</v>
      </c>
      <c r="D7753" s="2" t="str">
        <f t="shared" ca="1" si="127"/>
        <v>Error?</v>
      </c>
      <c r="E7753" s="4" t="s">
        <v>1333</v>
      </c>
    </row>
    <row r="7754" spans="1:6" x14ac:dyDescent="0.2">
      <c r="A7754">
        <v>7693</v>
      </c>
      <c r="B7754" s="138">
        <f ca="1">'Acct Summary 7-8'!J25</f>
        <v>0</v>
      </c>
      <c r="D7754" s="2" t="str">
        <f t="shared" ca="1" si="127"/>
        <v>Error?</v>
      </c>
      <c r="E7754" s="4" t="s">
        <v>1333</v>
      </c>
    </row>
    <row r="7755" spans="1:6" x14ac:dyDescent="0.2">
      <c r="A7755">
        <v>7694</v>
      </c>
      <c r="B7755" s="138">
        <f ca="1">'Acct Summary 7-8'!K25</f>
        <v>0</v>
      </c>
      <c r="D7755" s="2" t="str">
        <f t="shared" ca="1"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 ca="1">'Revenues 9-14'!C253</f>
        <v>0</v>
      </c>
      <c r="D7761" s="2" t="str">
        <f t="shared" ca="1" si="127"/>
        <v>Error?</v>
      </c>
      <c r="E7761" s="4" t="s">
        <v>1422</v>
      </c>
    </row>
    <row r="7762" spans="1:5" x14ac:dyDescent="0.2">
      <c r="A7762">
        <v>7701</v>
      </c>
      <c r="B7762" s="138">
        <f ca="1">'Expenditures 15-22'!E6</f>
        <v>0</v>
      </c>
      <c r="D7762" s="2" t="str">
        <f t="shared" ca="1" si="127"/>
        <v>Error?</v>
      </c>
      <c r="E7762" s="4" t="s">
        <v>1432</v>
      </c>
    </row>
    <row r="7763" spans="1:5" x14ac:dyDescent="0.2">
      <c r="A7763">
        <v>7702</v>
      </c>
      <c r="B7763" s="138">
        <f ca="1">'Expenditures 15-22'!K6</f>
        <v>0</v>
      </c>
      <c r="D7763" s="2" t="str">
        <f t="shared" ca="1" si="127"/>
        <v>Error?</v>
      </c>
      <c r="E7763" s="4"/>
    </row>
    <row r="7764" spans="1:5" x14ac:dyDescent="0.2">
      <c r="A7764">
        <v>7703</v>
      </c>
      <c r="B7764" s="138">
        <f ca="1">'Revenues 9-14'!F58</f>
        <v>0</v>
      </c>
      <c r="D7764" s="2" t="str">
        <f t="shared" ca="1" si="127"/>
        <v>Error?</v>
      </c>
      <c r="E7764" s="4" t="s">
        <v>1460</v>
      </c>
    </row>
    <row r="7765" spans="1:5" x14ac:dyDescent="0.2">
      <c r="A7765">
        <v>7704</v>
      </c>
      <c r="B7765" s="138">
        <f ca="1">'Revenues 9-14'!C254</f>
        <v>0</v>
      </c>
      <c r="D7765" s="2" t="str">
        <f t="shared" ca="1" si="127"/>
        <v>Error?</v>
      </c>
      <c r="E7765" s="4" t="s">
        <v>1464</v>
      </c>
    </row>
    <row r="7766" spans="1:5" x14ac:dyDescent="0.2">
      <c r="A7766">
        <v>7705</v>
      </c>
      <c r="B7766" s="138">
        <f ca="1">'Revenues 9-14'!D254</f>
        <v>0</v>
      </c>
      <c r="D7766" s="2" t="str">
        <f t="shared" ca="1" si="127"/>
        <v>Error?</v>
      </c>
      <c r="E7766" s="4" t="s">
        <v>1464</v>
      </c>
    </row>
    <row r="7767" spans="1:5" x14ac:dyDescent="0.2">
      <c r="A7767" s="129">
        <v>7706</v>
      </c>
      <c r="E7767" s="4"/>
    </row>
    <row r="7768" spans="1:5" x14ac:dyDescent="0.2">
      <c r="A7768">
        <v>7707</v>
      </c>
      <c r="B7768" s="138">
        <f ca="1">'Revenues 9-14'!F254</f>
        <v>0</v>
      </c>
      <c r="D7768" s="2" t="str">
        <f t="shared" ca="1" si="127"/>
        <v>Error?</v>
      </c>
      <c r="E7768" s="4" t="s">
        <v>1464</v>
      </c>
    </row>
    <row r="7769" spans="1:5" x14ac:dyDescent="0.2">
      <c r="A7769">
        <v>7708</v>
      </c>
      <c r="B7769" s="138">
        <f ca="1">'Revenues 9-14'!G254</f>
        <v>0</v>
      </c>
      <c r="D7769" s="2" t="str">
        <f t="shared" ca="1"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 ca="1">'Expenditures 15-22'!E133</f>
        <v>0</v>
      </c>
      <c r="D7774" s="2" t="str">
        <f t="shared" ca="1" si="127"/>
        <v>Error?</v>
      </c>
      <c r="E7774" s="4" t="s">
        <v>1852</v>
      </c>
    </row>
    <row r="7775" spans="1:5" x14ac:dyDescent="0.2">
      <c r="A7775">
        <v>7714</v>
      </c>
      <c r="B7775" s="138">
        <f ca="1">'Expenditures 15-22'!H133</f>
        <v>0</v>
      </c>
      <c r="D7775" s="2" t="str">
        <f t="shared" ca="1" si="127"/>
        <v>Error?</v>
      </c>
      <c r="E7775" s="4" t="s">
        <v>1852</v>
      </c>
    </row>
    <row r="7776" spans="1:5" x14ac:dyDescent="0.2">
      <c r="A7776">
        <v>7715</v>
      </c>
      <c r="B7776" s="138">
        <f ca="1">'Expenditures 15-22'!K133</f>
        <v>0</v>
      </c>
      <c r="D7776" s="2" t="str">
        <f t="shared" ca="1" si="127"/>
        <v>Error?</v>
      </c>
      <c r="E7776" s="4" t="s">
        <v>1852</v>
      </c>
    </row>
    <row r="7777" spans="1:5" x14ac:dyDescent="0.2">
      <c r="A7777">
        <v>7716</v>
      </c>
      <c r="B7777" s="138">
        <f ca="1">'Expenditures 15-22'!H157</f>
        <v>0</v>
      </c>
      <c r="D7777" s="2" t="str">
        <f t="shared" ca="1" si="127"/>
        <v>Error?</v>
      </c>
      <c r="E7777" s="4" t="s">
        <v>1852</v>
      </c>
    </row>
    <row r="7778" spans="1:5" x14ac:dyDescent="0.2">
      <c r="A7778">
        <v>7717</v>
      </c>
      <c r="B7778" s="138">
        <f ca="1">'Expenditures 15-22'!K157</f>
        <v>0</v>
      </c>
      <c r="D7778" s="2" t="str">
        <f t="shared" ca="1" si="127"/>
        <v>Error?</v>
      </c>
      <c r="E7778" s="4" t="s">
        <v>1852</v>
      </c>
    </row>
    <row r="7779" spans="1:5" x14ac:dyDescent="0.2">
      <c r="A7779">
        <v>7718</v>
      </c>
      <c r="B7779" s="138">
        <f ca="1">'Expenditures 15-22'!H158</f>
        <v>0</v>
      </c>
      <c r="D7779" s="2" t="str">
        <f t="shared" ca="1" si="127"/>
        <v>Error?</v>
      </c>
      <c r="E7779" s="4" t="s">
        <v>1852</v>
      </c>
    </row>
    <row r="7780" spans="1:5" x14ac:dyDescent="0.2">
      <c r="A7780">
        <v>7719</v>
      </c>
      <c r="B7780" s="138">
        <f ca="1">'Expenditures 15-22'!K158</f>
        <v>0</v>
      </c>
      <c r="D7780" s="2" t="str">
        <f t="shared" ca="1" si="127"/>
        <v>Error?</v>
      </c>
      <c r="E7780" s="4" t="s">
        <v>1852</v>
      </c>
    </row>
    <row r="7781" spans="1:5" x14ac:dyDescent="0.2">
      <c r="A7781">
        <v>7720</v>
      </c>
      <c r="B7781" s="138">
        <f ca="1">'Expenditures 15-22'!H159</f>
        <v>0</v>
      </c>
      <c r="D7781" s="2" t="str">
        <f t="shared" ca="1" si="127"/>
        <v>Error?</v>
      </c>
      <c r="E7781" s="4" t="s">
        <v>1852</v>
      </c>
    </row>
    <row r="7782" spans="1:5" x14ac:dyDescent="0.2">
      <c r="A7782">
        <v>7721</v>
      </c>
      <c r="B7782" s="138">
        <f ca="1">'Expenditures 15-22'!K159</f>
        <v>0</v>
      </c>
      <c r="D7782" s="2" t="str">
        <f t="shared" ca="1" si="127"/>
        <v>Error?</v>
      </c>
      <c r="E7782" s="4" t="s">
        <v>1852</v>
      </c>
    </row>
    <row r="7783" spans="1:5" x14ac:dyDescent="0.2">
      <c r="A7783">
        <v>7722</v>
      </c>
      <c r="B7783" s="138">
        <f ca="1">'Expenditures 15-22'!D282</f>
        <v>0</v>
      </c>
      <c r="D7783" s="2" t="str">
        <f t="shared" ca="1" si="127"/>
        <v>Error?</v>
      </c>
      <c r="E7783" s="4" t="s">
        <v>1852</v>
      </c>
    </row>
    <row r="7784" spans="1:5" x14ac:dyDescent="0.2">
      <c r="A7784">
        <v>7723</v>
      </c>
      <c r="B7784" s="138">
        <f ca="1">'Expenditures 15-22'!K282</f>
        <v>0</v>
      </c>
      <c r="D7784" s="2" t="str">
        <f t="shared" ca="1" si="127"/>
        <v>Error?</v>
      </c>
      <c r="E7784" s="4" t="s">
        <v>1852</v>
      </c>
    </row>
    <row r="7785" spans="1:5" x14ac:dyDescent="0.2">
      <c r="A7785">
        <v>7724</v>
      </c>
      <c r="B7785" s="138">
        <f ca="1">'Expenditures 15-22'!H332</f>
        <v>0</v>
      </c>
      <c r="D7785" s="2" t="str">
        <f t="shared" ca="1" si="127"/>
        <v>Error?</v>
      </c>
      <c r="E7785" s="4" t="s">
        <v>1852</v>
      </c>
    </row>
    <row r="7786" spans="1:5" x14ac:dyDescent="0.2">
      <c r="A7786">
        <v>7725</v>
      </c>
      <c r="B7786" s="138">
        <f ca="1">'Expenditures 15-22'!K332</f>
        <v>0</v>
      </c>
      <c r="D7786" s="2" t="str">
        <f t="shared" ca="1" si="127"/>
        <v>Error?</v>
      </c>
      <c r="E7786" s="4" t="s">
        <v>1852</v>
      </c>
    </row>
    <row r="7787" spans="1:5" x14ac:dyDescent="0.2">
      <c r="A7787">
        <v>7726</v>
      </c>
      <c r="B7787" s="138">
        <f ca="1">'Expenditures 15-22'!H333</f>
        <v>0</v>
      </c>
      <c r="D7787" s="2" t="str">
        <f t="shared" ca="1" si="127"/>
        <v>Error?</v>
      </c>
      <c r="E7787" s="4" t="s">
        <v>1852</v>
      </c>
    </row>
    <row r="7788" spans="1:5" x14ac:dyDescent="0.2">
      <c r="A7788">
        <v>7727</v>
      </c>
      <c r="B7788" s="138">
        <f ca="1">'Expenditures 15-22'!K333</f>
        <v>0</v>
      </c>
      <c r="D7788" s="2" t="str">
        <f t="shared" ca="1" si="127"/>
        <v>Error?</v>
      </c>
      <c r="E7788" s="4" t="s">
        <v>1852</v>
      </c>
    </row>
    <row r="7789" spans="1:5" x14ac:dyDescent="0.2">
      <c r="A7789">
        <v>7728</v>
      </c>
      <c r="B7789" s="138">
        <f ca="1">'Expenditures 15-22'!H334</f>
        <v>0</v>
      </c>
      <c r="D7789" s="2" t="str">
        <f t="shared" ca="1" si="127"/>
        <v>Error?</v>
      </c>
      <c r="E7789" s="4" t="s">
        <v>1852</v>
      </c>
    </row>
    <row r="7790" spans="1:5" x14ac:dyDescent="0.2">
      <c r="A7790">
        <v>7729</v>
      </c>
      <c r="B7790" s="138">
        <f ca="1">'Expenditures 15-22'!K334</f>
        <v>0</v>
      </c>
      <c r="D7790" s="2" t="str">
        <f t="shared" ca="1" si="127"/>
        <v>Error?</v>
      </c>
      <c r="E7790" s="4" t="s">
        <v>1852</v>
      </c>
    </row>
    <row r="7791" spans="1:5" x14ac:dyDescent="0.2">
      <c r="A7791">
        <v>7730</v>
      </c>
      <c r="B7791" s="138">
        <f ca="1">'Expenditures 15-22'!H354</f>
        <v>0</v>
      </c>
      <c r="D7791" s="2" t="str">
        <f t="shared" ca="1" si="127"/>
        <v>Error?</v>
      </c>
      <c r="E7791" s="4" t="s">
        <v>1852</v>
      </c>
    </row>
    <row r="7792" spans="1:5" x14ac:dyDescent="0.2">
      <c r="A7792">
        <v>7731</v>
      </c>
      <c r="B7792" s="138">
        <f ca="1">'Expenditures 15-22'!K354</f>
        <v>0</v>
      </c>
      <c r="D7792" s="2" t="str">
        <f t="shared" ca="1" si="127"/>
        <v>Error?</v>
      </c>
      <c r="E7792" s="4" t="s">
        <v>1852</v>
      </c>
    </row>
    <row r="7793" spans="1:5" x14ac:dyDescent="0.2">
      <c r="A7793">
        <v>7732</v>
      </c>
      <c r="B7793" s="138">
        <f ca="1">'Expenditures 15-22'!H355</f>
        <v>0</v>
      </c>
      <c r="D7793" s="2" t="str">
        <f t="shared" ca="1" si="127"/>
        <v>Error?</v>
      </c>
      <c r="E7793" s="4" t="s">
        <v>1852</v>
      </c>
    </row>
    <row r="7794" spans="1:5" x14ac:dyDescent="0.2">
      <c r="A7794">
        <v>7733</v>
      </c>
      <c r="B7794" s="138">
        <f ca="1">'Expenditures 15-22'!K355</f>
        <v>0</v>
      </c>
      <c r="D7794" s="2" t="str">
        <f t="shared" ca="1" si="127"/>
        <v>Error?</v>
      </c>
      <c r="E7794" s="4" t="s">
        <v>1852</v>
      </c>
    </row>
    <row r="7795" spans="1:5" x14ac:dyDescent="0.2">
      <c r="A7795">
        <v>7734</v>
      </c>
      <c r="B7795" s="138">
        <f ca="1">'Expenditures 15-22'!E138</f>
        <v>0</v>
      </c>
      <c r="D7795" s="2" t="str">
        <f t="shared" ca="1" si="127"/>
        <v>Error?</v>
      </c>
      <c r="E7795" s="4" t="s">
        <v>1852</v>
      </c>
    </row>
    <row r="7796" spans="1:5" x14ac:dyDescent="0.2">
      <c r="A7796">
        <v>7735</v>
      </c>
      <c r="B7796" s="138">
        <f ca="1">'Acct Summary 7-8'!J15</f>
        <v>0</v>
      </c>
      <c r="D7796" s="2" t="str">
        <f t="shared" ca="1" si="127"/>
        <v>Error?</v>
      </c>
      <c r="E7796" s="4" t="s">
        <v>1852</v>
      </c>
    </row>
    <row r="7797" spans="1:5" x14ac:dyDescent="0.2">
      <c r="A7797">
        <v>7736</v>
      </c>
      <c r="B7797" s="138">
        <f>'Contracts Paid in CY 29'!D141</f>
        <v>524142</v>
      </c>
      <c r="D7797" s="2" t="str">
        <f t="shared" si="127"/>
        <v>Error?</v>
      </c>
      <c r="E7797" s="4" t="s">
        <v>1901</v>
      </c>
    </row>
    <row r="7798" spans="1:5" x14ac:dyDescent="0.2">
      <c r="A7798">
        <v>7737</v>
      </c>
      <c r="B7798" s="138">
        <f>'Contracts Paid in CY 29'!F141</f>
        <v>353449</v>
      </c>
      <c r="D7798" s="2" t="str">
        <f t="shared" si="127"/>
        <v>Error?</v>
      </c>
      <c r="E7798" s="4" t="s">
        <v>1901</v>
      </c>
    </row>
    <row r="7799" spans="1:5" x14ac:dyDescent="0.2">
      <c r="A7799">
        <v>7738</v>
      </c>
      <c r="B7799" s="138">
        <f>'Contracts Paid in CY 29'!G141</f>
        <v>170693</v>
      </c>
      <c r="D7799" s="2" t="str">
        <f t="shared" si="127"/>
        <v>Error?</v>
      </c>
      <c r="E7799" s="4" t="s">
        <v>1901</v>
      </c>
    </row>
    <row r="7800" spans="1:5" x14ac:dyDescent="0.2">
      <c r="A7800">
        <v>7739</v>
      </c>
      <c r="D7800" s="2" t="str">
        <f t="shared" si="127"/>
        <v>OK</v>
      </c>
    </row>
    <row r="7801" spans="1:5" x14ac:dyDescent="0.2">
      <c r="A7801">
        <v>7740</v>
      </c>
      <c r="B7801" s="138">
        <f ca="1">'Revenues 9-14'!C120</f>
        <v>0</v>
      </c>
      <c r="D7801" s="2" t="str">
        <f t="shared" ca="1" si="127"/>
        <v>Error?</v>
      </c>
      <c r="E7801" s="4" t="s">
        <v>1938</v>
      </c>
    </row>
    <row r="7802" spans="1:5" x14ac:dyDescent="0.2">
      <c r="A7802">
        <v>7741</v>
      </c>
      <c r="B7802" s="138">
        <f ca="1">'Revenues 9-14'!D120</f>
        <v>0</v>
      </c>
      <c r="D7802" s="2" t="str">
        <f t="shared" ca="1" si="127"/>
        <v>Error?</v>
      </c>
      <c r="E7802" s="4" t="s">
        <v>1938</v>
      </c>
    </row>
    <row r="7803" spans="1:5" x14ac:dyDescent="0.2">
      <c r="A7803">
        <v>7742</v>
      </c>
      <c r="B7803" s="138">
        <f ca="1">'Revenues 9-14'!E120</f>
        <v>0</v>
      </c>
      <c r="D7803" s="2" t="str">
        <f t="shared" ca="1" si="127"/>
        <v>Error?</v>
      </c>
      <c r="E7803" s="4" t="s">
        <v>1938</v>
      </c>
    </row>
    <row r="7804" spans="1:5" x14ac:dyDescent="0.2">
      <c r="A7804">
        <v>7743</v>
      </c>
      <c r="B7804" s="138">
        <f ca="1">'Revenues 9-14'!F120</f>
        <v>0</v>
      </c>
      <c r="D7804" s="2" t="str">
        <f t="shared" ca="1" si="127"/>
        <v>Error?</v>
      </c>
      <c r="E7804" s="4" t="s">
        <v>1938</v>
      </c>
    </row>
    <row r="7805" spans="1:5" x14ac:dyDescent="0.2">
      <c r="A7805">
        <v>7744</v>
      </c>
      <c r="B7805" s="138">
        <f ca="1">'Revenues 9-14'!G120</f>
        <v>0</v>
      </c>
      <c r="D7805" s="2" t="str">
        <f t="shared" ca="1" si="127"/>
        <v>Error?</v>
      </c>
      <c r="E7805" s="4" t="s">
        <v>1938</v>
      </c>
    </row>
    <row r="7806" spans="1:5" x14ac:dyDescent="0.2">
      <c r="A7806">
        <v>7745</v>
      </c>
      <c r="B7806" s="138">
        <f ca="1">'Revenues 9-14'!H120</f>
        <v>0</v>
      </c>
      <c r="D7806" s="2" t="str">
        <f t="shared" ca="1" si="127"/>
        <v>Error?</v>
      </c>
      <c r="E7806" s="4" t="s">
        <v>1938</v>
      </c>
    </row>
    <row r="7807" spans="1:5" x14ac:dyDescent="0.2">
      <c r="A7807">
        <v>7746</v>
      </c>
      <c r="B7807" s="138">
        <f ca="1">'Revenues 9-14'!J120</f>
        <v>0</v>
      </c>
      <c r="D7807" s="2" t="str">
        <f t="shared" ref="D7807:D7816" ca="1" si="128">IF(ISBLANK(B7807),"OK",IF(A7807-B7807=0,"OK","Error?"))</f>
        <v>Error?</v>
      </c>
      <c r="E7807" s="4" t="s">
        <v>1938</v>
      </c>
    </row>
    <row r="7808" spans="1:5" x14ac:dyDescent="0.2">
      <c r="A7808">
        <v>7747</v>
      </c>
      <c r="B7808" s="138">
        <f ca="1">'Revenues 9-14'!K120</f>
        <v>0</v>
      </c>
      <c r="D7808" s="2" t="str">
        <f t="shared" ca="1" si="128"/>
        <v>Error?</v>
      </c>
      <c r="E7808" s="4" t="s">
        <v>1938</v>
      </c>
    </row>
    <row r="7809" spans="1:5" x14ac:dyDescent="0.2">
      <c r="A7809">
        <v>7748</v>
      </c>
      <c r="B7809" s="138">
        <f ca="1">'Revenues 9-14'!C261</f>
        <v>0</v>
      </c>
      <c r="D7809" s="2" t="str">
        <f t="shared" ca="1" si="128"/>
        <v>Error?</v>
      </c>
      <c r="E7809" s="4" t="s">
        <v>1939</v>
      </c>
    </row>
    <row r="7810" spans="1:5" x14ac:dyDescent="0.2">
      <c r="A7810">
        <v>7749</v>
      </c>
      <c r="B7810" s="138">
        <f ca="1">'Revenues 9-14'!D261</f>
        <v>0</v>
      </c>
      <c r="D7810" s="2" t="str">
        <f t="shared" ca="1" si="128"/>
        <v>Error?</v>
      </c>
      <c r="E7810" s="4" t="s">
        <v>1939</v>
      </c>
    </row>
    <row r="7811" spans="1:5" x14ac:dyDescent="0.2">
      <c r="A7811">
        <v>7750</v>
      </c>
      <c r="B7811" s="138">
        <f ca="1">'Revenues 9-14'!F261</f>
        <v>0</v>
      </c>
      <c r="D7811" s="2" t="str">
        <f t="shared" ca="1" si="128"/>
        <v>Error?</v>
      </c>
      <c r="E7811" s="4" t="s">
        <v>1939</v>
      </c>
    </row>
    <row r="7812" spans="1:5" x14ac:dyDescent="0.2">
      <c r="A7812">
        <v>7751</v>
      </c>
      <c r="B7812" s="138">
        <f ca="1">'Revenues 9-14'!G261</f>
        <v>0</v>
      </c>
      <c r="D7812" s="2" t="str">
        <f t="shared" ca="1" si="128"/>
        <v>Error?</v>
      </c>
      <c r="E7812" s="4" t="s">
        <v>1939</v>
      </c>
    </row>
    <row r="7813" spans="1:5" x14ac:dyDescent="0.2">
      <c r="A7813">
        <v>7752</v>
      </c>
      <c r="B7813" s="138">
        <f ca="1">'Revenues 9-14'!C262</f>
        <v>0</v>
      </c>
      <c r="D7813" s="2" t="str">
        <f t="shared" ca="1" si="128"/>
        <v>Error?</v>
      </c>
      <c r="E7813" s="4" t="s">
        <v>1940</v>
      </c>
    </row>
    <row r="7814" spans="1:5" x14ac:dyDescent="0.2">
      <c r="A7814">
        <v>7753</v>
      </c>
      <c r="B7814" s="138">
        <f ca="1">'Revenues 9-14'!D262</f>
        <v>0</v>
      </c>
      <c r="D7814" s="2" t="str">
        <f t="shared" ca="1" si="128"/>
        <v>Error?</v>
      </c>
      <c r="E7814" s="4" t="s">
        <v>1940</v>
      </c>
    </row>
    <row r="7815" spans="1:5" x14ac:dyDescent="0.2">
      <c r="A7815">
        <v>7754</v>
      </c>
      <c r="B7815" s="138">
        <f ca="1">'Revenues 9-14'!F262</f>
        <v>0</v>
      </c>
      <c r="D7815" s="2" t="str">
        <f t="shared" ca="1" si="128"/>
        <v>Error?</v>
      </c>
      <c r="E7815" s="4" t="s">
        <v>1940</v>
      </c>
    </row>
    <row r="7816" spans="1:5" x14ac:dyDescent="0.2">
      <c r="A7816">
        <v>7755</v>
      </c>
      <c r="B7816" s="138">
        <f ca="1">'Revenues 9-14'!G262</f>
        <v>0</v>
      </c>
      <c r="D7816" s="2" t="str">
        <f t="shared" ca="1" si="128"/>
        <v>Error?</v>
      </c>
      <c r="E7816" s="4" t="s">
        <v>1940</v>
      </c>
    </row>
  </sheetData>
  <sheetProtection password="F60E" sheet="1" objects="1" scenarios="1"/>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E7" sqref="E7:F7"/>
    </sheetView>
  </sheetViews>
  <sheetFormatPr defaultColWidth="9.140625" defaultRowHeight="12.75" x14ac:dyDescent="0.2"/>
  <cols>
    <col min="1" max="1" width="7.85546875" style="1150" customWidth="1"/>
    <col min="2" max="2" width="2.28515625" style="1146" customWidth="1"/>
    <col min="3" max="3" width="9.140625" style="1150"/>
    <col min="4" max="4" width="13" style="1150" customWidth="1"/>
    <col min="5" max="5" width="16" style="1150" customWidth="1"/>
    <col min="6" max="6" width="4.140625" style="1150" customWidth="1"/>
    <col min="7" max="7" width="3.7109375" style="1150" customWidth="1"/>
    <col min="8" max="8" width="9.7109375" style="1150" customWidth="1"/>
    <col min="9" max="9" width="10.7109375" style="1150" customWidth="1"/>
    <col min="10" max="10" width="5" style="1150" customWidth="1"/>
    <col min="11" max="11" width="6.5703125" style="1150" customWidth="1"/>
    <col min="12" max="12" width="12.85546875" style="1150" customWidth="1"/>
    <col min="13" max="13" width="2.7109375" style="1150" customWidth="1"/>
    <col min="14" max="14" width="13.140625" style="1150" customWidth="1"/>
    <col min="15" max="15" width="7.140625" style="1150" customWidth="1"/>
    <col min="16" max="16" width="7" style="1150" customWidth="1"/>
    <col min="17" max="17" width="9.7109375" style="1150" customWidth="1"/>
    <col min="18" max="19" width="9.85546875" style="1150" customWidth="1"/>
    <col min="20" max="16384" width="9.140625" style="1150"/>
  </cols>
  <sheetData>
    <row r="1" spans="1:29" x14ac:dyDescent="0.2">
      <c r="A1" s="1145"/>
      <c r="C1" s="1145"/>
      <c r="D1" s="1145"/>
      <c r="E1" s="1145"/>
      <c r="F1" s="1147"/>
      <c r="G1" s="1147"/>
      <c r="H1" s="1145"/>
      <c r="I1" s="1145"/>
      <c r="J1" s="1145"/>
      <c r="K1" s="1145"/>
      <c r="L1" s="1148"/>
      <c r="M1" s="1149"/>
    </row>
    <row r="2" spans="1:29" ht="13.5" customHeight="1" x14ac:dyDescent="0.2">
      <c r="A2" s="2455" t="s">
        <v>1191</v>
      </c>
      <c r="B2" s="2455"/>
      <c r="C2" s="2455"/>
      <c r="D2" s="2455"/>
      <c r="E2" s="2455"/>
      <c r="F2" s="2455"/>
      <c r="G2" s="2455"/>
      <c r="H2" s="2455"/>
      <c r="I2" s="2455"/>
      <c r="J2" s="2455"/>
      <c r="K2" s="2455"/>
      <c r="L2" s="2455"/>
    </row>
    <row r="3" spans="1:29" ht="13.5" customHeight="1" x14ac:dyDescent="0.2">
      <c r="A3" s="2441" t="s">
        <v>1190</v>
      </c>
      <c r="B3" s="2441"/>
      <c r="C3" s="2441"/>
      <c r="D3" s="2441"/>
      <c r="E3" s="2441"/>
      <c r="F3" s="2441"/>
      <c r="G3" s="2441"/>
      <c r="H3" s="2441"/>
      <c r="I3" s="2441"/>
      <c r="J3" s="2441"/>
      <c r="K3" s="2441"/>
      <c r="L3" s="2441"/>
    </row>
    <row r="4" spans="1:29" ht="13.5" customHeight="1" x14ac:dyDescent="0.2">
      <c r="A4" s="2455" t="s">
        <v>1986</v>
      </c>
      <c r="B4" s="2472"/>
      <c r="C4" s="2472"/>
      <c r="D4" s="2472"/>
      <c r="E4" s="2472"/>
      <c r="F4" s="2472"/>
      <c r="G4" s="2472"/>
      <c r="H4" s="2472"/>
      <c r="I4" s="2472"/>
      <c r="J4" s="2472"/>
      <c r="K4" s="2472"/>
      <c r="L4" s="2472"/>
    </row>
    <row r="5" spans="1:29" ht="29.85" customHeight="1" x14ac:dyDescent="0.2">
      <c r="A5" s="1151"/>
      <c r="B5" s="1152"/>
      <c r="C5" s="1151"/>
      <c r="D5" s="1151"/>
      <c r="E5" s="1151"/>
      <c r="F5" s="1151"/>
      <c r="G5" s="1151"/>
      <c r="H5" s="1151"/>
      <c r="I5" s="1151"/>
      <c r="J5" s="1151"/>
      <c r="K5" s="1151"/>
      <c r="L5" s="1151"/>
      <c r="V5" s="1153"/>
      <c r="W5" s="1153"/>
      <c r="X5" s="1153"/>
      <c r="Y5" s="1153"/>
      <c r="Z5" s="1153"/>
      <c r="AA5" s="1153"/>
      <c r="AB5" s="1153"/>
      <c r="AC5" s="1153"/>
    </row>
    <row r="6" spans="1:29" ht="13.5" customHeight="1" x14ac:dyDescent="0.2">
      <c r="A6" s="1154" t="s">
        <v>1189</v>
      </c>
      <c r="B6" s="1155"/>
      <c r="C6" s="1156"/>
      <c r="D6" s="1156"/>
      <c r="E6" s="1157" t="s">
        <v>1188</v>
      </c>
      <c r="F6" s="1158"/>
      <c r="G6" s="1159" t="s">
        <v>1187</v>
      </c>
      <c r="H6" s="1156"/>
      <c r="I6" s="1156"/>
      <c r="J6" s="1156"/>
      <c r="K6" s="1156"/>
      <c r="L6" s="1160"/>
      <c r="V6" s="1153"/>
      <c r="W6" s="1153"/>
      <c r="X6" s="1153"/>
      <c r="Y6" s="1153"/>
      <c r="Z6" s="1153"/>
      <c r="AA6" s="1153"/>
      <c r="AB6" s="1153"/>
      <c r="AC6" s="1153"/>
    </row>
    <row r="7" spans="1:29" ht="16.5" customHeight="1" x14ac:dyDescent="0.2">
      <c r="A7" s="2435" t="str">
        <f>COVER!A17</f>
        <v>Ottawa ESD 141</v>
      </c>
      <c r="B7" s="2436"/>
      <c r="C7" s="2436"/>
      <c r="D7" s="2473"/>
      <c r="E7" s="2474">
        <f>COVER!A13</f>
        <v>35050141002</v>
      </c>
      <c r="F7" s="2475"/>
      <c r="G7" s="2442" t="str">
        <f>COVER!T23</f>
        <v>060-003995</v>
      </c>
      <c r="H7" s="2443"/>
      <c r="I7" s="2443"/>
      <c r="J7" s="2443"/>
      <c r="K7" s="2443"/>
      <c r="L7" s="2444"/>
    </row>
    <row r="8" spans="1:29" ht="13.5" customHeight="1" x14ac:dyDescent="0.2">
      <c r="A8" s="1154" t="s">
        <v>1517</v>
      </c>
      <c r="B8" s="1155"/>
      <c r="C8" s="1156"/>
      <c r="D8" s="1156"/>
      <c r="E8" s="1161"/>
      <c r="F8" s="1160"/>
      <c r="G8" s="1162" t="s">
        <v>1186</v>
      </c>
      <c r="H8" s="1163"/>
      <c r="I8" s="1163"/>
      <c r="J8" s="1163"/>
      <c r="K8" s="1163"/>
      <c r="L8" s="1164"/>
    </row>
    <row r="9" spans="1:29" ht="13.5" customHeight="1" x14ac:dyDescent="0.2">
      <c r="A9" s="2445"/>
      <c r="B9" s="2446"/>
      <c r="C9" s="2446"/>
      <c r="D9" s="2446"/>
      <c r="E9" s="2446"/>
      <c r="F9" s="2447"/>
      <c r="G9" s="2448" t="str">
        <f>COVER!T13</f>
        <v>Roenfeldt &amp; Lockas, P.C.</v>
      </c>
      <c r="H9" s="2449"/>
      <c r="I9" s="2449"/>
      <c r="J9" s="2449"/>
      <c r="K9" s="2449"/>
      <c r="L9" s="2450"/>
    </row>
    <row r="10" spans="1:29" ht="13.5" customHeight="1" x14ac:dyDescent="0.2">
      <c r="A10" s="2432" t="str">
        <f>COVER!A38</f>
        <v>Cleve Threadgill</v>
      </c>
      <c r="B10" s="2433"/>
      <c r="C10" s="2433"/>
      <c r="D10" s="2433"/>
      <c r="E10" s="2433"/>
      <c r="F10" s="2434"/>
      <c r="G10" s="2448" t="str">
        <f>COVER!T17</f>
        <v>1100 Columbus Street</v>
      </c>
      <c r="H10" s="2461"/>
      <c r="I10" s="2461"/>
      <c r="J10" s="2461"/>
      <c r="K10" s="2461"/>
      <c r="L10" s="2462"/>
    </row>
    <row r="11" spans="1:29" ht="13.5" customHeight="1" x14ac:dyDescent="0.2">
      <c r="A11" s="1154" t="s">
        <v>1519</v>
      </c>
      <c r="B11" s="1155"/>
      <c r="C11" s="1156"/>
      <c r="D11" s="1161"/>
      <c r="E11" s="1156"/>
      <c r="F11" s="1160"/>
      <c r="G11" s="2448" t="str">
        <f>COVER!T19</f>
        <v>Ottawa</v>
      </c>
      <c r="H11" s="2461"/>
      <c r="I11" s="2461"/>
      <c r="J11" s="2461"/>
      <c r="K11" s="2461"/>
      <c r="L11" s="2462"/>
    </row>
    <row r="12" spans="1:29" ht="13.5" customHeight="1" x14ac:dyDescent="0.2">
      <c r="A12" s="2466" t="s">
        <v>1518</v>
      </c>
      <c r="B12" s="2467"/>
      <c r="C12" s="2467"/>
      <c r="D12" s="2467"/>
      <c r="E12" s="2467"/>
      <c r="F12" s="2468"/>
      <c r="G12" s="2463"/>
      <c r="H12" s="2464"/>
      <c r="I12" s="2464"/>
      <c r="J12" s="2464"/>
      <c r="K12" s="2464"/>
      <c r="L12" s="2465"/>
    </row>
    <row r="13" spans="1:29" ht="13.5" customHeight="1" x14ac:dyDescent="0.2">
      <c r="A13" s="2448"/>
      <c r="B13" s="2461"/>
      <c r="C13" s="2461"/>
      <c r="D13" s="2461"/>
      <c r="E13" s="2461"/>
      <c r="F13" s="2462"/>
      <c r="G13" s="2456" t="s">
        <v>1520</v>
      </c>
      <c r="H13" s="2457"/>
      <c r="I13" s="2469" t="str">
        <f>COVER!T25</f>
        <v>admin@roenfeldtlockas.com</v>
      </c>
      <c r="J13" s="2470"/>
      <c r="K13" s="2470"/>
      <c r="L13" s="2471"/>
    </row>
    <row r="14" spans="1:29" ht="13.5" customHeight="1" x14ac:dyDescent="0.2">
      <c r="A14" s="2448" t="str">
        <f>COVER!A19</f>
        <v>320 W. Main Street</v>
      </c>
      <c r="B14" s="2461"/>
      <c r="C14" s="2461"/>
      <c r="D14" s="2461"/>
      <c r="E14" s="2461"/>
      <c r="F14" s="2462"/>
      <c r="G14" s="1165" t="s">
        <v>1185</v>
      </c>
      <c r="H14" s="1163"/>
      <c r="I14" s="1163"/>
      <c r="J14" s="1163"/>
      <c r="K14" s="1163"/>
      <c r="L14" s="1164"/>
    </row>
    <row r="15" spans="1:29" ht="13.5" customHeight="1" x14ac:dyDescent="0.2">
      <c r="A15" s="2448" t="str">
        <f>COVER!A21</f>
        <v>Ottawa, Illinois</v>
      </c>
      <c r="B15" s="2461"/>
      <c r="C15" s="2461"/>
      <c r="D15" s="2461"/>
      <c r="E15" s="2461"/>
      <c r="F15" s="2462"/>
      <c r="G15" s="2458" t="str">
        <f>COVER!T15</f>
        <v>Duane K. Lockas, C.P.A.</v>
      </c>
      <c r="H15" s="2459"/>
      <c r="I15" s="2459"/>
      <c r="J15" s="2459"/>
      <c r="K15" s="2459"/>
      <c r="L15" s="2460"/>
    </row>
    <row r="16" spans="1:29" ht="12.2" customHeight="1" x14ac:dyDescent="0.2">
      <c r="A16" s="2438">
        <f>COVER!A25</f>
        <v>61350</v>
      </c>
      <c r="B16" s="2439"/>
      <c r="C16" s="2439"/>
      <c r="D16" s="2439"/>
      <c r="E16" s="2439"/>
      <c r="F16" s="2440"/>
      <c r="G16" s="2451"/>
      <c r="H16" s="2452"/>
      <c r="I16" s="2452"/>
      <c r="J16" s="2452"/>
      <c r="K16" s="2452"/>
      <c r="L16" s="2453"/>
    </row>
    <row r="17" spans="1:13" ht="12.2" customHeight="1" x14ac:dyDescent="0.2">
      <c r="A17" s="2454"/>
      <c r="B17" s="2439"/>
      <c r="C17" s="2439"/>
      <c r="D17" s="2439"/>
      <c r="E17" s="2439"/>
      <c r="F17" s="2440"/>
      <c r="G17" s="1165" t="s">
        <v>1184</v>
      </c>
      <c r="H17" s="1163"/>
      <c r="I17" s="1163"/>
      <c r="J17" s="1163"/>
      <c r="K17" s="1167" t="s">
        <v>1183</v>
      </c>
      <c r="L17" s="1160"/>
      <c r="M17" s="1153"/>
    </row>
    <row r="18" spans="1:13" ht="12.2" customHeight="1" x14ac:dyDescent="0.2">
      <c r="A18" s="2432"/>
      <c r="B18" s="2433"/>
      <c r="C18" s="2433"/>
      <c r="D18" s="2433"/>
      <c r="E18" s="2433"/>
      <c r="F18" s="2434"/>
      <c r="G18" s="2435" t="str">
        <f>COVER!T21</f>
        <v>815-433-0464</v>
      </c>
      <c r="H18" s="2436"/>
      <c r="I18" s="2436"/>
      <c r="J18" s="2436"/>
      <c r="K18" s="2435" t="str">
        <f>COVER!X21</f>
        <v>815-433-6464</v>
      </c>
      <c r="L18" s="2437"/>
    </row>
    <row r="19" spans="1:13" ht="12.2" customHeight="1" x14ac:dyDescent="0.2">
      <c r="A19" s="1168"/>
      <c r="C19" s="1168"/>
      <c r="D19" s="1168"/>
      <c r="E19" s="1168"/>
      <c r="F19" s="1168"/>
      <c r="G19" s="1168"/>
      <c r="H19" s="1168"/>
      <c r="I19" s="1168"/>
      <c r="J19" s="1168"/>
      <c r="K19" s="1168"/>
      <c r="L19" s="1168"/>
    </row>
    <row r="20" spans="1:13" ht="12.2" customHeight="1" x14ac:dyDescent="0.2">
      <c r="A20" s="1168"/>
      <c r="C20" s="1168"/>
      <c r="D20" s="1168"/>
      <c r="E20" s="1168"/>
      <c r="F20" s="1168"/>
      <c r="G20" s="1168"/>
      <c r="H20" s="1168"/>
      <c r="I20" s="1168"/>
      <c r="J20" s="1168" t="s">
        <v>1169</v>
      </c>
      <c r="K20" s="1146" t="s">
        <v>1169</v>
      </c>
    </row>
    <row r="21" spans="1:13" ht="12.2" customHeight="1" x14ac:dyDescent="0.2">
      <c r="A21" s="1169" t="s">
        <v>1698</v>
      </c>
    </row>
    <row r="22" spans="1:13" ht="12.2" customHeight="1" x14ac:dyDescent="0.2">
      <c r="A22" s="1170"/>
    </row>
    <row r="23" spans="1:13" ht="12.2" customHeight="1" x14ac:dyDescent="0.2">
      <c r="A23" s="1170"/>
      <c r="B23" s="1171" t="s">
        <v>2062</v>
      </c>
      <c r="C23" s="1172" t="s">
        <v>1182</v>
      </c>
    </row>
    <row r="24" spans="1:13" ht="10.15" customHeight="1" x14ac:dyDescent="0.2">
      <c r="A24" s="1170"/>
      <c r="C24" s="1172" t="s">
        <v>1181</v>
      </c>
    </row>
    <row r="25" spans="1:13" ht="9" customHeight="1" x14ac:dyDescent="0.2">
      <c r="B25" s="1173" t="s">
        <v>1169</v>
      </c>
      <c r="C25" s="1174"/>
    </row>
    <row r="26" spans="1:13" s="1168" customFormat="1" ht="12.2" customHeight="1" x14ac:dyDescent="0.2">
      <c r="B26" s="1171" t="s">
        <v>2062</v>
      </c>
      <c r="C26" s="1172" t="s">
        <v>1699</v>
      </c>
    </row>
    <row r="27" spans="1:13" s="1168" customFormat="1" ht="9" customHeight="1" x14ac:dyDescent="0.2">
      <c r="B27" s="1173"/>
      <c r="C27" s="1172"/>
    </row>
    <row r="28" spans="1:13" s="1168" customFormat="1" ht="12.2" customHeight="1" x14ac:dyDescent="0.2">
      <c r="A28" s="1175"/>
      <c r="B28" s="1171" t="s">
        <v>2062</v>
      </c>
      <c r="C28" s="1172" t="s">
        <v>1700</v>
      </c>
    </row>
    <row r="29" spans="1:13" s="1168" customFormat="1" ht="9" customHeight="1" x14ac:dyDescent="0.2">
      <c r="A29" s="1175"/>
      <c r="B29" s="1173"/>
      <c r="C29" s="1172"/>
    </row>
    <row r="30" spans="1:13" s="1168" customFormat="1" ht="12.2" customHeight="1" x14ac:dyDescent="0.2">
      <c r="B30" s="1171" t="s">
        <v>2062</v>
      </c>
      <c r="C30" s="1172" t="s">
        <v>1562</v>
      </c>
      <c r="D30" s="1166"/>
      <c r="E30" s="1166"/>
    </row>
    <row r="31" spans="1:13" s="1168" customFormat="1" ht="9" customHeight="1" x14ac:dyDescent="0.2">
      <c r="B31" s="1173"/>
      <c r="C31" s="1172"/>
      <c r="D31" s="1166"/>
      <c r="E31" s="1166"/>
    </row>
    <row r="32" spans="1:13" s="1168" customFormat="1" ht="12.2" customHeight="1" x14ac:dyDescent="0.2">
      <c r="B32" s="1171" t="s">
        <v>2062</v>
      </c>
      <c r="C32" s="1172" t="s">
        <v>1563</v>
      </c>
      <c r="D32" s="1166"/>
      <c r="E32" s="1166"/>
    </row>
    <row r="33" spans="1:8" s="1168" customFormat="1" ht="10.9" customHeight="1" x14ac:dyDescent="0.2">
      <c r="B33" s="1173"/>
      <c r="C33" s="1176" t="s">
        <v>1701</v>
      </c>
      <c r="D33" s="1166"/>
      <c r="E33" s="1166"/>
    </row>
    <row r="34" spans="1:8" ht="9" customHeight="1" x14ac:dyDescent="0.2">
      <c r="B34" s="1173"/>
      <c r="C34" s="1176"/>
    </row>
    <row r="35" spans="1:8" s="1168" customFormat="1" ht="13.5" customHeight="1" x14ac:dyDescent="0.2">
      <c r="B35" s="1171" t="s">
        <v>2062</v>
      </c>
      <c r="C35" s="1172" t="s">
        <v>1564</v>
      </c>
    </row>
    <row r="36" spans="1:8" s="1168" customFormat="1" ht="10.9" customHeight="1" x14ac:dyDescent="0.2">
      <c r="B36" s="1173"/>
      <c r="C36" s="1176" t="s">
        <v>1565</v>
      </c>
    </row>
    <row r="37" spans="1:8" ht="9" customHeight="1" x14ac:dyDescent="0.2">
      <c r="B37" s="1173"/>
      <c r="C37" s="1176"/>
    </row>
    <row r="38" spans="1:8" s="1168" customFormat="1" ht="12.2" customHeight="1" x14ac:dyDescent="0.2">
      <c r="B38" s="1171" t="s">
        <v>2062</v>
      </c>
      <c r="C38" s="1172" t="s">
        <v>1566</v>
      </c>
    </row>
    <row r="39" spans="1:8" ht="9" customHeight="1" x14ac:dyDescent="0.2">
      <c r="B39" s="1173"/>
      <c r="C39" s="1176"/>
    </row>
    <row r="40" spans="1:8" s="1168" customFormat="1" ht="13.5" customHeight="1" x14ac:dyDescent="0.2">
      <c r="B40" s="1171" t="s">
        <v>2062</v>
      </c>
      <c r="C40" s="1172" t="s">
        <v>1567</v>
      </c>
    </row>
    <row r="41" spans="1:8" ht="9" customHeight="1" x14ac:dyDescent="0.2">
      <c r="A41" s="1177"/>
      <c r="B41" s="1173"/>
      <c r="C41" s="1176"/>
    </row>
    <row r="42" spans="1:8" s="1168" customFormat="1" ht="13.5" customHeight="1" x14ac:dyDescent="0.2">
      <c r="B42" s="1171" t="s">
        <v>2062</v>
      </c>
      <c r="C42" s="1172" t="s">
        <v>1833</v>
      </c>
      <c r="D42" s="1166"/>
      <c r="E42" s="1166"/>
      <c r="F42" s="1166"/>
      <c r="G42" s="1166"/>
      <c r="H42" s="1166"/>
    </row>
    <row r="43" spans="1:8" s="1168" customFormat="1" ht="12.95" customHeight="1" x14ac:dyDescent="0.2">
      <c r="B43" s="1173"/>
      <c r="C43" s="1163"/>
      <c r="D43" s="1166"/>
      <c r="E43" s="1166"/>
      <c r="F43" s="1166"/>
      <c r="G43" s="1166"/>
      <c r="H43" s="1166"/>
    </row>
    <row r="44" spans="1:8" s="1168" customFormat="1" ht="13.5" customHeight="1" x14ac:dyDescent="0.2">
      <c r="A44" s="1169" t="s">
        <v>1180</v>
      </c>
      <c r="B44" s="1173"/>
      <c r="D44" s="1166"/>
      <c r="E44" s="1166"/>
      <c r="F44" s="1166"/>
      <c r="G44" s="1166"/>
      <c r="H44" s="1166"/>
    </row>
    <row r="45" spans="1:8" ht="12" customHeight="1" x14ac:dyDescent="0.2">
      <c r="B45" s="1173"/>
      <c r="D45" s="1178"/>
      <c r="E45" s="1178"/>
      <c r="F45" s="1178"/>
      <c r="G45" s="1178"/>
      <c r="H45" s="1178"/>
    </row>
    <row r="46" spans="1:8" s="1168" customFormat="1" ht="12.2" customHeight="1" x14ac:dyDescent="0.2">
      <c r="B46" s="1171"/>
      <c r="C46" s="1179" t="s">
        <v>1568</v>
      </c>
      <c r="D46" s="1166"/>
      <c r="E46" s="1166"/>
      <c r="F46" s="1166"/>
      <c r="G46" s="1166"/>
      <c r="H46" s="1166"/>
    </row>
    <row r="47" spans="1:8" ht="9" customHeight="1" x14ac:dyDescent="0.2"/>
    <row r="48" spans="1:8" ht="12.2" customHeight="1" x14ac:dyDescent="0.2">
      <c r="B48" s="1900"/>
      <c r="C48" s="1180" t="s">
        <v>1569</v>
      </c>
    </row>
    <row r="49" spans="1:12" ht="9" customHeight="1" x14ac:dyDescent="0.2"/>
    <row r="50" spans="1:12" ht="6" customHeight="1" x14ac:dyDescent="0.2">
      <c r="C50" s="1180"/>
    </row>
    <row r="51" spans="1:12" ht="12.2" customHeight="1" x14ac:dyDescent="0.2">
      <c r="A51" s="1178"/>
    </row>
    <row r="52" spans="1:12" ht="12.2" customHeight="1" x14ac:dyDescent="0.2"/>
    <row r="53" spans="1:12" ht="12.2" customHeight="1" x14ac:dyDescent="0.2"/>
    <row r="54" spans="1:12" ht="12.2" customHeight="1" x14ac:dyDescent="0.2"/>
    <row r="55" spans="1:12" ht="12.2" customHeight="1" x14ac:dyDescent="0.2">
      <c r="A55" s="1181"/>
    </row>
    <row r="58" spans="1:12" ht="12.75" customHeight="1" x14ac:dyDescent="0.2"/>
    <row r="59" spans="1:12" ht="36" customHeight="1" x14ac:dyDescent="0.2">
      <c r="L59" s="114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F172" sqref="F172"/>
    </sheetView>
  </sheetViews>
  <sheetFormatPr defaultColWidth="10.7109375" defaultRowHeight="11.25" x14ac:dyDescent="0.2"/>
  <cols>
    <col min="1" max="1" width="1.7109375" style="1185" customWidth="1"/>
    <col min="2" max="2" width="2.7109375" style="1189" customWidth="1"/>
    <col min="3" max="3" width="3.28515625" style="1199" customWidth="1"/>
    <col min="4" max="4" width="97.7109375" style="1189" customWidth="1"/>
    <col min="5" max="5" width="4.140625" style="1189" customWidth="1"/>
    <col min="6" max="16384" width="10.7109375" style="1189"/>
  </cols>
  <sheetData>
    <row r="1" spans="1:11" s="1182" customFormat="1" ht="12.75" x14ac:dyDescent="0.2">
      <c r="A1" s="2476" t="str">
        <f>'Single Audit Cover'!A7</f>
        <v>Ottawa ESD 141</v>
      </c>
      <c r="B1" s="2472"/>
      <c r="C1" s="2472"/>
      <c r="D1" s="2472"/>
    </row>
    <row r="2" spans="1:11" s="1182" customFormat="1" ht="12.75" x14ac:dyDescent="0.2">
      <c r="A2" s="2477">
        <f>'Single Audit Cover'!E7</f>
        <v>35050141002</v>
      </c>
      <c r="B2" s="2478"/>
      <c r="C2" s="2478"/>
      <c r="D2" s="2478"/>
    </row>
    <row r="3" spans="1:11" s="1182" customFormat="1" ht="12.75" x14ac:dyDescent="0.2">
      <c r="A3" s="2476" t="s">
        <v>1513</v>
      </c>
      <c r="B3" s="2472"/>
      <c r="C3" s="2472"/>
      <c r="D3" s="2472"/>
    </row>
    <row r="4" spans="1:11" s="1182" customFormat="1" ht="4.5" customHeight="1" x14ac:dyDescent="0.2">
      <c r="A4" s="1183"/>
      <c r="B4" s="1184"/>
      <c r="C4" s="1184"/>
      <c r="D4" s="1184"/>
    </row>
    <row r="5" spans="1:11" x14ac:dyDescent="0.2">
      <c r="B5" s="1186" t="s">
        <v>1514</v>
      </c>
      <c r="C5" s="1187"/>
      <c r="D5" s="1188"/>
    </row>
    <row r="6" spans="1:11" x14ac:dyDescent="0.2">
      <c r="B6" s="1186" t="s">
        <v>1225</v>
      </c>
      <c r="C6" s="1187"/>
      <c r="D6" s="1188"/>
    </row>
    <row r="7" spans="1:11" x14ac:dyDescent="0.2">
      <c r="B7" s="1186" t="s">
        <v>1515</v>
      </c>
      <c r="C7" s="1187"/>
      <c r="D7" s="1188"/>
    </row>
    <row r="8" spans="1:11" ht="4.5" customHeight="1" x14ac:dyDescent="0.2">
      <c r="B8" s="1186"/>
      <c r="C8" s="1187"/>
      <c r="D8" s="1188"/>
    </row>
    <row r="9" spans="1:11" x14ac:dyDescent="0.2">
      <c r="B9" s="1190" t="s">
        <v>1224</v>
      </c>
      <c r="C9" s="1191"/>
      <c r="D9" s="1188"/>
    </row>
    <row r="10" spans="1:11" ht="4.5" customHeight="1" x14ac:dyDescent="0.2">
      <c r="B10" s="1190"/>
      <c r="C10" s="1191"/>
      <c r="D10" s="1188"/>
    </row>
    <row r="11" spans="1:11" x14ac:dyDescent="0.2">
      <c r="B11" s="1192"/>
      <c r="C11" s="1193">
        <v>1</v>
      </c>
      <c r="D11" s="1194" t="s">
        <v>1702</v>
      </c>
      <c r="E11" s="1195"/>
      <c r="F11" s="1195"/>
      <c r="G11" s="1195"/>
      <c r="H11" s="1195"/>
      <c r="I11" s="1195"/>
      <c r="J11" s="1195"/>
      <c r="K11" s="1195"/>
    </row>
    <row r="12" spans="1:11" ht="3" customHeight="1" x14ac:dyDescent="0.2">
      <c r="B12" s="1196"/>
      <c r="C12" s="1193"/>
      <c r="D12" s="1194"/>
      <c r="E12" s="1195"/>
      <c r="F12" s="1195"/>
      <c r="G12" s="1195"/>
      <c r="H12" s="1195"/>
      <c r="I12" s="1195"/>
      <c r="J12" s="1195"/>
      <c r="K12" s="1195"/>
    </row>
    <row r="13" spans="1:11" x14ac:dyDescent="0.2">
      <c r="B13" s="1192"/>
      <c r="C13" s="1193">
        <f>C11+1</f>
        <v>2</v>
      </c>
      <c r="D13" s="1197" t="s">
        <v>1703</v>
      </c>
      <c r="E13" s="1195"/>
      <c r="F13" s="1195"/>
      <c r="G13" s="1195"/>
      <c r="H13" s="1195"/>
      <c r="I13" s="1195"/>
      <c r="J13" s="1195"/>
      <c r="K13" s="1195"/>
    </row>
    <row r="14" spans="1:11" ht="3" customHeight="1" x14ac:dyDescent="0.2">
      <c r="B14" s="1196"/>
      <c r="C14" s="1193"/>
      <c r="D14" s="1197"/>
      <c r="E14" s="1195"/>
      <c r="F14" s="1195"/>
      <c r="G14" s="1195"/>
      <c r="H14" s="1195"/>
      <c r="I14" s="1195"/>
      <c r="J14" s="1195"/>
      <c r="K14" s="1195"/>
    </row>
    <row r="15" spans="1:11" x14ac:dyDescent="0.2">
      <c r="B15" s="1192"/>
      <c r="C15" s="1193">
        <f>C13+1</f>
        <v>3</v>
      </c>
      <c r="D15" s="1194" t="s">
        <v>1704</v>
      </c>
      <c r="E15" s="1195"/>
      <c r="F15" s="1195"/>
      <c r="G15" s="1195"/>
      <c r="H15" s="1195"/>
      <c r="I15" s="1195"/>
      <c r="J15" s="1195"/>
      <c r="K15" s="1195"/>
    </row>
    <row r="16" spans="1:11" ht="10.5" customHeight="1" x14ac:dyDescent="0.2">
      <c r="B16" s="1198"/>
      <c r="D16" s="1197" t="s">
        <v>1223</v>
      </c>
      <c r="E16" s="1195"/>
      <c r="F16" s="1195"/>
      <c r="G16" s="1195"/>
      <c r="H16" s="1195"/>
      <c r="I16" s="1195"/>
      <c r="J16" s="1195"/>
      <c r="K16" s="1195"/>
    </row>
    <row r="17" spans="1:11" ht="3" customHeight="1" x14ac:dyDescent="0.2">
      <c r="B17" s="1198"/>
      <c r="D17" s="1197"/>
      <c r="E17" s="1195"/>
      <c r="F17" s="1195"/>
      <c r="G17" s="1195"/>
      <c r="H17" s="1195"/>
      <c r="I17" s="1195"/>
      <c r="J17" s="1195"/>
      <c r="K17" s="1195"/>
    </row>
    <row r="18" spans="1:11" x14ac:dyDescent="0.2">
      <c r="B18" s="1192"/>
      <c r="C18" s="1193">
        <f>C15+1</f>
        <v>4</v>
      </c>
      <c r="D18" s="1200" t="s">
        <v>1705</v>
      </c>
      <c r="E18" s="1195"/>
      <c r="F18" s="1195"/>
      <c r="G18" s="1195"/>
      <c r="H18" s="1195"/>
      <c r="I18" s="1195"/>
      <c r="J18" s="1195"/>
      <c r="K18" s="1195"/>
    </row>
    <row r="19" spans="1:11" ht="9.75" customHeight="1" x14ac:dyDescent="0.2">
      <c r="A19" s="1189"/>
      <c r="B19" s="1198"/>
      <c r="D19" s="1197" t="s">
        <v>1222</v>
      </c>
      <c r="E19" s="1195"/>
      <c r="F19" s="1195"/>
      <c r="G19" s="1195"/>
      <c r="H19" s="1195"/>
      <c r="I19" s="1195"/>
      <c r="J19" s="1195"/>
      <c r="K19" s="1195"/>
    </row>
    <row r="20" spans="1:11" ht="3" customHeight="1" x14ac:dyDescent="0.2">
      <c r="A20" s="1189"/>
      <c r="B20" s="1198"/>
      <c r="D20" s="1197"/>
      <c r="E20" s="1195"/>
      <c r="F20" s="1195"/>
      <c r="G20" s="1195"/>
      <c r="H20" s="1195"/>
      <c r="I20" s="1195"/>
      <c r="J20" s="1195"/>
      <c r="K20" s="1195"/>
    </row>
    <row r="21" spans="1:11" x14ac:dyDescent="0.2">
      <c r="A21" s="1189"/>
      <c r="B21" s="1192"/>
      <c r="C21" s="1193">
        <f>C18+1</f>
        <v>5</v>
      </c>
      <c r="D21" s="1197" t="s">
        <v>1221</v>
      </c>
      <c r="E21" s="1195"/>
      <c r="F21" s="1195"/>
      <c r="G21" s="1195"/>
      <c r="H21" s="1195"/>
      <c r="I21" s="1195"/>
      <c r="J21" s="1195"/>
      <c r="K21" s="1195"/>
    </row>
    <row r="22" spans="1:11" ht="10.5" customHeight="1" x14ac:dyDescent="0.2">
      <c r="A22" s="1189"/>
      <c r="B22" s="1198"/>
      <c r="D22" s="1197" t="s">
        <v>1220</v>
      </c>
      <c r="E22" s="1195"/>
      <c r="F22" s="1195"/>
      <c r="G22" s="1195"/>
      <c r="H22" s="1195"/>
      <c r="I22" s="1195"/>
      <c r="J22" s="1195"/>
      <c r="K22" s="1195"/>
    </row>
    <row r="23" spans="1:11" ht="3" customHeight="1" x14ac:dyDescent="0.2">
      <c r="A23" s="1189"/>
      <c r="B23" s="1198"/>
      <c r="D23" s="1197"/>
      <c r="E23" s="1195"/>
      <c r="F23" s="1195"/>
      <c r="G23" s="1195"/>
      <c r="H23" s="1195"/>
      <c r="I23" s="1195"/>
      <c r="J23" s="1195"/>
      <c r="K23" s="1195"/>
    </row>
    <row r="24" spans="1:11" x14ac:dyDescent="0.2">
      <c r="A24" s="1189"/>
      <c r="B24" s="1192"/>
      <c r="C24" s="1193">
        <f>C21+1</f>
        <v>6</v>
      </c>
      <c r="D24" s="1201" t="s">
        <v>1726</v>
      </c>
      <c r="E24" s="1195"/>
      <c r="F24" s="1195"/>
      <c r="G24" s="1195"/>
      <c r="H24" s="1195"/>
      <c r="I24" s="1195"/>
      <c r="J24" s="1195"/>
      <c r="K24" s="1195"/>
    </row>
    <row r="25" spans="1:11" x14ac:dyDescent="0.2">
      <c r="A25" s="1189"/>
      <c r="B25" s="1198"/>
      <c r="D25" s="1197" t="s">
        <v>1706</v>
      </c>
      <c r="E25" s="1195"/>
      <c r="F25" s="1195"/>
      <c r="G25" s="1195"/>
      <c r="H25" s="1195"/>
      <c r="I25" s="1195"/>
      <c r="J25" s="1195"/>
      <c r="K25" s="1195"/>
    </row>
    <row r="26" spans="1:11" x14ac:dyDescent="0.2">
      <c r="A26" s="1189"/>
      <c r="B26" s="1198"/>
      <c r="D26" s="1202" t="s">
        <v>1707</v>
      </c>
      <c r="E26" s="1195"/>
      <c r="F26" s="1195"/>
      <c r="G26" s="1195"/>
      <c r="H26" s="1195"/>
      <c r="I26" s="1195"/>
      <c r="J26" s="1195"/>
      <c r="K26" s="1195"/>
    </row>
    <row r="27" spans="1:11" ht="3" customHeight="1" x14ac:dyDescent="0.2">
      <c r="A27" s="1189"/>
      <c r="B27" s="1198"/>
      <c r="D27" s="1202"/>
      <c r="E27" s="1195"/>
      <c r="F27" s="1195"/>
      <c r="G27" s="1195"/>
      <c r="H27" s="1195"/>
      <c r="I27" s="1195"/>
      <c r="J27" s="1195"/>
      <c r="K27" s="1195"/>
    </row>
    <row r="28" spans="1:11" x14ac:dyDescent="0.2">
      <c r="A28" s="1189"/>
      <c r="B28" s="1192"/>
      <c r="C28" s="1199">
        <f>C24+1</f>
        <v>7</v>
      </c>
      <c r="D28" s="1202" t="s">
        <v>1570</v>
      </c>
      <c r="E28" s="1195"/>
      <c r="F28" s="1195"/>
      <c r="G28" s="1195"/>
      <c r="H28" s="1195"/>
      <c r="I28" s="1195"/>
      <c r="J28" s="1195"/>
      <c r="K28" s="1195"/>
    </row>
    <row r="29" spans="1:11" ht="10.5" customHeight="1" x14ac:dyDescent="0.2">
      <c r="A29" s="1189"/>
      <c r="D29" s="1203" t="s">
        <v>1571</v>
      </c>
    </row>
    <row r="30" spans="1:11" ht="6" customHeight="1" x14ac:dyDescent="0.2">
      <c r="A30" s="1189"/>
      <c r="D30" s="1188"/>
    </row>
    <row r="31" spans="1:11" x14ac:dyDescent="0.2">
      <c r="A31" s="1189"/>
      <c r="B31" s="1190" t="s">
        <v>1219</v>
      </c>
      <c r="C31" s="1191"/>
      <c r="D31" s="1188"/>
    </row>
    <row r="32" spans="1:11" ht="4.5" customHeight="1" x14ac:dyDescent="0.2">
      <c r="A32" s="1189"/>
      <c r="B32" s="1190"/>
      <c r="C32" s="1191"/>
      <c r="D32" s="1188"/>
    </row>
    <row r="33" spans="1:5" x14ac:dyDescent="0.2">
      <c r="A33" s="1189"/>
      <c r="B33" s="1192"/>
      <c r="C33" s="1193">
        <v>8</v>
      </c>
      <c r="D33" s="1204" t="s">
        <v>1218</v>
      </c>
    </row>
    <row r="34" spans="1:5" ht="10.5" customHeight="1" x14ac:dyDescent="0.2">
      <c r="A34" s="1189"/>
      <c r="B34" s="1205"/>
      <c r="C34" s="1193"/>
      <c r="D34" s="1204" t="s">
        <v>1572</v>
      </c>
    </row>
    <row r="35" spans="1:5" ht="3" customHeight="1" x14ac:dyDescent="0.2">
      <c r="A35" s="1189"/>
      <c r="B35" s="1198"/>
      <c r="D35" s="1188"/>
    </row>
    <row r="36" spans="1:5" x14ac:dyDescent="0.2">
      <c r="A36" s="1189"/>
      <c r="B36" s="1192"/>
      <c r="C36" s="1193">
        <f>C33+1</f>
        <v>9</v>
      </c>
      <c r="D36" s="1204" t="s">
        <v>1217</v>
      </c>
    </row>
    <row r="37" spans="1:5" ht="10.5" customHeight="1" x14ac:dyDescent="0.2">
      <c r="A37" s="1189"/>
      <c r="B37" s="1198"/>
      <c r="D37" s="1204" t="s">
        <v>1572</v>
      </c>
    </row>
    <row r="38" spans="1:5" ht="3" customHeight="1" x14ac:dyDescent="0.2">
      <c r="A38" s="1189"/>
      <c r="B38" s="1206"/>
      <c r="C38" s="1207"/>
      <c r="D38" s="1188"/>
    </row>
    <row r="39" spans="1:5" x14ac:dyDescent="0.2">
      <c r="A39" s="1189"/>
      <c r="B39" s="1208"/>
      <c r="C39" s="1199">
        <f>C36+1</f>
        <v>10</v>
      </c>
      <c r="D39" s="1188" t="s">
        <v>1216</v>
      </c>
    </row>
    <row r="40" spans="1:5" ht="10.5" customHeight="1" x14ac:dyDescent="0.2">
      <c r="A40" s="1189"/>
      <c r="B40" s="1209"/>
      <c r="C40" s="1207"/>
      <c r="D40" s="1188" t="s">
        <v>1573</v>
      </c>
    </row>
    <row r="41" spans="1:5" ht="3" customHeight="1" x14ac:dyDescent="0.2">
      <c r="A41" s="1189"/>
      <c r="B41" s="1206"/>
      <c r="C41" s="1207"/>
      <c r="D41" s="1188"/>
    </row>
    <row r="42" spans="1:5" ht="10.5" customHeight="1" x14ac:dyDescent="0.2">
      <c r="A42" s="1189"/>
      <c r="B42" s="1208"/>
      <c r="C42" s="1199">
        <v>11</v>
      </c>
      <c r="D42" s="1210" t="s">
        <v>1574</v>
      </c>
      <c r="E42" s="312"/>
    </row>
    <row r="43" spans="1:5" ht="3" customHeight="1" x14ac:dyDescent="0.2">
      <c r="A43" s="1189"/>
      <c r="B43" s="1206"/>
      <c r="C43" s="1207"/>
      <c r="D43" s="1188"/>
    </row>
    <row r="44" spans="1:5" x14ac:dyDescent="0.2">
      <c r="A44" s="1189"/>
      <c r="B44" s="1192"/>
      <c r="C44" s="1193">
        <f>C42+1</f>
        <v>12</v>
      </c>
      <c r="D44" s="1204" t="s">
        <v>1215</v>
      </c>
    </row>
    <row r="45" spans="1:5" ht="10.5" customHeight="1" x14ac:dyDescent="0.2">
      <c r="A45" s="1189"/>
      <c r="B45" s="1205"/>
      <c r="C45" s="1193"/>
      <c r="D45" s="1204" t="s">
        <v>1214</v>
      </c>
    </row>
    <row r="46" spans="1:5" ht="10.5" customHeight="1" x14ac:dyDescent="0.2">
      <c r="A46" s="1189"/>
      <c r="B46" s="1206"/>
      <c r="C46" s="1207"/>
      <c r="D46" s="1204" t="s">
        <v>1213</v>
      </c>
    </row>
    <row r="47" spans="1:5" ht="3" customHeight="1" x14ac:dyDescent="0.2">
      <c r="A47" s="1189"/>
      <c r="B47" s="1206"/>
      <c r="C47" s="1207"/>
      <c r="D47" s="1204"/>
    </row>
    <row r="48" spans="1:5" x14ac:dyDescent="0.2">
      <c r="A48" s="1189"/>
      <c r="B48" s="1192"/>
      <c r="C48" s="1193">
        <f>C44+1</f>
        <v>13</v>
      </c>
      <c r="D48" s="1204" t="s">
        <v>1575</v>
      </c>
    </row>
    <row r="49" spans="1:4" ht="3" customHeight="1" x14ac:dyDescent="0.2">
      <c r="A49" s="1189"/>
      <c r="B49" s="1196"/>
      <c r="C49" s="1193"/>
      <c r="D49" s="1204"/>
    </row>
    <row r="50" spans="1:4" x14ac:dyDescent="0.2">
      <c r="A50" s="1189"/>
      <c r="B50" s="1192"/>
      <c r="C50" s="1193">
        <f>C48+1</f>
        <v>14</v>
      </c>
      <c r="D50" s="1204" t="s">
        <v>1212</v>
      </c>
    </row>
    <row r="51" spans="1:4" ht="3" customHeight="1" x14ac:dyDescent="0.2">
      <c r="A51" s="1189"/>
      <c r="B51" s="1196"/>
      <c r="C51" s="1193"/>
      <c r="D51" s="1204"/>
    </row>
    <row r="52" spans="1:4" x14ac:dyDescent="0.2">
      <c r="A52" s="1189"/>
      <c r="B52" s="1192"/>
      <c r="C52" s="1193">
        <f>C50+1</f>
        <v>15</v>
      </c>
      <c r="D52" s="1204" t="s">
        <v>1211</v>
      </c>
    </row>
    <row r="53" spans="1:4" ht="3" customHeight="1" x14ac:dyDescent="0.2">
      <c r="A53" s="1189"/>
      <c r="B53" s="1196"/>
      <c r="C53" s="1193"/>
      <c r="D53" s="1204"/>
    </row>
    <row r="54" spans="1:4" x14ac:dyDescent="0.2">
      <c r="A54" s="1189"/>
      <c r="B54" s="1192"/>
      <c r="C54" s="1193">
        <f>C52+1</f>
        <v>16</v>
      </c>
      <c r="D54" s="1204" t="s">
        <v>1210</v>
      </c>
    </row>
    <row r="55" spans="1:4" ht="3" customHeight="1" x14ac:dyDescent="0.2">
      <c r="A55" s="1189"/>
      <c r="B55" s="1196"/>
      <c r="C55" s="1193"/>
      <c r="D55" s="1204"/>
    </row>
    <row r="56" spans="1:4" x14ac:dyDescent="0.2">
      <c r="A56" s="1189"/>
      <c r="B56" s="1192"/>
      <c r="C56" s="1193">
        <f>C54+1</f>
        <v>17</v>
      </c>
      <c r="D56" s="1188" t="s">
        <v>1708</v>
      </c>
    </row>
    <row r="57" spans="1:4" ht="10.5" customHeight="1" x14ac:dyDescent="0.2">
      <c r="A57" s="1189"/>
      <c r="D57" s="1204" t="s">
        <v>1709</v>
      </c>
    </row>
    <row r="58" spans="1:4" x14ac:dyDescent="0.2">
      <c r="A58" s="1189"/>
      <c r="C58" s="1211"/>
      <c r="D58" s="1204" t="s">
        <v>1710</v>
      </c>
    </row>
    <row r="59" spans="1:4" ht="10.5" customHeight="1" x14ac:dyDescent="0.2">
      <c r="A59" s="1189"/>
      <c r="D59" s="1188" t="s">
        <v>1209</v>
      </c>
    </row>
    <row r="60" spans="1:4" ht="10.5" customHeight="1" x14ac:dyDescent="0.2">
      <c r="A60" s="1189"/>
      <c r="D60" s="1212" t="s">
        <v>1599</v>
      </c>
    </row>
    <row r="61" spans="1:4" ht="10.5" customHeight="1" x14ac:dyDescent="0.2">
      <c r="A61" s="1189"/>
      <c r="C61" s="1211"/>
      <c r="D61" s="1204" t="s">
        <v>1711</v>
      </c>
    </row>
    <row r="62" spans="1:4" ht="10.5" customHeight="1" x14ac:dyDescent="0.2">
      <c r="A62" s="1189"/>
      <c r="D62" s="1213" t="s">
        <v>1208</v>
      </c>
    </row>
    <row r="63" spans="1:4" ht="10.5" customHeight="1" x14ac:dyDescent="0.2">
      <c r="A63" s="1189"/>
      <c r="D63" s="1188" t="s">
        <v>1576</v>
      </c>
    </row>
    <row r="64" spans="1:4" ht="10.5" customHeight="1" x14ac:dyDescent="0.2">
      <c r="A64" s="1189"/>
      <c r="D64" s="1212" t="s">
        <v>1598</v>
      </c>
    </row>
    <row r="65" spans="1:4" x14ac:dyDescent="0.2">
      <c r="A65" s="1189"/>
      <c r="C65" s="1211"/>
      <c r="D65" s="1204" t="s">
        <v>1712</v>
      </c>
    </row>
    <row r="66" spans="1:4" ht="10.5" customHeight="1" x14ac:dyDescent="0.2">
      <c r="A66" s="1189"/>
      <c r="D66" s="1214" t="s">
        <v>1207</v>
      </c>
    </row>
    <row r="67" spans="1:4" ht="10.5" customHeight="1" x14ac:dyDescent="0.2">
      <c r="A67" s="1189"/>
      <c r="D67" s="1188" t="s">
        <v>1577</v>
      </c>
    </row>
    <row r="68" spans="1:4" ht="10.5" customHeight="1" x14ac:dyDescent="0.2">
      <c r="A68" s="1189"/>
      <c r="D68" s="1212" t="s">
        <v>1598</v>
      </c>
    </row>
    <row r="69" spans="1:4" ht="10.5" customHeight="1" x14ac:dyDescent="0.2">
      <c r="A69" s="1189"/>
      <c r="C69" s="1211"/>
      <c r="D69" s="1204" t="s">
        <v>1713</v>
      </c>
    </row>
    <row r="70" spans="1:4" x14ac:dyDescent="0.2">
      <c r="A70" s="1189"/>
      <c r="D70" s="1213" t="s">
        <v>1206</v>
      </c>
    </row>
    <row r="71" spans="1:4" ht="3" customHeight="1" x14ac:dyDescent="0.2">
      <c r="A71" s="1189"/>
      <c r="D71" s="1188"/>
    </row>
    <row r="72" spans="1:4" x14ac:dyDescent="0.2">
      <c r="A72" s="1189"/>
      <c r="B72" s="1192"/>
      <c r="C72" s="1193">
        <f>C56+1</f>
        <v>18</v>
      </c>
      <c r="D72" s="1214" t="s">
        <v>1714</v>
      </c>
    </row>
    <row r="73" spans="1:4" ht="3" customHeight="1" x14ac:dyDescent="0.2">
      <c r="A73" s="1189"/>
      <c r="B73" s="1196"/>
      <c r="C73" s="1193"/>
      <c r="D73" s="1214"/>
    </row>
    <row r="74" spans="1:4" x14ac:dyDescent="0.2">
      <c r="A74" s="1189"/>
      <c r="B74" s="1192"/>
      <c r="C74" s="1193">
        <f>C72+1</f>
        <v>19</v>
      </c>
      <c r="D74" s="1204" t="s">
        <v>1205</v>
      </c>
    </row>
    <row r="75" spans="1:4" ht="3" customHeight="1" x14ac:dyDescent="0.2">
      <c r="A75" s="1189"/>
      <c r="B75" s="1196"/>
      <c r="C75" s="1193"/>
      <c r="D75" s="1204"/>
    </row>
    <row r="76" spans="1:4" x14ac:dyDescent="0.2">
      <c r="A76" s="1189"/>
      <c r="B76" s="1192"/>
      <c r="C76" s="1193">
        <f>C74+1</f>
        <v>20</v>
      </c>
      <c r="D76" s="1215" t="s">
        <v>1715</v>
      </c>
    </row>
    <row r="77" spans="1:4" ht="3" customHeight="1" x14ac:dyDescent="0.2">
      <c r="A77" s="1189"/>
      <c r="B77" s="1196"/>
      <c r="C77" s="1193"/>
      <c r="D77" s="1215"/>
    </row>
    <row r="78" spans="1:4" x14ac:dyDescent="0.2">
      <c r="A78" s="1189"/>
      <c r="B78" s="1192"/>
      <c r="C78" s="1193">
        <f>C76+1</f>
        <v>21</v>
      </c>
      <c r="D78" s="1188" t="s">
        <v>1716</v>
      </c>
    </row>
    <row r="79" spans="1:4" ht="3" customHeight="1" x14ac:dyDescent="0.2">
      <c r="A79" s="1189"/>
      <c r="B79" s="1196"/>
      <c r="C79" s="1193"/>
      <c r="D79" s="1188"/>
    </row>
    <row r="80" spans="1:4" x14ac:dyDescent="0.2">
      <c r="A80" s="1189"/>
      <c r="B80" s="1192"/>
      <c r="C80" s="1193">
        <f>C78+1</f>
        <v>22</v>
      </c>
      <c r="D80" s="1216" t="s">
        <v>1717</v>
      </c>
    </row>
    <row r="81" spans="1:4" ht="3" customHeight="1" x14ac:dyDescent="0.2">
      <c r="A81" s="1189"/>
      <c r="B81" s="1196"/>
      <c r="C81" s="1193"/>
      <c r="D81" s="1216"/>
    </row>
    <row r="82" spans="1:4" x14ac:dyDescent="0.2">
      <c r="A82" s="1189"/>
      <c r="B82" s="1192"/>
      <c r="C82" s="1193">
        <f>C80+1</f>
        <v>23</v>
      </c>
      <c r="D82" s="1215" t="s">
        <v>1718</v>
      </c>
    </row>
    <row r="83" spans="1:4" ht="10.5" customHeight="1" x14ac:dyDescent="0.2">
      <c r="A83" s="1189"/>
      <c r="B83" s="1198"/>
      <c r="D83" s="1204" t="s">
        <v>1204</v>
      </c>
    </row>
    <row r="84" spans="1:4" ht="3" customHeight="1" x14ac:dyDescent="0.2">
      <c r="A84" s="1189"/>
      <c r="B84" s="1198"/>
      <c r="D84" s="1204"/>
    </row>
    <row r="85" spans="1:4" x14ac:dyDescent="0.2">
      <c r="A85" s="1189"/>
      <c r="B85" s="1192"/>
      <c r="C85" s="1193">
        <f>C82+1</f>
        <v>24</v>
      </c>
      <c r="D85" s="1204" t="s">
        <v>1203</v>
      </c>
    </row>
    <row r="86" spans="1:4" ht="3" customHeight="1" x14ac:dyDescent="0.2">
      <c r="A86" s="1189"/>
      <c r="B86" s="1196"/>
      <c r="C86" s="1193"/>
      <c r="D86" s="1204"/>
    </row>
    <row r="87" spans="1:4" x14ac:dyDescent="0.2">
      <c r="A87" s="1189"/>
      <c r="B87" s="1192"/>
      <c r="C87" s="1193">
        <f>C85+1</f>
        <v>25</v>
      </c>
      <c r="D87" s="1204" t="s">
        <v>1202</v>
      </c>
    </row>
    <row r="88" spans="1:4" ht="3" customHeight="1" x14ac:dyDescent="0.2">
      <c r="A88" s="1189"/>
      <c r="B88" s="1196"/>
      <c r="C88" s="1193"/>
      <c r="D88" s="1204"/>
    </row>
    <row r="89" spans="1:4" x14ac:dyDescent="0.2">
      <c r="A89" s="1189"/>
      <c r="B89" s="1192"/>
      <c r="C89" s="1193">
        <f>C87+1</f>
        <v>26</v>
      </c>
      <c r="D89" s="1204" t="s">
        <v>1201</v>
      </c>
    </row>
    <row r="90" spans="1:4" ht="3" customHeight="1" x14ac:dyDescent="0.2">
      <c r="A90" s="1189"/>
      <c r="B90" s="1196"/>
      <c r="C90" s="1193"/>
      <c r="D90" s="1204"/>
    </row>
    <row r="91" spans="1:4" x14ac:dyDescent="0.2">
      <c r="A91" s="1189"/>
      <c r="B91" s="1192"/>
      <c r="C91" s="1193">
        <f>C89+1</f>
        <v>27</v>
      </c>
      <c r="D91" s="1204" t="s">
        <v>1719</v>
      </c>
    </row>
    <row r="92" spans="1:4" x14ac:dyDescent="0.2">
      <c r="A92" s="1189"/>
      <c r="B92" s="1217"/>
      <c r="C92" s="1211"/>
      <c r="D92" s="1204" t="s">
        <v>1200</v>
      </c>
    </row>
    <row r="93" spans="1:4" ht="4.5" customHeight="1" x14ac:dyDescent="0.2">
      <c r="A93" s="1189"/>
      <c r="D93" s="1188"/>
    </row>
    <row r="94" spans="1:4" x14ac:dyDescent="0.2">
      <c r="A94" s="1189"/>
      <c r="B94" s="1190" t="s">
        <v>1578</v>
      </c>
      <c r="C94" s="1191"/>
      <c r="D94" s="1188"/>
    </row>
    <row r="95" spans="1:4" ht="4.5" customHeight="1" x14ac:dyDescent="0.2">
      <c r="A95" s="1189"/>
      <c r="B95" s="1190"/>
      <c r="C95" s="1191"/>
      <c r="D95" s="1188"/>
    </row>
    <row r="96" spans="1:4" x14ac:dyDescent="0.2">
      <c r="A96" s="1189"/>
      <c r="B96" s="1192"/>
      <c r="C96" s="1193">
        <f>C91+1</f>
        <v>28</v>
      </c>
      <c r="D96" s="1204" t="s">
        <v>1720</v>
      </c>
    </row>
    <row r="97" spans="1:4" ht="3" customHeight="1" x14ac:dyDescent="0.2">
      <c r="A97" s="1189"/>
      <c r="B97" s="1196"/>
      <c r="C97" s="1193"/>
      <c r="D97" s="1204"/>
    </row>
    <row r="98" spans="1:4" x14ac:dyDescent="0.2">
      <c r="A98" s="1189"/>
      <c r="B98" s="1192"/>
      <c r="C98" s="1193">
        <f>C96+1</f>
        <v>29</v>
      </c>
      <c r="D98" s="1218" t="s">
        <v>1721</v>
      </c>
    </row>
    <row r="99" spans="1:4" ht="3" customHeight="1" x14ac:dyDescent="0.2">
      <c r="A99" s="1189"/>
      <c r="B99" s="1196"/>
      <c r="C99" s="1193"/>
      <c r="D99" s="1218"/>
    </row>
    <row r="100" spans="1:4" x14ac:dyDescent="0.2">
      <c r="A100" s="1189"/>
      <c r="B100" s="1192"/>
      <c r="C100" s="1193">
        <f>C98+1</f>
        <v>30</v>
      </c>
      <c r="D100" s="1204" t="s">
        <v>1722</v>
      </c>
    </row>
    <row r="101" spans="1:4" ht="3" customHeight="1" x14ac:dyDescent="0.2">
      <c r="A101" s="1189"/>
      <c r="B101" s="1196"/>
      <c r="C101" s="1193"/>
      <c r="D101" s="1219"/>
    </row>
    <row r="102" spans="1:4" x14ac:dyDescent="0.2">
      <c r="A102" s="1189"/>
      <c r="B102" s="1192"/>
      <c r="C102" s="1193">
        <f>C100+1</f>
        <v>31</v>
      </c>
      <c r="D102" s="1204" t="s">
        <v>1579</v>
      </c>
    </row>
    <row r="103" spans="1:4" ht="4.5" customHeight="1" x14ac:dyDescent="0.2">
      <c r="A103" s="1189"/>
      <c r="B103" s="312"/>
      <c r="C103" s="1193"/>
      <c r="D103" s="1204"/>
    </row>
    <row r="104" spans="1:4" ht="14.1" customHeight="1" x14ac:dyDescent="0.2">
      <c r="A104" s="1189"/>
      <c r="B104" s="1220" t="s">
        <v>1199</v>
      </c>
    </row>
    <row r="105" spans="1:4" ht="4.5" customHeight="1" x14ac:dyDescent="0.2">
      <c r="A105" s="1189"/>
      <c r="B105" s="1220"/>
    </row>
    <row r="106" spans="1:4" x14ac:dyDescent="0.2">
      <c r="A106" s="1189"/>
      <c r="B106" s="1192"/>
      <c r="C106" s="1193">
        <f>C102+1</f>
        <v>32</v>
      </c>
      <c r="D106" s="1188" t="s">
        <v>1580</v>
      </c>
    </row>
    <row r="107" spans="1:4" ht="3" customHeight="1" x14ac:dyDescent="0.2">
      <c r="A107" s="1189"/>
      <c r="B107" s="1196"/>
      <c r="C107" s="1193"/>
      <c r="D107" s="1188"/>
    </row>
    <row r="108" spans="1:4" x14ac:dyDescent="0.2">
      <c r="A108" s="1189"/>
      <c r="B108" s="1192"/>
      <c r="C108" s="1193">
        <v>33</v>
      </c>
      <c r="D108" s="1188" t="s">
        <v>1723</v>
      </c>
    </row>
    <row r="109" spans="1:4" ht="3" customHeight="1" x14ac:dyDescent="0.2">
      <c r="A109" s="1189"/>
      <c r="B109" s="1196"/>
      <c r="C109" s="1193"/>
      <c r="D109" s="1188"/>
    </row>
    <row r="110" spans="1:4" x14ac:dyDescent="0.2">
      <c r="A110" s="1189"/>
      <c r="B110" s="1192"/>
      <c r="C110" s="1193">
        <f>C108+1</f>
        <v>34</v>
      </c>
      <c r="D110" s="1188" t="s">
        <v>1198</v>
      </c>
    </row>
    <row r="111" spans="1:4" ht="3" customHeight="1" x14ac:dyDescent="0.2">
      <c r="A111" s="1189"/>
      <c r="B111" s="1196"/>
      <c r="C111" s="1193"/>
      <c r="D111" s="1188"/>
    </row>
    <row r="112" spans="1:4" x14ac:dyDescent="0.2">
      <c r="A112" s="1189"/>
      <c r="B112" s="1192"/>
      <c r="C112" s="1193">
        <f>C110+1</f>
        <v>35</v>
      </c>
      <c r="D112" s="1188" t="s">
        <v>1197</v>
      </c>
    </row>
    <row r="113" spans="1:4" ht="11.25" customHeight="1" x14ac:dyDescent="0.2">
      <c r="A113" s="1189"/>
      <c r="B113" s="1221"/>
      <c r="C113" s="1193"/>
      <c r="D113" s="1222" t="s">
        <v>1196</v>
      </c>
    </row>
    <row r="114" spans="1:4" ht="3" customHeight="1" x14ac:dyDescent="0.2">
      <c r="A114" s="1189"/>
      <c r="B114" s="1223"/>
      <c r="C114" s="1193"/>
      <c r="D114" s="1222"/>
    </row>
    <row r="115" spans="1:4" x14ac:dyDescent="0.2">
      <c r="A115" s="1189"/>
      <c r="B115" s="1192"/>
      <c r="C115" s="1193">
        <f>C112+1</f>
        <v>36</v>
      </c>
      <c r="D115" s="1204" t="s">
        <v>1195</v>
      </c>
    </row>
    <row r="116" spans="1:4" ht="3" customHeight="1" x14ac:dyDescent="0.2">
      <c r="A116" s="1189"/>
      <c r="B116" s="1196"/>
      <c r="C116" s="1193"/>
      <c r="D116" s="1204"/>
    </row>
    <row r="117" spans="1:4" x14ac:dyDescent="0.2">
      <c r="A117" s="1189"/>
      <c r="B117" s="1192"/>
      <c r="C117" s="1193">
        <f>C115+1</f>
        <v>37</v>
      </c>
      <c r="D117" s="1204" t="s">
        <v>1724</v>
      </c>
    </row>
    <row r="118" spans="1:4" ht="3" customHeight="1" x14ac:dyDescent="0.2">
      <c r="A118" s="1189"/>
      <c r="B118" s="1196"/>
      <c r="C118" s="1193"/>
      <c r="D118" s="1204"/>
    </row>
    <row r="119" spans="1:4" x14ac:dyDescent="0.2">
      <c r="A119" s="1189"/>
      <c r="B119" s="1192"/>
      <c r="C119" s="1193">
        <f>C117+1</f>
        <v>38</v>
      </c>
      <c r="D119" s="1204" t="s">
        <v>1725</v>
      </c>
    </row>
    <row r="120" spans="1:4" ht="10.5" customHeight="1" x14ac:dyDescent="0.2">
      <c r="A120" s="1189"/>
      <c r="B120" s="1217"/>
      <c r="C120" s="1193"/>
      <c r="D120" s="1204" t="s">
        <v>1194</v>
      </c>
    </row>
    <row r="121" spans="1:4" ht="10.5" customHeight="1" x14ac:dyDescent="0.2">
      <c r="A121" s="1189"/>
      <c r="B121" s="1217"/>
      <c r="C121" s="1193"/>
      <c r="D121" s="1204" t="s">
        <v>1193</v>
      </c>
    </row>
    <row r="122" spans="1:4" ht="3" customHeight="1" x14ac:dyDescent="0.2">
      <c r="A122" s="1189"/>
      <c r="B122" s="1217"/>
      <c r="C122" s="1193"/>
      <c r="D122" s="1204"/>
    </row>
    <row r="123" spans="1:4" x14ac:dyDescent="0.2">
      <c r="A123" s="1189"/>
      <c r="B123" s="1192"/>
      <c r="C123" s="1193">
        <f>C119+1</f>
        <v>39</v>
      </c>
      <c r="D123" s="1214" t="s">
        <v>1834</v>
      </c>
    </row>
    <row r="124" spans="1:4" x14ac:dyDescent="0.2">
      <c r="A124" s="1189"/>
      <c r="B124" s="312"/>
      <c r="C124" s="1193"/>
      <c r="D124" s="1204" t="s">
        <v>1192</v>
      </c>
    </row>
    <row r="125" spans="1:4" ht="4.5" customHeight="1" x14ac:dyDescent="0.2">
      <c r="A125" s="1189"/>
      <c r="D125" s="1188"/>
    </row>
    <row r="126" spans="1:4" x14ac:dyDescent="0.2">
      <c r="A126" s="1189"/>
      <c r="B126" s="1224"/>
      <c r="C126" s="1193"/>
      <c r="D126" s="1204"/>
    </row>
    <row r="127" spans="1:4" x14ac:dyDescent="0.2">
      <c r="A127" s="1189"/>
      <c r="D127" s="120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72" sqref="F172"/>
    </sheetView>
  </sheetViews>
  <sheetFormatPr defaultColWidth="15.7109375" defaultRowHeight="12.75" x14ac:dyDescent="0.2"/>
  <cols>
    <col min="1" max="1" width="31.85546875" style="317" customWidth="1"/>
    <col min="2" max="2" width="29.5703125" style="1225" customWidth="1"/>
    <col min="3" max="3" width="1.28515625" style="1225" customWidth="1"/>
    <col min="4" max="4" width="24.42578125" style="1226" customWidth="1"/>
    <col min="5" max="5" width="5" style="317" customWidth="1"/>
    <col min="6" max="16384" width="15.7109375" style="317"/>
  </cols>
  <sheetData>
    <row r="1" spans="1:5" x14ac:dyDescent="0.2">
      <c r="A1" s="2480" t="str">
        <f>'Single Audit Cover'!A7</f>
        <v>Ottawa ESD 141</v>
      </c>
      <c r="B1" s="2480"/>
      <c r="C1" s="2480"/>
      <c r="D1" s="2480"/>
      <c r="E1" s="2480"/>
    </row>
    <row r="2" spans="1:5" x14ac:dyDescent="0.2">
      <c r="A2" s="2481">
        <f>'Single Audit Cover'!E7</f>
        <v>35050141002</v>
      </c>
      <c r="B2" s="2481"/>
      <c r="C2" s="2481"/>
      <c r="D2" s="2481"/>
      <c r="E2" s="2481"/>
    </row>
    <row r="3" spans="1:5" ht="4.5" customHeight="1" x14ac:dyDescent="0.2"/>
    <row r="4" spans="1:5" x14ac:dyDescent="0.2">
      <c r="A4" s="2480" t="s">
        <v>1245</v>
      </c>
      <c r="B4" s="2480"/>
      <c r="C4" s="2480"/>
      <c r="D4" s="2480"/>
      <c r="E4" s="2480"/>
    </row>
    <row r="5" spans="1:5" x14ac:dyDescent="0.2">
      <c r="A5" s="2483" t="str">
        <f>'Single Audit Cover'!A4</f>
        <v>Year Ending June 30, 2019</v>
      </c>
      <c r="B5" s="2483"/>
      <c r="C5" s="2483"/>
      <c r="D5" s="2483"/>
      <c r="E5" s="2483"/>
    </row>
    <row r="6" spans="1:5" x14ac:dyDescent="0.2">
      <c r="A6" s="2480" t="s">
        <v>1244</v>
      </c>
      <c r="B6" s="2480"/>
      <c r="C6" s="2480"/>
      <c r="D6" s="2480"/>
      <c r="E6" s="2480"/>
    </row>
    <row r="8" spans="1:5" x14ac:dyDescent="0.2">
      <c r="A8" s="1227" t="s">
        <v>1243</v>
      </c>
    </row>
    <row r="10" spans="1:5" x14ac:dyDescent="0.2">
      <c r="A10" s="1228" t="s">
        <v>1242</v>
      </c>
      <c r="B10" s="1229" t="s">
        <v>1241</v>
      </c>
      <c r="C10" s="1229"/>
      <c r="D10" s="1230">
        <f ca="1">SUM('Acct Summary 7-8'!C7:K7)</f>
        <v>1739781</v>
      </c>
    </row>
    <row r="11" spans="1:5" ht="18" customHeight="1" x14ac:dyDescent="0.2">
      <c r="A11" s="1228" t="s">
        <v>1240</v>
      </c>
      <c r="B11" s="1229"/>
      <c r="C11" s="1229"/>
    </row>
    <row r="12" spans="1:5" x14ac:dyDescent="0.2">
      <c r="A12" s="1228" t="s">
        <v>1239</v>
      </c>
      <c r="B12" s="1229" t="s">
        <v>1238</v>
      </c>
      <c r="C12" s="1229"/>
      <c r="D12" s="1231">
        <f ca="1">SUM('Revenues 9-14'!C112:D112,'Revenues 9-14'!F112:G112)</f>
        <v>0</v>
      </c>
    </row>
    <row r="13" spans="1:5" x14ac:dyDescent="0.2">
      <c r="A13" s="1228" t="s">
        <v>1237</v>
      </c>
      <c r="B13" s="1229"/>
      <c r="C13" s="1229"/>
    </row>
    <row r="14" spans="1:5" x14ac:dyDescent="0.2">
      <c r="A14" s="1228" t="s">
        <v>1727</v>
      </c>
      <c r="B14" s="1229"/>
      <c r="C14" s="1229"/>
      <c r="D14" s="1231">
        <f>'ICR Computation 30'!E11</f>
        <v>80614</v>
      </c>
    </row>
    <row r="15" spans="1:5" x14ac:dyDescent="0.2">
      <c r="A15" s="1228"/>
      <c r="B15" s="1229"/>
      <c r="C15" s="1229"/>
    </row>
    <row r="16" spans="1:5" x14ac:dyDescent="0.2">
      <c r="A16" s="1228" t="s">
        <v>1841</v>
      </c>
      <c r="B16" s="1229"/>
      <c r="C16" s="1229"/>
    </row>
    <row r="17" spans="1:4" x14ac:dyDescent="0.2">
      <c r="A17" s="1228" t="s">
        <v>2058</v>
      </c>
      <c r="B17" s="1229" t="s">
        <v>1236</v>
      </c>
      <c r="C17" s="1229"/>
      <c r="D17" s="1231">
        <f ca="1">-SUM('Revenues 9-14'!C264:D264,'Revenues 9-14'!F264:G264)</f>
        <v>-118944</v>
      </c>
    </row>
    <row r="19" spans="1:4" ht="13.5" thickBot="1" x14ac:dyDescent="0.25">
      <c r="A19" s="1232" t="s">
        <v>1235</v>
      </c>
      <c r="D19" s="1233">
        <f ca="1">SUM(D10:D17)</f>
        <v>1701451</v>
      </c>
    </row>
    <row r="20" spans="1:4" ht="21.75" customHeight="1" thickTop="1" x14ac:dyDescent="0.2"/>
    <row r="21" spans="1:4" x14ac:dyDescent="0.2">
      <c r="A21" s="1227" t="s">
        <v>1234</v>
      </c>
    </row>
    <row r="22" spans="1:4" ht="8.25" customHeight="1" x14ac:dyDescent="0.2"/>
    <row r="23" spans="1:4" x14ac:dyDescent="0.2">
      <c r="A23" s="1234" t="s">
        <v>1228</v>
      </c>
    </row>
    <row r="24" spans="1:4" x14ac:dyDescent="0.2">
      <c r="A24" s="2482"/>
      <c r="B24" s="2482"/>
      <c r="D24" s="1235"/>
    </row>
    <row r="25" spans="1:4" x14ac:dyDescent="0.2">
      <c r="A25" s="2479"/>
      <c r="B25" s="2479"/>
      <c r="D25" s="1235"/>
    </row>
    <row r="26" spans="1:4" x14ac:dyDescent="0.2">
      <c r="A26" s="2479"/>
      <c r="B26" s="2479"/>
      <c r="D26" s="1235"/>
    </row>
    <row r="27" spans="1:4" x14ac:dyDescent="0.2">
      <c r="A27" s="2479"/>
      <c r="B27" s="2479"/>
      <c r="D27" s="1235"/>
    </row>
    <row r="28" spans="1:4" x14ac:dyDescent="0.2">
      <c r="A28" s="2479"/>
      <c r="B28" s="2479"/>
      <c r="D28" s="1235"/>
    </row>
    <row r="29" spans="1:4" x14ac:dyDescent="0.2">
      <c r="A29" s="2479"/>
      <c r="B29" s="2479"/>
      <c r="D29" s="1235"/>
    </row>
    <row r="30" spans="1:4" x14ac:dyDescent="0.2">
      <c r="A30" s="2479"/>
      <c r="B30" s="2479"/>
      <c r="D30" s="1235"/>
    </row>
    <row r="32" spans="1:4" x14ac:dyDescent="0.2">
      <c r="A32" s="1227" t="s">
        <v>1233</v>
      </c>
      <c r="D32" s="1230">
        <f ca="1">SUM(D19:D30)</f>
        <v>1701451</v>
      </c>
    </row>
    <row r="33" spans="1:4" x14ac:dyDescent="0.2">
      <c r="D33" s="1236"/>
    </row>
    <row r="34" spans="1:4" x14ac:dyDescent="0.2">
      <c r="A34" s="317" t="s">
        <v>1232</v>
      </c>
    </row>
    <row r="35" spans="1:4" x14ac:dyDescent="0.2">
      <c r="A35" s="317" t="s">
        <v>1231</v>
      </c>
      <c r="B35" s="1225" t="s">
        <v>1230</v>
      </c>
      <c r="D35" s="1237">
        <v>1701451</v>
      </c>
    </row>
    <row r="37" spans="1:4" x14ac:dyDescent="0.2">
      <c r="A37" s="1227" t="s">
        <v>1229</v>
      </c>
    </row>
    <row r="39" spans="1:4" ht="13.35" customHeight="1" x14ac:dyDescent="0.2">
      <c r="A39" s="1234" t="s">
        <v>1228</v>
      </c>
    </row>
    <row r="40" spans="1:4" x14ac:dyDescent="0.2">
      <c r="A40" s="2479"/>
      <c r="B40" s="2479"/>
      <c r="D40" s="1235"/>
    </row>
    <row r="41" spans="1:4" x14ac:dyDescent="0.2">
      <c r="A41" s="2479"/>
      <c r="B41" s="2479"/>
      <c r="D41" s="1238"/>
    </row>
    <row r="42" spans="1:4" x14ac:dyDescent="0.2">
      <c r="A42" s="2479"/>
      <c r="B42" s="2479"/>
      <c r="D42" s="1238"/>
    </row>
    <row r="43" spans="1:4" x14ac:dyDescent="0.2">
      <c r="A43" s="2479"/>
      <c r="B43" s="2479"/>
      <c r="D43" s="1238"/>
    </row>
    <row r="44" spans="1:4" x14ac:dyDescent="0.2">
      <c r="A44" s="2479"/>
      <c r="B44" s="2479"/>
      <c r="D44" s="1238"/>
    </row>
    <row r="45" spans="1:4" x14ac:dyDescent="0.2">
      <c r="A45" s="2479"/>
      <c r="B45" s="2479"/>
      <c r="D45" s="1238"/>
    </row>
    <row r="47" spans="1:4" x14ac:dyDescent="0.2">
      <c r="B47" s="1239" t="s">
        <v>1227</v>
      </c>
      <c r="C47" s="1239"/>
      <c r="D47" s="1240">
        <f>SUM(D35:D45)</f>
        <v>1701451</v>
      </c>
    </row>
    <row r="49" spans="2:4" x14ac:dyDescent="0.2">
      <c r="B49" s="1239" t="s">
        <v>1226</v>
      </c>
      <c r="C49" s="1239"/>
      <c r="D49" s="1240">
        <f ca="1">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4" zoomScaleNormal="100" workbookViewId="0">
      <selection activeCell="I24" sqref="I24"/>
    </sheetView>
  </sheetViews>
  <sheetFormatPr defaultColWidth="33.5703125" defaultRowHeight="12.75" x14ac:dyDescent="0.2"/>
  <cols>
    <col min="1" max="1" width="0.140625" style="317" customWidth="1"/>
    <col min="2" max="2" width="32.85546875" style="317" customWidth="1"/>
    <col min="3" max="3" width="8.7109375" style="1324" customWidth="1"/>
    <col min="4" max="4" width="12.7109375" style="1325" customWidth="1"/>
    <col min="5" max="6" width="11.7109375" style="317" customWidth="1"/>
    <col min="7" max="7" width="11.7109375" style="1225" customWidth="1"/>
    <col min="8" max="8" width="13.7109375" style="1225" bestFit="1" customWidth="1"/>
    <col min="9" max="9" width="11.7109375" style="1225" customWidth="1"/>
    <col min="10" max="10" width="13.7109375" style="1225" customWidth="1"/>
    <col min="11" max="12" width="11.7109375" style="1225" customWidth="1"/>
    <col min="13" max="13" width="11.7109375" style="317" customWidth="1"/>
    <col min="14" max="14" width="2.7109375" style="317" customWidth="1"/>
    <col min="15" max="16384" width="33.5703125" style="317"/>
  </cols>
  <sheetData>
    <row r="1" spans="2:14" ht="11.85" customHeight="1" x14ac:dyDescent="0.2">
      <c r="B1" s="2441" t="str">
        <f>'Single Audit Cover'!A7</f>
        <v>Ottawa ESD 141</v>
      </c>
      <c r="C1" s="2484"/>
      <c r="D1" s="2484"/>
      <c r="E1" s="2484"/>
      <c r="F1" s="2484"/>
      <c r="G1" s="2484"/>
      <c r="H1" s="2484"/>
      <c r="I1" s="2484"/>
      <c r="J1" s="2484"/>
      <c r="K1" s="2484"/>
      <c r="L1" s="2484"/>
      <c r="M1" s="2484"/>
    </row>
    <row r="2" spans="2:14" ht="15" x14ac:dyDescent="0.2">
      <c r="B2" s="2485">
        <f>'Single Audit Cover'!E7</f>
        <v>35050141002</v>
      </c>
      <c r="C2" s="2485"/>
      <c r="D2" s="2485"/>
      <c r="E2" s="2485"/>
      <c r="F2" s="2485"/>
      <c r="G2" s="2485"/>
      <c r="H2" s="2485"/>
      <c r="I2" s="2485"/>
      <c r="J2" s="2485"/>
      <c r="K2" s="2485"/>
      <c r="L2" s="2485"/>
      <c r="M2" s="2485"/>
      <c r="N2" s="1269"/>
    </row>
    <row r="3" spans="2:14" ht="15" x14ac:dyDescent="0.2">
      <c r="B3" s="2486" t="s">
        <v>1219</v>
      </c>
      <c r="C3" s="2486"/>
      <c r="D3" s="2486"/>
      <c r="E3" s="2486"/>
      <c r="F3" s="2486"/>
      <c r="G3" s="2486"/>
      <c r="H3" s="2486"/>
      <c r="I3" s="2486"/>
      <c r="J3" s="2486"/>
      <c r="K3" s="2486"/>
      <c r="L3" s="2486"/>
      <c r="M3" s="2486"/>
      <c r="N3" s="1269"/>
    </row>
    <row r="4" spans="2:14" ht="15" x14ac:dyDescent="0.2">
      <c r="B4" s="2487" t="str">
        <f>'Single Audit Cover'!A4</f>
        <v>Year Ending June 30, 2019</v>
      </c>
      <c r="C4" s="2487"/>
      <c r="D4" s="2487"/>
      <c r="E4" s="2487"/>
      <c r="F4" s="2487"/>
      <c r="G4" s="2487"/>
      <c r="H4" s="2487"/>
      <c r="I4" s="2487"/>
      <c r="J4" s="2487"/>
      <c r="K4" s="2487"/>
      <c r="L4" s="2487"/>
      <c r="M4" s="2487"/>
      <c r="N4" s="1269"/>
    </row>
    <row r="6" spans="2:14" x14ac:dyDescent="0.2">
      <c r="B6" s="1270"/>
      <c r="C6" s="1271"/>
      <c r="D6" s="1272" t="s">
        <v>1265</v>
      </c>
      <c r="E6" s="1273" t="s">
        <v>527</v>
      </c>
      <c r="F6" s="1274"/>
      <c r="G6" s="1275" t="s">
        <v>1731</v>
      </c>
      <c r="H6" s="1273"/>
      <c r="I6" s="1273"/>
      <c r="J6" s="1273"/>
      <c r="K6" s="1276"/>
      <c r="L6" s="1277"/>
      <c r="M6" s="1278"/>
    </row>
    <row r="7" spans="2:14" x14ac:dyDescent="0.2">
      <c r="B7" s="1279" t="s">
        <v>1581</v>
      </c>
      <c r="C7" s="1280"/>
      <c r="D7" s="1281"/>
      <c r="E7" s="1282"/>
      <c r="F7" s="1283"/>
      <c r="G7" s="1282"/>
      <c r="H7" s="1284" t="s">
        <v>1262</v>
      </c>
      <c r="I7" s="1282"/>
      <c r="J7" s="1285" t="s">
        <v>1262</v>
      </c>
      <c r="K7" s="1286"/>
      <c r="L7" s="1287" t="s">
        <v>1260</v>
      </c>
      <c r="M7" s="1288"/>
    </row>
    <row r="8" spans="2:14" x14ac:dyDescent="0.2">
      <c r="B8" s="1635"/>
      <c r="C8" s="1280" t="s">
        <v>1264</v>
      </c>
      <c r="D8" s="1281" t="s">
        <v>1263</v>
      </c>
      <c r="E8" s="1289" t="s">
        <v>1262</v>
      </c>
      <c r="F8" s="1290" t="s">
        <v>1262</v>
      </c>
      <c r="G8" s="1291" t="s">
        <v>1262</v>
      </c>
      <c r="H8" s="1284" t="s">
        <v>1836</v>
      </c>
      <c r="I8" s="1286" t="s">
        <v>1262</v>
      </c>
      <c r="J8" s="1285" t="s">
        <v>1987</v>
      </c>
      <c r="K8" s="1286" t="s">
        <v>1261</v>
      </c>
      <c r="L8" s="1287" t="s">
        <v>1257</v>
      </c>
      <c r="M8" s="1288" t="s">
        <v>30</v>
      </c>
    </row>
    <row r="9" spans="2:14" ht="14.25" x14ac:dyDescent="0.2">
      <c r="B9" s="1292" t="s">
        <v>1259</v>
      </c>
      <c r="C9" s="1280" t="s">
        <v>1732</v>
      </c>
      <c r="D9" s="1281" t="s">
        <v>1733</v>
      </c>
      <c r="E9" s="1289" t="s">
        <v>1836</v>
      </c>
      <c r="F9" s="1290" t="s">
        <v>1987</v>
      </c>
      <c r="G9" s="1291" t="s">
        <v>1836</v>
      </c>
      <c r="H9" s="1284" t="s">
        <v>1582</v>
      </c>
      <c r="I9" s="1286" t="s">
        <v>1987</v>
      </c>
      <c r="J9" s="1285" t="s">
        <v>1582</v>
      </c>
      <c r="K9" s="1286" t="s">
        <v>1258</v>
      </c>
      <c r="L9" s="1293" t="s">
        <v>1583</v>
      </c>
      <c r="M9" s="1288"/>
    </row>
    <row r="10" spans="2:14" ht="11.85" customHeight="1" x14ac:dyDescent="0.2">
      <c r="B10" s="1292" t="s">
        <v>1256</v>
      </c>
      <c r="C10" s="1294" t="s">
        <v>1255</v>
      </c>
      <c r="D10" s="1295" t="s">
        <v>1254</v>
      </c>
      <c r="E10" s="1296" t="s">
        <v>1253</v>
      </c>
      <c r="F10" s="1297" t="s">
        <v>1252</v>
      </c>
      <c r="G10" s="1298" t="s">
        <v>1251</v>
      </c>
      <c r="H10" s="1299" t="s">
        <v>1266</v>
      </c>
      <c r="I10" s="1300" t="s">
        <v>1250</v>
      </c>
      <c r="J10" s="1301" t="s">
        <v>1266</v>
      </c>
      <c r="K10" s="1302" t="s">
        <v>1249</v>
      </c>
      <c r="L10" s="1302" t="s">
        <v>1248</v>
      </c>
      <c r="M10" s="1303" t="s">
        <v>1247</v>
      </c>
    </row>
    <row r="11" spans="2:14" ht="20.100000000000001" customHeight="1" x14ac:dyDescent="0.2">
      <c r="B11" s="1304" t="s">
        <v>3842</v>
      </c>
      <c r="C11" s="1305"/>
      <c r="D11" s="1306"/>
      <c r="E11" s="1307"/>
      <c r="F11" s="1307"/>
      <c r="G11" s="1307"/>
      <c r="H11" s="1307"/>
      <c r="I11" s="1307"/>
      <c r="J11" s="1307"/>
      <c r="K11" s="1307"/>
      <c r="L11" s="1307"/>
      <c r="M11" s="1307"/>
    </row>
    <row r="12" spans="2:14" ht="20.100000000000001" customHeight="1" x14ac:dyDescent="0.2">
      <c r="B12" s="1304"/>
      <c r="C12" s="1308"/>
      <c r="D12" s="1309"/>
      <c r="E12" s="1310"/>
      <c r="F12" s="1310"/>
      <c r="G12" s="1310"/>
      <c r="H12" s="1310"/>
      <c r="I12" s="1310"/>
      <c r="J12" s="1310"/>
      <c r="K12" s="1310"/>
      <c r="L12" s="1307"/>
      <c r="M12" s="1310"/>
    </row>
    <row r="13" spans="2:14" ht="20.100000000000001" customHeight="1" x14ac:dyDescent="0.2">
      <c r="B13" s="1304" t="s">
        <v>3843</v>
      </c>
      <c r="C13" s="1308" t="s">
        <v>3844</v>
      </c>
      <c r="D13" s="1309" t="s">
        <v>3845</v>
      </c>
      <c r="E13" s="1310"/>
      <c r="F13" s="1310">
        <v>35842</v>
      </c>
      <c r="G13" s="1310"/>
      <c r="H13" s="1310"/>
      <c r="I13" s="1310">
        <v>35842</v>
      </c>
      <c r="J13" s="1310"/>
      <c r="K13" s="1310"/>
      <c r="L13" s="1307">
        <f t="shared" ref="L13:L21" si="0">+G13+I13+K13</f>
        <v>35842</v>
      </c>
      <c r="M13" s="1310">
        <v>35842</v>
      </c>
    </row>
    <row r="14" spans="2:14" ht="20.100000000000001" customHeight="1" x14ac:dyDescent="0.2">
      <c r="B14" s="1304"/>
      <c r="C14" s="1308"/>
      <c r="D14" s="1309"/>
      <c r="E14" s="1310"/>
      <c r="F14" s="1310"/>
      <c r="G14" s="1310"/>
      <c r="H14" s="1310"/>
      <c r="I14" s="1310"/>
      <c r="J14" s="1310"/>
      <c r="K14" s="1310"/>
      <c r="L14" s="1307"/>
      <c r="M14" s="1310"/>
    </row>
    <row r="15" spans="2:14" ht="20.100000000000001" customHeight="1" x14ac:dyDescent="0.2">
      <c r="B15" s="1304" t="s">
        <v>3848</v>
      </c>
      <c r="C15" s="1308" t="s">
        <v>3846</v>
      </c>
      <c r="D15" s="1309" t="s">
        <v>3847</v>
      </c>
      <c r="E15" s="1310">
        <v>514874</v>
      </c>
      <c r="F15" s="1310">
        <v>89953</v>
      </c>
      <c r="G15" s="1310">
        <v>516572</v>
      </c>
      <c r="H15" s="1310"/>
      <c r="I15" s="1310">
        <v>88255</v>
      </c>
      <c r="J15" s="1310"/>
      <c r="K15" s="1310"/>
      <c r="L15" s="1307">
        <f t="shared" si="0"/>
        <v>604827</v>
      </c>
      <c r="M15" s="1310">
        <v>623774</v>
      </c>
    </row>
    <row r="16" spans="2:14" ht="20.100000000000001" customHeight="1" x14ac:dyDescent="0.2">
      <c r="B16" s="1304" t="s">
        <v>3848</v>
      </c>
      <c r="C16" s="1308" t="s">
        <v>3846</v>
      </c>
      <c r="D16" s="1309" t="s">
        <v>3849</v>
      </c>
      <c r="E16" s="1310"/>
      <c r="F16" s="1310">
        <v>375576</v>
      </c>
      <c r="G16" s="1310"/>
      <c r="H16" s="1310"/>
      <c r="I16" s="1310">
        <v>424689</v>
      </c>
      <c r="J16" s="1310"/>
      <c r="K16" s="1310">
        <v>65135</v>
      </c>
      <c r="L16" s="1307">
        <f t="shared" si="0"/>
        <v>489824</v>
      </c>
      <c r="M16" s="1310">
        <v>588803</v>
      </c>
    </row>
    <row r="17" spans="2:14" ht="20.100000000000001" customHeight="1" x14ac:dyDescent="0.2">
      <c r="B17" s="1304" t="s">
        <v>3964</v>
      </c>
      <c r="C17" s="1308" t="s">
        <v>3846</v>
      </c>
      <c r="D17" s="1309" t="s">
        <v>3883</v>
      </c>
      <c r="E17" s="1310"/>
      <c r="F17" s="1310">
        <v>61110</v>
      </c>
      <c r="G17" s="1310"/>
      <c r="H17" s="1310"/>
      <c r="I17" s="1310">
        <v>61281</v>
      </c>
      <c r="J17" s="1310"/>
      <c r="K17" s="1310"/>
      <c r="L17" s="1307">
        <v>61281</v>
      </c>
      <c r="M17" s="1310">
        <v>71636</v>
      </c>
    </row>
    <row r="18" spans="2:14" ht="20.100000000000001" customHeight="1" x14ac:dyDescent="0.2">
      <c r="B18" s="1304" t="s">
        <v>3861</v>
      </c>
      <c r="C18" s="1308"/>
      <c r="D18" s="1309"/>
      <c r="E18" s="1310"/>
      <c r="F18" s="1310"/>
      <c r="G18" s="1310"/>
      <c r="H18" s="1310"/>
      <c r="I18" s="1310"/>
      <c r="J18" s="1310"/>
      <c r="K18" s="1310"/>
      <c r="L18" s="1307"/>
      <c r="M18" s="1310"/>
    </row>
    <row r="19" spans="2:14" ht="20.100000000000001" customHeight="1" x14ac:dyDescent="0.2">
      <c r="B19" s="1304" t="s">
        <v>3862</v>
      </c>
      <c r="C19" s="1308" t="s">
        <v>3850</v>
      </c>
      <c r="D19" s="1309" t="s">
        <v>3851</v>
      </c>
      <c r="E19" s="1310"/>
      <c r="F19" s="1310">
        <v>1072</v>
      </c>
      <c r="G19" s="1310"/>
      <c r="H19" s="1310"/>
      <c r="I19" s="1310">
        <v>1072</v>
      </c>
      <c r="J19" s="1310"/>
      <c r="K19" s="1310"/>
      <c r="L19" s="1307">
        <f t="shared" si="0"/>
        <v>1072</v>
      </c>
      <c r="M19" s="1310" t="s">
        <v>3852</v>
      </c>
    </row>
    <row r="20" spans="2:14" ht="20.100000000000001" customHeight="1" x14ac:dyDescent="0.2">
      <c r="B20" s="1304" t="s">
        <v>3863</v>
      </c>
      <c r="C20" s="1308" t="s">
        <v>3853</v>
      </c>
      <c r="D20" s="1309" t="s">
        <v>3854</v>
      </c>
      <c r="E20" s="1310"/>
      <c r="F20" s="1310">
        <v>419194</v>
      </c>
      <c r="G20" s="1310"/>
      <c r="H20" s="1310"/>
      <c r="I20" s="1310">
        <v>419194</v>
      </c>
      <c r="J20" s="1310"/>
      <c r="K20" s="1310"/>
      <c r="L20" s="1307">
        <f t="shared" si="0"/>
        <v>419194</v>
      </c>
      <c r="M20" s="1310">
        <v>419194</v>
      </c>
    </row>
    <row r="21" spans="2:14" ht="20.100000000000001" customHeight="1" x14ac:dyDescent="0.2">
      <c r="B21" s="1304" t="s">
        <v>3963</v>
      </c>
      <c r="C21" s="1308" t="s">
        <v>3853</v>
      </c>
      <c r="D21" s="1309" t="s">
        <v>3855</v>
      </c>
      <c r="E21" s="1310"/>
      <c r="F21" s="1310">
        <v>2589</v>
      </c>
      <c r="G21" s="1310"/>
      <c r="H21" s="1310"/>
      <c r="I21" s="1310">
        <v>2589</v>
      </c>
      <c r="J21" s="1310"/>
      <c r="K21" s="1310"/>
      <c r="L21" s="1307">
        <f t="shared" si="0"/>
        <v>2589</v>
      </c>
      <c r="M21" s="1310" t="s">
        <v>3852</v>
      </c>
    </row>
    <row r="22" spans="2:14" ht="20.100000000000001" customHeight="1" x14ac:dyDescent="0.2">
      <c r="B22" s="1304" t="s">
        <v>3864</v>
      </c>
      <c r="C22" s="1308"/>
      <c r="D22" s="1309"/>
      <c r="E22" s="1310"/>
      <c r="F22" s="1310">
        <v>422855</v>
      </c>
      <c r="G22" s="1310"/>
      <c r="H22" s="1310"/>
      <c r="I22" s="1310">
        <v>422855</v>
      </c>
      <c r="J22" s="1310"/>
      <c r="K22" s="1310"/>
      <c r="L22" s="1307">
        <v>422855</v>
      </c>
      <c r="M22" s="1310"/>
    </row>
    <row r="23" spans="2:14" ht="20.100000000000001" customHeight="1" x14ac:dyDescent="0.2">
      <c r="B23" s="1304"/>
      <c r="C23" s="1308"/>
      <c r="D23" s="1309"/>
      <c r="E23" s="1310"/>
      <c r="F23" s="1310"/>
      <c r="G23" s="1310"/>
      <c r="H23" s="1310"/>
      <c r="I23" s="1310"/>
      <c r="J23" s="1310"/>
      <c r="K23" s="1310"/>
      <c r="L23" s="1307"/>
      <c r="M23" s="1310"/>
    </row>
    <row r="24" spans="2:14" ht="20.100000000000001" customHeight="1" x14ac:dyDescent="0.2">
      <c r="B24" s="1304" t="s">
        <v>3856</v>
      </c>
      <c r="C24" s="1308" t="s">
        <v>3857</v>
      </c>
      <c r="D24" s="1309" t="s">
        <v>3858</v>
      </c>
      <c r="E24" s="1310">
        <v>45760</v>
      </c>
      <c r="F24" s="1310">
        <v>1329</v>
      </c>
      <c r="G24" s="1310"/>
      <c r="H24" s="1310">
        <v>47089</v>
      </c>
      <c r="I24" s="1310"/>
      <c r="J24" s="1310"/>
      <c r="K24" s="1310"/>
      <c r="L24" s="1307">
        <v>47089</v>
      </c>
      <c r="M24" s="1310">
        <v>170683</v>
      </c>
    </row>
    <row r="25" spans="2:14" ht="20.100000000000001" customHeight="1" x14ac:dyDescent="0.2">
      <c r="B25" s="1304" t="s">
        <v>3856</v>
      </c>
      <c r="C25" s="1308" t="s">
        <v>3857</v>
      </c>
      <c r="D25" s="1309" t="s">
        <v>3859</v>
      </c>
      <c r="E25" s="1310"/>
      <c r="F25" s="1310">
        <v>46074</v>
      </c>
      <c r="G25" s="1310"/>
      <c r="H25" s="1310"/>
      <c r="I25" s="1310">
        <v>59010</v>
      </c>
      <c r="J25" s="1310"/>
      <c r="K25" s="1310">
        <v>589</v>
      </c>
      <c r="L25" s="1307">
        <v>59599</v>
      </c>
      <c r="M25" s="1310">
        <v>174994</v>
      </c>
    </row>
    <row r="26" spans="2:14" ht="20.100000000000001" customHeight="1" x14ac:dyDescent="0.2">
      <c r="B26" s="1304"/>
      <c r="C26" s="1308"/>
      <c r="D26" s="1309"/>
      <c r="E26" s="1310"/>
      <c r="F26" s="1310"/>
      <c r="G26" s="1310"/>
      <c r="H26" s="1310"/>
      <c r="I26" s="1310"/>
      <c r="J26" s="1310"/>
      <c r="K26" s="1310"/>
      <c r="L26" s="1307"/>
      <c r="M26" s="1310"/>
    </row>
    <row r="27" spans="2:14" ht="20.100000000000001" customHeight="1" x14ac:dyDescent="0.2">
      <c r="B27" s="1304" t="s">
        <v>3860</v>
      </c>
      <c r="C27" s="1308"/>
      <c r="D27" s="1309"/>
      <c r="E27" s="1310">
        <v>560634</v>
      </c>
      <c r="F27" s="1310">
        <v>1032739</v>
      </c>
      <c r="G27" s="1310">
        <v>516572</v>
      </c>
      <c r="H27" s="1310">
        <v>47089</v>
      </c>
      <c r="I27" s="1310">
        <v>1091932</v>
      </c>
      <c r="J27" s="1310"/>
      <c r="K27" s="1310">
        <v>65724</v>
      </c>
      <c r="L27" s="1307">
        <v>1721317</v>
      </c>
      <c r="M27" s="1310"/>
      <c r="N27" s="1311"/>
    </row>
    <row r="28" spans="2:14" ht="12.75" customHeight="1" x14ac:dyDescent="0.2">
      <c r="B28" s="1312"/>
      <c r="C28" s="1313"/>
      <c r="D28" s="1314"/>
      <c r="E28" s="1315"/>
      <c r="F28" s="1315"/>
      <c r="G28" s="1315"/>
      <c r="H28" s="1315"/>
      <c r="I28" s="1315"/>
      <c r="J28" s="1315"/>
      <c r="K28" s="1315"/>
      <c r="L28" s="1315"/>
      <c r="M28" s="1315"/>
      <c r="N28" s="1311"/>
    </row>
    <row r="29" spans="2:14" x14ac:dyDescent="0.2">
      <c r="B29" s="1224"/>
      <c r="C29" s="1316"/>
      <c r="D29" s="1317"/>
      <c r="E29" s="1224"/>
      <c r="F29" s="1224"/>
      <c r="G29" s="1217"/>
      <c r="H29" s="1217"/>
      <c r="I29" s="1217"/>
      <c r="J29" s="1217"/>
      <c r="K29" s="1217"/>
      <c r="L29" s="1217"/>
      <c r="M29" s="1224"/>
      <c r="N29" s="1311"/>
    </row>
    <row r="30" spans="2:14" ht="13.5" customHeight="1" x14ac:dyDescent="0.2">
      <c r="B30" s="1249" t="s">
        <v>1734</v>
      </c>
      <c r="C30" s="1316"/>
      <c r="D30" s="1317"/>
      <c r="E30" s="1224"/>
      <c r="F30" s="1224"/>
      <c r="G30" s="1217"/>
      <c r="H30" s="1217"/>
      <c r="I30" s="1217"/>
      <c r="J30" s="1217"/>
      <c r="K30" s="1217"/>
      <c r="L30" s="1217"/>
      <c r="M30" s="1224"/>
      <c r="N30" s="1311"/>
    </row>
    <row r="31" spans="2:14" ht="8.25" customHeight="1" x14ac:dyDescent="0.2">
      <c r="B31" s="1249"/>
      <c r="C31" s="1316"/>
      <c r="D31" s="1317"/>
      <c r="E31" s="1224"/>
      <c r="F31" s="1224"/>
      <c r="G31" s="1217"/>
      <c r="H31" s="1217"/>
      <c r="I31" s="1217"/>
      <c r="J31" s="1217"/>
      <c r="K31" s="1217"/>
      <c r="L31" s="1217"/>
      <c r="M31" s="1224"/>
      <c r="N31" s="1311"/>
    </row>
    <row r="32" spans="2:14" x14ac:dyDescent="0.2">
      <c r="B32" s="1318" t="s">
        <v>1837</v>
      </c>
      <c r="C32" s="1319"/>
      <c r="D32" s="1320"/>
      <c r="E32" s="1321"/>
      <c r="F32" s="1321"/>
      <c r="G32" s="1321"/>
      <c r="H32" s="1321"/>
      <c r="I32" s="317"/>
      <c r="J32" s="317"/>
    </row>
    <row r="33" spans="2:13" x14ac:dyDescent="0.2">
      <c r="B33" s="1244"/>
      <c r="C33" s="1322"/>
      <c r="D33" s="1323"/>
      <c r="E33" s="1245"/>
      <c r="F33" s="1245"/>
      <c r="G33" s="317"/>
      <c r="H33" s="317"/>
      <c r="I33" s="317"/>
      <c r="J33" s="317"/>
    </row>
    <row r="34" spans="2:13" ht="13.5" customHeight="1" x14ac:dyDescent="0.2">
      <c r="B34" s="1243" t="s">
        <v>1246</v>
      </c>
      <c r="G34" s="317"/>
      <c r="H34" s="317"/>
      <c r="I34" s="317"/>
      <c r="J34" s="317"/>
    </row>
    <row r="35" spans="2:13" ht="13.5" customHeight="1" x14ac:dyDescent="0.2">
      <c r="B35" s="1326"/>
      <c r="C35" s="1327"/>
      <c r="D35" s="1328"/>
      <c r="E35" s="1264"/>
      <c r="F35" s="1264"/>
      <c r="G35" s="1264"/>
      <c r="H35" s="1264"/>
      <c r="I35" s="1264"/>
      <c r="J35" s="1264"/>
      <c r="K35" s="1329"/>
      <c r="L35" s="1329"/>
      <c r="M35" s="1264"/>
    </row>
    <row r="36" spans="2:13" ht="9.6" customHeight="1" x14ac:dyDescent="0.2">
      <c r="B36" s="1330"/>
      <c r="G36" s="317"/>
      <c r="H36" s="317"/>
      <c r="I36" s="317"/>
      <c r="J36" s="317"/>
    </row>
    <row r="37" spans="2:13" ht="11.25" customHeight="1" x14ac:dyDescent="0.2">
      <c r="B37" s="1331" t="s">
        <v>1735</v>
      </c>
      <c r="C37" s="1332"/>
      <c r="D37" s="1332"/>
      <c r="E37" s="1332"/>
      <c r="F37" s="1332"/>
      <c r="G37" s="1332"/>
      <c r="H37" s="1332"/>
      <c r="I37" s="1333"/>
      <c r="J37" s="1333"/>
      <c r="K37" s="1333"/>
      <c r="L37" s="1333"/>
      <c r="M37" s="1333"/>
    </row>
    <row r="38" spans="2:13" ht="11.25" customHeight="1" x14ac:dyDescent="0.2">
      <c r="B38" s="1334" t="s">
        <v>1584</v>
      </c>
      <c r="C38" s="1333"/>
      <c r="D38" s="1333"/>
      <c r="E38" s="1333"/>
      <c r="F38" s="1333"/>
      <c r="G38" s="1333"/>
      <c r="H38" s="1333"/>
      <c r="I38" s="1333"/>
      <c r="J38" s="1333"/>
      <c r="K38" s="1333"/>
      <c r="L38" s="1333"/>
      <c r="M38" s="1333"/>
    </row>
    <row r="39" spans="2:13" ht="3.95" customHeight="1" x14ac:dyDescent="0.2">
      <c r="B39" s="1334"/>
      <c r="C39" s="1333"/>
      <c r="D39" s="1333"/>
      <c r="E39" s="1333"/>
      <c r="F39" s="1333"/>
      <c r="G39" s="1333"/>
      <c r="H39" s="1333"/>
      <c r="I39" s="1333"/>
      <c r="J39" s="1333"/>
      <c r="K39" s="1333"/>
      <c r="L39" s="1333"/>
      <c r="M39" s="1333"/>
    </row>
    <row r="40" spans="2:13" ht="11.25" customHeight="1" x14ac:dyDescent="0.2">
      <c r="B40" s="1331" t="s">
        <v>1736</v>
      </c>
      <c r="C40" s="1333"/>
      <c r="D40" s="1333"/>
      <c r="E40" s="1333"/>
      <c r="F40" s="1333"/>
      <c r="G40" s="1333"/>
      <c r="H40" s="1333"/>
      <c r="I40" s="1333"/>
      <c r="J40" s="1333"/>
      <c r="K40" s="1333"/>
      <c r="L40" s="1333"/>
      <c r="M40" s="1333"/>
    </row>
    <row r="41" spans="2:13" ht="11.25" customHeight="1" x14ac:dyDescent="0.2">
      <c r="B41" s="1267" t="s">
        <v>1585</v>
      </c>
      <c r="C41" s="1335"/>
      <c r="D41" s="1336"/>
      <c r="E41" s="1267"/>
      <c r="F41" s="1267"/>
      <c r="G41" s="1267"/>
      <c r="H41" s="1267"/>
      <c r="I41" s="1267"/>
      <c r="J41" s="1267"/>
      <c r="K41" s="1337"/>
      <c r="L41" s="1337"/>
      <c r="M41" s="1267"/>
    </row>
    <row r="42" spans="2:13" ht="3.95" customHeight="1" x14ac:dyDescent="0.2">
      <c r="B42" s="1267"/>
      <c r="C42" s="1335"/>
      <c r="D42" s="1336"/>
      <c r="E42" s="1267"/>
      <c r="F42" s="1267"/>
      <c r="G42" s="1267"/>
      <c r="H42" s="1267"/>
      <c r="I42" s="1267"/>
      <c r="J42" s="1267"/>
      <c r="K42" s="1337"/>
      <c r="L42" s="1337"/>
      <c r="M42" s="1267"/>
    </row>
    <row r="43" spans="2:13" ht="11.25" customHeight="1" x14ac:dyDescent="0.2">
      <c r="B43" s="1338" t="s">
        <v>1737</v>
      </c>
      <c r="C43" s="1335"/>
      <c r="D43" s="1336"/>
      <c r="E43" s="1267"/>
      <c r="F43" s="1267"/>
      <c r="G43" s="1267"/>
      <c r="H43" s="1267"/>
      <c r="I43" s="1267"/>
      <c r="J43" s="1267"/>
      <c r="K43" s="1337"/>
      <c r="L43" s="1337"/>
      <c r="M43" s="1267"/>
    </row>
    <row r="44" spans="2:13" ht="3.95" customHeight="1" x14ac:dyDescent="0.2">
      <c r="B44" s="1338"/>
      <c r="C44" s="1335"/>
      <c r="D44" s="1336"/>
      <c r="E44" s="1267"/>
      <c r="F44" s="1267"/>
      <c r="G44" s="1267"/>
      <c r="H44" s="1267"/>
      <c r="I44" s="1267"/>
      <c r="J44" s="1267"/>
      <c r="K44" s="1337"/>
      <c r="L44" s="1337"/>
      <c r="M44" s="1267"/>
    </row>
    <row r="45" spans="2:13" ht="11.25" customHeight="1" x14ac:dyDescent="0.2">
      <c r="B45" s="1339" t="s">
        <v>1738</v>
      </c>
      <c r="C45" s="1335"/>
      <c r="D45" s="1336"/>
      <c r="E45" s="1267"/>
      <c r="F45" s="1267"/>
      <c r="G45" s="1267"/>
      <c r="H45" s="1267"/>
      <c r="I45" s="1267"/>
      <c r="J45" s="1267"/>
      <c r="K45" s="1337"/>
      <c r="L45" s="1337"/>
      <c r="M45" s="1267"/>
    </row>
    <row r="46" spans="2:13" ht="11.25" customHeight="1" x14ac:dyDescent="0.2">
      <c r="B46" s="1267" t="s">
        <v>1586</v>
      </c>
      <c r="G46" s="317"/>
      <c r="H46" s="317"/>
      <c r="I46" s="317"/>
      <c r="J46" s="317"/>
    </row>
    <row r="47" spans="2:13" ht="11.1" customHeight="1" x14ac:dyDescent="0.2">
      <c r="B47" s="1267"/>
      <c r="G47" s="317"/>
      <c r="H47" s="317"/>
      <c r="I47" s="317"/>
      <c r="J47" s="317"/>
    </row>
    <row r="48" spans="2:13" ht="11.1" customHeight="1" x14ac:dyDescent="0.2">
      <c r="B48" s="1267"/>
      <c r="G48" s="317"/>
      <c r="H48" s="317"/>
      <c r="I48" s="317"/>
      <c r="J48" s="317"/>
    </row>
    <row r="49" spans="7:13" ht="13.5" customHeight="1" x14ac:dyDescent="0.2">
      <c r="M49" s="1340"/>
    </row>
    <row r="50" spans="7:13" ht="13.5" customHeight="1" x14ac:dyDescent="0.2">
      <c r="M50" s="1340"/>
    </row>
    <row r="51" spans="7:13" ht="13.5" customHeight="1" x14ac:dyDescent="0.2">
      <c r="M51" s="134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topLeftCell="A10" zoomScaleNormal="100" workbookViewId="0">
      <selection activeCell="I48" sqref="I48"/>
    </sheetView>
  </sheetViews>
  <sheetFormatPr defaultColWidth="33.5703125" defaultRowHeight="12.75" x14ac:dyDescent="0.2"/>
  <cols>
    <col min="1" max="1" width="0.140625" style="317" customWidth="1"/>
    <col min="2" max="2" width="32.85546875" style="317" customWidth="1"/>
    <col min="3" max="3" width="8.7109375" style="1324" customWidth="1"/>
    <col min="4" max="4" width="12.7109375" style="1325" customWidth="1"/>
    <col min="5" max="6" width="11.7109375" style="317" customWidth="1"/>
    <col min="7" max="7" width="11.7109375" style="1225" customWidth="1"/>
    <col min="8" max="8" width="13.7109375" style="1225" bestFit="1" customWidth="1"/>
    <col min="9" max="9" width="11.7109375" style="1225" customWidth="1"/>
    <col min="10" max="10" width="13.7109375" style="1225" customWidth="1"/>
    <col min="11" max="12" width="11.7109375" style="1225" customWidth="1"/>
    <col min="13" max="13" width="11.7109375" style="317" customWidth="1"/>
    <col min="14" max="14" width="2.7109375" style="317" customWidth="1"/>
    <col min="15" max="16384" width="33.5703125" style="317"/>
  </cols>
  <sheetData>
    <row r="1" spans="2:14" ht="11.85" customHeight="1" x14ac:dyDescent="0.2">
      <c r="B1" s="2441" t="str">
        <f>'Single Audit Cover'!A7</f>
        <v>Ottawa ESD 141</v>
      </c>
      <c r="C1" s="2484"/>
      <c r="D1" s="2484"/>
      <c r="E1" s="2484"/>
      <c r="F1" s="2484"/>
      <c r="G1" s="2484"/>
      <c r="H1" s="2484"/>
      <c r="I1" s="2484"/>
      <c r="J1" s="2484"/>
      <c r="K1" s="2484"/>
      <c r="L1" s="2484"/>
      <c r="M1" s="2484"/>
    </row>
    <row r="2" spans="2:14" ht="15" x14ac:dyDescent="0.2">
      <c r="B2" s="2485">
        <f>'Single Audit Cover'!E7</f>
        <v>35050141002</v>
      </c>
      <c r="C2" s="2485"/>
      <c r="D2" s="2485"/>
      <c r="E2" s="2485"/>
      <c r="F2" s="2485"/>
      <c r="G2" s="2485"/>
      <c r="H2" s="2485"/>
      <c r="I2" s="2485"/>
      <c r="J2" s="2485"/>
      <c r="K2" s="2485"/>
      <c r="L2" s="2485"/>
      <c r="M2" s="2485"/>
      <c r="N2" s="1269"/>
    </row>
    <row r="3" spans="2:14" ht="15" x14ac:dyDescent="0.2">
      <c r="B3" s="2486" t="s">
        <v>1219</v>
      </c>
      <c r="C3" s="2486"/>
      <c r="D3" s="2486"/>
      <c r="E3" s="2486"/>
      <c r="F3" s="2486"/>
      <c r="G3" s="2486"/>
      <c r="H3" s="2486"/>
      <c r="I3" s="2486"/>
      <c r="J3" s="2486"/>
      <c r="K3" s="2486"/>
      <c r="L3" s="2486"/>
      <c r="M3" s="2486"/>
      <c r="N3" s="1269"/>
    </row>
    <row r="4" spans="2:14" ht="15" x14ac:dyDescent="0.2">
      <c r="B4" s="2487" t="str">
        <f>'Single Audit Cover'!A4</f>
        <v>Year Ending June 30, 2019</v>
      </c>
      <c r="C4" s="2487"/>
      <c r="D4" s="2487"/>
      <c r="E4" s="2487"/>
      <c r="F4" s="2487"/>
      <c r="G4" s="2487"/>
      <c r="H4" s="2487"/>
      <c r="I4" s="2487"/>
      <c r="J4" s="2487"/>
      <c r="K4" s="2487"/>
      <c r="L4" s="2487"/>
      <c r="M4" s="2487"/>
      <c r="N4" s="1269"/>
    </row>
    <row r="6" spans="2:14" x14ac:dyDescent="0.2">
      <c r="B6" s="1270"/>
      <c r="C6" s="1271"/>
      <c r="D6" s="1272" t="s">
        <v>1265</v>
      </c>
      <c r="E6" s="1273" t="s">
        <v>527</v>
      </c>
      <c r="F6" s="1274"/>
      <c r="G6" s="1275" t="s">
        <v>1731</v>
      </c>
      <c r="H6" s="1273"/>
      <c r="I6" s="1273"/>
      <c r="J6" s="1273"/>
      <c r="K6" s="1276"/>
      <c r="L6" s="1277"/>
      <c r="M6" s="1278"/>
    </row>
    <row r="7" spans="2:14" x14ac:dyDescent="0.2">
      <c r="B7" s="1279" t="s">
        <v>1581</v>
      </c>
      <c r="C7" s="1280"/>
      <c r="D7" s="1281"/>
      <c r="E7" s="1282"/>
      <c r="F7" s="1283"/>
      <c r="G7" s="1282"/>
      <c r="H7" s="1284" t="s">
        <v>1262</v>
      </c>
      <c r="I7" s="1282"/>
      <c r="J7" s="1285" t="s">
        <v>1262</v>
      </c>
      <c r="K7" s="1286"/>
      <c r="L7" s="1287" t="s">
        <v>1260</v>
      </c>
      <c r="M7" s="1288"/>
    </row>
    <row r="8" spans="2:14" x14ac:dyDescent="0.2">
      <c r="B8" s="1635"/>
      <c r="C8" s="1280" t="s">
        <v>1264</v>
      </c>
      <c r="D8" s="1281" t="s">
        <v>1263</v>
      </c>
      <c r="E8" s="1289" t="s">
        <v>1262</v>
      </c>
      <c r="F8" s="1290" t="s">
        <v>1262</v>
      </c>
      <c r="G8" s="1291" t="s">
        <v>1262</v>
      </c>
      <c r="H8" s="1284" t="s">
        <v>1836</v>
      </c>
      <c r="I8" s="1286" t="s">
        <v>1262</v>
      </c>
      <c r="J8" s="1285" t="s">
        <v>1987</v>
      </c>
      <c r="K8" s="1286" t="s">
        <v>1261</v>
      </c>
      <c r="L8" s="1287" t="s">
        <v>1257</v>
      </c>
      <c r="M8" s="1288" t="s">
        <v>30</v>
      </c>
    </row>
    <row r="9" spans="2:14" ht="14.25" x14ac:dyDescent="0.2">
      <c r="B9" s="1292" t="s">
        <v>1259</v>
      </c>
      <c r="C9" s="1280" t="s">
        <v>1732</v>
      </c>
      <c r="D9" s="1281" t="s">
        <v>1733</v>
      </c>
      <c r="E9" s="1289" t="s">
        <v>1836</v>
      </c>
      <c r="F9" s="1290" t="s">
        <v>1987</v>
      </c>
      <c r="G9" s="1291" t="s">
        <v>1836</v>
      </c>
      <c r="H9" s="1284" t="s">
        <v>1582</v>
      </c>
      <c r="I9" s="1286" t="s">
        <v>1987</v>
      </c>
      <c r="J9" s="1285" t="s">
        <v>1582</v>
      </c>
      <c r="K9" s="1286" t="s">
        <v>1258</v>
      </c>
      <c r="L9" s="1293" t="s">
        <v>1583</v>
      </c>
      <c r="M9" s="1288"/>
    </row>
    <row r="10" spans="2:14" ht="11.85" customHeight="1" x14ac:dyDescent="0.2">
      <c r="B10" s="1292" t="s">
        <v>1256</v>
      </c>
      <c r="C10" s="1294" t="s">
        <v>1255</v>
      </c>
      <c r="D10" s="1295" t="s">
        <v>1254</v>
      </c>
      <c r="E10" s="1296" t="s">
        <v>1253</v>
      </c>
      <c r="F10" s="1297" t="s">
        <v>1252</v>
      </c>
      <c r="G10" s="1298" t="s">
        <v>1251</v>
      </c>
      <c r="H10" s="1299" t="s">
        <v>1266</v>
      </c>
      <c r="I10" s="1300" t="s">
        <v>1250</v>
      </c>
      <c r="J10" s="1301" t="s">
        <v>1266</v>
      </c>
      <c r="K10" s="1302" t="s">
        <v>1249</v>
      </c>
      <c r="L10" s="1302" t="s">
        <v>1248</v>
      </c>
      <c r="M10" s="1303" t="s">
        <v>1247</v>
      </c>
    </row>
    <row r="11" spans="2:14" ht="20.100000000000001" customHeight="1" x14ac:dyDescent="0.2">
      <c r="B11" s="1304" t="s">
        <v>3865</v>
      </c>
      <c r="C11" s="1305" t="s">
        <v>3857</v>
      </c>
      <c r="D11" s="1306" t="s">
        <v>3866</v>
      </c>
      <c r="E11" s="1307">
        <v>18603</v>
      </c>
      <c r="F11" s="1307">
        <v>138</v>
      </c>
      <c r="G11" s="1307">
        <v>18741</v>
      </c>
      <c r="H11" s="1307"/>
      <c r="I11" s="1307"/>
      <c r="J11" s="1307"/>
      <c r="K11" s="1307"/>
      <c r="L11" s="1307">
        <v>18741</v>
      </c>
      <c r="M11" s="1307">
        <v>18883</v>
      </c>
    </row>
    <row r="12" spans="2:14" ht="20.100000000000001" customHeight="1" x14ac:dyDescent="0.2">
      <c r="B12" s="1304" t="s">
        <v>3865</v>
      </c>
      <c r="C12" s="1308" t="s">
        <v>3857</v>
      </c>
      <c r="D12" s="1309" t="s">
        <v>3867</v>
      </c>
      <c r="E12" s="1310"/>
      <c r="F12" s="1310">
        <v>21247</v>
      </c>
      <c r="G12" s="1310"/>
      <c r="H12" s="1310"/>
      <c r="I12" s="1310">
        <v>44295</v>
      </c>
      <c r="J12" s="1310"/>
      <c r="K12" s="1310"/>
      <c r="L12" s="1307">
        <v>44295</v>
      </c>
      <c r="M12" s="1310">
        <v>44788</v>
      </c>
    </row>
    <row r="13" spans="2:14" ht="20.100000000000001" customHeight="1" x14ac:dyDescent="0.2">
      <c r="B13" s="1304"/>
      <c r="C13" s="1308"/>
      <c r="D13" s="1309"/>
      <c r="E13" s="1310"/>
      <c r="F13" s="1310"/>
      <c r="G13" s="1310"/>
      <c r="H13" s="1310"/>
      <c r="I13" s="1310"/>
      <c r="J13" s="1310"/>
      <c r="K13" s="1310"/>
      <c r="L13" s="1307">
        <v>0</v>
      </c>
      <c r="M13" s="1310"/>
    </row>
    <row r="14" spans="2:14" ht="20.100000000000001" customHeight="1" x14ac:dyDescent="0.2">
      <c r="B14" s="1304" t="s">
        <v>3868</v>
      </c>
      <c r="C14" s="1308"/>
      <c r="D14" s="1309"/>
      <c r="E14" s="1310"/>
      <c r="F14" s="1310"/>
      <c r="G14" s="1310"/>
      <c r="H14" s="1310"/>
      <c r="I14" s="1310"/>
      <c r="J14" s="1310"/>
      <c r="K14" s="1310"/>
      <c r="L14" s="1307">
        <v>0</v>
      </c>
      <c r="M14" s="1310"/>
    </row>
    <row r="15" spans="2:14" ht="20.100000000000001" customHeight="1" x14ac:dyDescent="0.2">
      <c r="B15" s="1304" t="s">
        <v>1058</v>
      </c>
      <c r="C15" s="1308">
        <v>10.555</v>
      </c>
      <c r="D15" s="1309" t="s">
        <v>3869</v>
      </c>
      <c r="E15" s="1310">
        <v>341292</v>
      </c>
      <c r="F15" s="1310">
        <v>52881</v>
      </c>
      <c r="G15" s="1310">
        <v>341292</v>
      </c>
      <c r="H15" s="1310"/>
      <c r="I15" s="1310">
        <v>52881</v>
      </c>
      <c r="J15" s="1310"/>
      <c r="K15" s="1310"/>
      <c r="L15" s="1307">
        <f t="shared" ref="L15:L22" si="0">+G15+I15+K15</f>
        <v>394173</v>
      </c>
      <c r="M15" s="1310" t="s">
        <v>3852</v>
      </c>
    </row>
    <row r="16" spans="2:14" ht="20.100000000000001" customHeight="1" x14ac:dyDescent="0.2">
      <c r="B16" s="1304" t="s">
        <v>1058</v>
      </c>
      <c r="C16" s="1308">
        <v>10.555</v>
      </c>
      <c r="D16" s="1309" t="s">
        <v>3869</v>
      </c>
      <c r="E16" s="1310"/>
      <c r="F16" s="1310">
        <v>342833</v>
      </c>
      <c r="G16" s="1310"/>
      <c r="H16" s="1310"/>
      <c r="I16" s="1310">
        <v>342833</v>
      </c>
      <c r="J16" s="1310"/>
      <c r="K16" s="1310"/>
      <c r="L16" s="1307">
        <f t="shared" si="0"/>
        <v>342833</v>
      </c>
      <c r="M16" s="1310" t="s">
        <v>3852</v>
      </c>
    </row>
    <row r="17" spans="2:14" ht="20.100000000000001" customHeight="1" x14ac:dyDescent="0.2">
      <c r="B17" s="1304" t="s">
        <v>1059</v>
      </c>
      <c r="C17" s="1308">
        <v>10.553000000000001</v>
      </c>
      <c r="D17" s="1309" t="s">
        <v>3870</v>
      </c>
      <c r="E17" s="1310">
        <v>55726</v>
      </c>
      <c r="F17" s="1310">
        <v>13843</v>
      </c>
      <c r="G17" s="1310">
        <v>55726</v>
      </c>
      <c r="H17" s="1310"/>
      <c r="I17" s="1310">
        <v>13843</v>
      </c>
      <c r="J17" s="1310"/>
      <c r="K17" s="1310"/>
      <c r="L17" s="1307">
        <v>69569</v>
      </c>
      <c r="M17" s="1310" t="s">
        <v>3852</v>
      </c>
    </row>
    <row r="18" spans="2:14" ht="20.100000000000001" customHeight="1" x14ac:dyDescent="0.2">
      <c r="B18" s="1304" t="s">
        <v>1059</v>
      </c>
      <c r="C18" s="1308">
        <v>10.553000000000001</v>
      </c>
      <c r="D18" s="1309" t="s">
        <v>3871</v>
      </c>
      <c r="E18" s="1310"/>
      <c r="F18" s="1310">
        <v>80905</v>
      </c>
      <c r="G18" s="1310"/>
      <c r="H18" s="1310"/>
      <c r="I18" s="1310">
        <v>80905</v>
      </c>
      <c r="J18" s="1310"/>
      <c r="K18" s="1310"/>
      <c r="L18" s="1307">
        <v>80905</v>
      </c>
      <c r="M18" s="1310" t="s">
        <v>3874</v>
      </c>
    </row>
    <row r="19" spans="2:14" ht="20.100000000000001" customHeight="1" x14ac:dyDescent="0.2">
      <c r="B19" s="1304" t="s">
        <v>3872</v>
      </c>
      <c r="C19" s="1308">
        <v>10.555</v>
      </c>
      <c r="D19" s="1309" t="s">
        <v>3873</v>
      </c>
      <c r="E19" s="1310"/>
      <c r="F19" s="1310">
        <v>52830</v>
      </c>
      <c r="G19" s="1310"/>
      <c r="H19" s="1310"/>
      <c r="I19" s="1310">
        <v>52830</v>
      </c>
      <c r="J19" s="1310"/>
      <c r="K19" s="1310"/>
      <c r="L19" s="1307">
        <f t="shared" si="0"/>
        <v>52830</v>
      </c>
      <c r="M19" s="1310" t="s">
        <v>3852</v>
      </c>
    </row>
    <row r="20" spans="2:14" ht="20.100000000000001" customHeight="1" x14ac:dyDescent="0.2">
      <c r="B20" s="1304"/>
      <c r="C20" s="1308"/>
      <c r="D20" s="1309"/>
      <c r="E20" s="1310"/>
      <c r="F20" s="1310"/>
      <c r="G20" s="1310"/>
      <c r="H20" s="1310"/>
      <c r="I20" s="1310"/>
      <c r="J20" s="1310"/>
      <c r="K20" s="1310"/>
      <c r="L20" s="1307">
        <f t="shared" si="0"/>
        <v>0</v>
      </c>
      <c r="M20" s="1310"/>
    </row>
    <row r="21" spans="2:14" ht="20.100000000000001" customHeight="1" x14ac:dyDescent="0.2">
      <c r="B21" s="1304" t="s">
        <v>3875</v>
      </c>
      <c r="C21" s="1308"/>
      <c r="D21" s="1309"/>
      <c r="E21" s="1310"/>
      <c r="F21" s="1310"/>
      <c r="G21" s="1310"/>
      <c r="H21" s="1310"/>
      <c r="I21" s="1310"/>
      <c r="J21" s="1310"/>
      <c r="K21" s="1310"/>
      <c r="L21" s="1307">
        <f t="shared" si="0"/>
        <v>0</v>
      </c>
      <c r="M21" s="1310"/>
    </row>
    <row r="22" spans="2:14" ht="20.100000000000001" customHeight="1" x14ac:dyDescent="0.2">
      <c r="B22" s="1304" t="s">
        <v>3876</v>
      </c>
      <c r="C22" s="1308">
        <v>10.555</v>
      </c>
      <c r="D22" s="1309" t="s">
        <v>3873</v>
      </c>
      <c r="E22" s="1310"/>
      <c r="F22" s="1310">
        <v>27784</v>
      </c>
      <c r="G22" s="1310"/>
      <c r="H22" s="1310"/>
      <c r="I22" s="1310">
        <v>27784</v>
      </c>
      <c r="J22" s="1310"/>
      <c r="K22" s="1310"/>
      <c r="L22" s="1307">
        <f t="shared" si="0"/>
        <v>27784</v>
      </c>
      <c r="M22" s="1310" t="s">
        <v>3852</v>
      </c>
    </row>
    <row r="23" spans="2:14" ht="20.100000000000001" customHeight="1" x14ac:dyDescent="0.2">
      <c r="B23" s="1304" t="s">
        <v>3877</v>
      </c>
      <c r="C23" s="1308"/>
      <c r="D23" s="1309"/>
      <c r="E23" s="1310"/>
      <c r="F23" s="1310"/>
      <c r="G23" s="1310"/>
      <c r="H23" s="1310"/>
      <c r="I23" s="1310"/>
      <c r="J23" s="1310"/>
      <c r="K23" s="1310"/>
      <c r="L23" s="1307">
        <v>0</v>
      </c>
      <c r="M23" s="1310"/>
    </row>
    <row r="24" spans="2:14" ht="20.100000000000001" customHeight="1" x14ac:dyDescent="0.2">
      <c r="B24" s="1304" t="s">
        <v>3878</v>
      </c>
      <c r="C24" s="1308"/>
      <c r="D24" s="1309"/>
      <c r="E24" s="1310"/>
      <c r="F24" s="1310"/>
      <c r="G24" s="1310"/>
      <c r="H24" s="1310"/>
      <c r="I24" s="1310"/>
      <c r="J24" s="1310"/>
      <c r="K24" s="1310"/>
      <c r="L24" s="1307">
        <v>0</v>
      </c>
      <c r="M24" s="1310"/>
    </row>
    <row r="25" spans="2:14" ht="20.100000000000001" customHeight="1" x14ac:dyDescent="0.2">
      <c r="B25" s="1304" t="s">
        <v>3879</v>
      </c>
      <c r="C25" s="1308"/>
      <c r="D25" s="1309"/>
      <c r="E25" s="1310"/>
      <c r="F25" s="1310"/>
      <c r="G25" s="1310"/>
      <c r="H25" s="1310"/>
      <c r="I25" s="1310"/>
      <c r="J25" s="1310"/>
      <c r="K25" s="1310"/>
      <c r="L25" s="1307">
        <v>0</v>
      </c>
      <c r="M25" s="1310"/>
    </row>
    <row r="26" spans="2:14" ht="20.100000000000001" customHeight="1" x14ac:dyDescent="0.2">
      <c r="B26" s="1304" t="s">
        <v>3880</v>
      </c>
      <c r="C26" s="1308">
        <v>93.778000000000006</v>
      </c>
      <c r="D26" s="1309" t="s">
        <v>3881</v>
      </c>
      <c r="E26" s="1310"/>
      <c r="F26" s="1310">
        <v>76251</v>
      </c>
      <c r="G26" s="1310"/>
      <c r="H26" s="1310"/>
      <c r="I26" s="1310">
        <v>76251</v>
      </c>
      <c r="J26" s="1310"/>
      <c r="K26" s="1310"/>
      <c r="L26" s="1307">
        <v>76251</v>
      </c>
      <c r="M26" s="1310" t="s">
        <v>3852</v>
      </c>
    </row>
    <row r="27" spans="2:14" ht="20.100000000000001" customHeight="1" x14ac:dyDescent="0.2">
      <c r="B27" s="1304" t="s">
        <v>3882</v>
      </c>
      <c r="C27" s="1308"/>
      <c r="D27" s="1309"/>
      <c r="E27" s="1310">
        <v>976255</v>
      </c>
      <c r="F27" s="1310">
        <v>1701451</v>
      </c>
      <c r="G27" s="1310">
        <v>979420</v>
      </c>
      <c r="H27" s="1310"/>
      <c r="I27" s="1310">
        <v>1783554</v>
      </c>
      <c r="J27" s="1310"/>
      <c r="K27" s="1310">
        <v>65724</v>
      </c>
      <c r="L27" s="1307">
        <v>2828698</v>
      </c>
      <c r="M27" s="1310"/>
      <c r="N27" s="1311"/>
    </row>
    <row r="28" spans="2:14" ht="12.75" customHeight="1" x14ac:dyDescent="0.2">
      <c r="B28" s="1312"/>
      <c r="C28" s="1313"/>
      <c r="D28" s="1314"/>
      <c r="E28" s="1315"/>
      <c r="F28" s="1315"/>
      <c r="G28" s="1315"/>
      <c r="H28" s="1315"/>
      <c r="I28" s="1315"/>
      <c r="J28" s="1315"/>
      <c r="K28" s="1315"/>
      <c r="L28" s="1315"/>
      <c r="M28" s="1315"/>
      <c r="N28" s="1311"/>
    </row>
    <row r="29" spans="2:14" x14ac:dyDescent="0.2">
      <c r="B29" s="1224"/>
      <c r="C29" s="1316"/>
      <c r="D29" s="1317"/>
      <c r="E29" s="1224"/>
      <c r="F29" s="1224"/>
      <c r="G29" s="1217"/>
      <c r="H29" s="1217"/>
      <c r="I29" s="1217"/>
      <c r="J29" s="1217"/>
      <c r="K29" s="1217"/>
      <c r="L29" s="1217"/>
      <c r="M29" s="1224"/>
      <c r="N29" s="1311"/>
    </row>
    <row r="30" spans="2:14" ht="13.5" customHeight="1" x14ac:dyDescent="0.2">
      <c r="B30" s="1249" t="s">
        <v>1734</v>
      </c>
      <c r="C30" s="1316"/>
      <c r="D30" s="1317"/>
      <c r="E30" s="1224"/>
      <c r="F30" s="1224"/>
      <c r="G30" s="1217"/>
      <c r="H30" s="1217"/>
      <c r="I30" s="1217"/>
      <c r="J30" s="1217"/>
      <c r="K30" s="1217"/>
      <c r="L30" s="1217"/>
      <c r="M30" s="1224"/>
      <c r="N30" s="1311"/>
    </row>
    <row r="31" spans="2:14" ht="8.25" customHeight="1" x14ac:dyDescent="0.2">
      <c r="B31" s="1249"/>
      <c r="C31" s="1316"/>
      <c r="D31" s="1317"/>
      <c r="E31" s="1224"/>
      <c r="F31" s="1224"/>
      <c r="G31" s="1217"/>
      <c r="H31" s="1217"/>
      <c r="I31" s="1217"/>
      <c r="J31" s="1217"/>
      <c r="K31" s="1217"/>
      <c r="L31" s="1217"/>
      <c r="M31" s="1224"/>
      <c r="N31" s="1311"/>
    </row>
    <row r="32" spans="2:14" x14ac:dyDescent="0.2">
      <c r="B32" s="1318" t="s">
        <v>1837</v>
      </c>
      <c r="C32" s="1319"/>
      <c r="D32" s="1320"/>
      <c r="E32" s="1321"/>
      <c r="F32" s="1321"/>
      <c r="G32" s="1321"/>
      <c r="H32" s="1321"/>
      <c r="I32" s="317"/>
      <c r="J32" s="317"/>
    </row>
    <row r="33" spans="2:13" x14ac:dyDescent="0.2">
      <c r="B33" s="1244"/>
      <c r="C33" s="1322"/>
      <c r="D33" s="1323"/>
      <c r="E33" s="1245"/>
      <c r="F33" s="1245"/>
      <c r="G33" s="317"/>
      <c r="H33" s="317"/>
      <c r="I33" s="317"/>
      <c r="J33" s="317"/>
    </row>
    <row r="34" spans="2:13" ht="13.5" customHeight="1" x14ac:dyDescent="0.2">
      <c r="B34" s="1243" t="s">
        <v>1246</v>
      </c>
      <c r="G34" s="317"/>
      <c r="H34" s="317"/>
      <c r="I34" s="317"/>
      <c r="J34" s="317"/>
    </row>
    <row r="35" spans="2:13" ht="13.5" customHeight="1" x14ac:dyDescent="0.2">
      <c r="B35" s="1326"/>
      <c r="C35" s="1327"/>
      <c r="D35" s="1328"/>
      <c r="E35" s="1264"/>
      <c r="F35" s="1264"/>
      <c r="G35" s="1264"/>
      <c r="H35" s="1264"/>
      <c r="I35" s="1264"/>
      <c r="J35" s="1264"/>
      <c r="K35" s="1329"/>
      <c r="L35" s="1329"/>
      <c r="M35" s="1264"/>
    </row>
    <row r="36" spans="2:13" ht="9.6" customHeight="1" x14ac:dyDescent="0.2">
      <c r="B36" s="1330"/>
      <c r="G36" s="317"/>
      <c r="H36" s="317"/>
      <c r="I36" s="317"/>
      <c r="J36" s="317"/>
    </row>
    <row r="37" spans="2:13" ht="11.25" customHeight="1" x14ac:dyDescent="0.2">
      <c r="B37" s="1331" t="s">
        <v>1735</v>
      </c>
      <c r="C37" s="1332"/>
      <c r="D37" s="1332"/>
      <c r="E37" s="1332"/>
      <c r="F37" s="1332"/>
      <c r="G37" s="1332"/>
      <c r="H37" s="1332"/>
      <c r="I37" s="1333"/>
      <c r="J37" s="1333"/>
      <c r="K37" s="1333"/>
      <c r="L37" s="1333"/>
      <c r="M37" s="1333"/>
    </row>
    <row r="38" spans="2:13" ht="11.25" customHeight="1" x14ac:dyDescent="0.2">
      <c r="B38" s="1334" t="s">
        <v>1584</v>
      </c>
      <c r="C38" s="1333"/>
      <c r="D38" s="1333"/>
      <c r="E38" s="1333"/>
      <c r="F38" s="1333"/>
      <c r="G38" s="1333"/>
      <c r="H38" s="1333"/>
      <c r="I38" s="1333"/>
      <c r="J38" s="1333"/>
      <c r="K38" s="1333"/>
      <c r="L38" s="1333"/>
      <c r="M38" s="1333"/>
    </row>
    <row r="39" spans="2:13" ht="3.95" customHeight="1" x14ac:dyDescent="0.2">
      <c r="B39" s="1334"/>
      <c r="C39" s="1333"/>
      <c r="D39" s="1333"/>
      <c r="E39" s="1333"/>
      <c r="F39" s="1333"/>
      <c r="G39" s="1333"/>
      <c r="H39" s="1333"/>
      <c r="I39" s="1333"/>
      <c r="J39" s="1333"/>
      <c r="K39" s="1333"/>
      <c r="L39" s="1333"/>
      <c r="M39" s="1333"/>
    </row>
    <row r="40" spans="2:13" ht="11.25" customHeight="1" x14ac:dyDescent="0.2">
      <c r="B40" s="1331" t="s">
        <v>1736</v>
      </c>
      <c r="C40" s="1333"/>
      <c r="D40" s="1333"/>
      <c r="E40" s="1333"/>
      <c r="F40" s="1333"/>
      <c r="G40" s="1333"/>
      <c r="H40" s="1333"/>
      <c r="I40" s="1333"/>
      <c r="J40" s="1333"/>
      <c r="K40" s="1333"/>
      <c r="L40" s="1333"/>
      <c r="M40" s="1333"/>
    </row>
    <row r="41" spans="2:13" ht="11.25" customHeight="1" x14ac:dyDescent="0.2">
      <c r="B41" s="1267" t="s">
        <v>1585</v>
      </c>
      <c r="C41" s="1335"/>
      <c r="D41" s="1336"/>
      <c r="E41" s="1267"/>
      <c r="F41" s="1267"/>
      <c r="G41" s="1267"/>
      <c r="H41" s="1267"/>
      <c r="I41" s="1267"/>
      <c r="J41" s="1267"/>
      <c r="K41" s="1337"/>
      <c r="L41" s="1337"/>
      <c r="M41" s="1267"/>
    </row>
    <row r="42" spans="2:13" ht="3.95" customHeight="1" x14ac:dyDescent="0.2">
      <c r="B42" s="1267"/>
      <c r="C42" s="1335"/>
      <c r="D42" s="1336"/>
      <c r="E42" s="1267"/>
      <c r="F42" s="1267"/>
      <c r="G42" s="1267"/>
      <c r="H42" s="1267"/>
      <c r="I42" s="1267"/>
      <c r="J42" s="1267"/>
      <c r="K42" s="1337"/>
      <c r="L42" s="1337"/>
      <c r="M42" s="1267"/>
    </row>
    <row r="43" spans="2:13" ht="11.25" customHeight="1" x14ac:dyDescent="0.2">
      <c r="B43" s="1338" t="s">
        <v>1737</v>
      </c>
      <c r="C43" s="1335"/>
      <c r="D43" s="1336"/>
      <c r="E43" s="1267"/>
      <c r="F43" s="1267"/>
      <c r="G43" s="1267"/>
      <c r="H43" s="1267"/>
      <c r="I43" s="1267"/>
      <c r="J43" s="1267"/>
      <c r="K43" s="1337"/>
      <c r="L43" s="1337"/>
      <c r="M43" s="1267"/>
    </row>
    <row r="44" spans="2:13" ht="3.95" customHeight="1" x14ac:dyDescent="0.2">
      <c r="B44" s="1338"/>
      <c r="C44" s="1335"/>
      <c r="D44" s="1336"/>
      <c r="E44" s="1267"/>
      <c r="F44" s="1267"/>
      <c r="G44" s="1267"/>
      <c r="H44" s="1267"/>
      <c r="I44" s="1267"/>
      <c r="J44" s="1267"/>
      <c r="K44" s="1337"/>
      <c r="L44" s="1337"/>
      <c r="M44" s="1267"/>
    </row>
    <row r="45" spans="2:13" ht="11.25" customHeight="1" x14ac:dyDescent="0.2">
      <c r="B45" s="1339" t="s">
        <v>1738</v>
      </c>
      <c r="C45" s="1335"/>
      <c r="D45" s="1336"/>
      <c r="E45" s="1267"/>
      <c r="F45" s="1267"/>
      <c r="G45" s="1267"/>
      <c r="H45" s="1267"/>
      <c r="I45" s="1267"/>
      <c r="J45" s="1267"/>
      <c r="K45" s="1337"/>
      <c r="L45" s="1337"/>
      <c r="M45" s="1267"/>
    </row>
    <row r="46" spans="2:13" ht="11.25" customHeight="1" x14ac:dyDescent="0.2">
      <c r="B46" s="1267" t="s">
        <v>1586</v>
      </c>
      <c r="G46" s="317"/>
      <c r="H46" s="317"/>
      <c r="I46" s="317"/>
      <c r="J46" s="317"/>
    </row>
    <row r="47" spans="2:13" ht="11.1" customHeight="1" x14ac:dyDescent="0.2">
      <c r="B47" s="1267"/>
      <c r="G47" s="317"/>
      <c r="H47" s="317"/>
      <c r="I47" s="317"/>
      <c r="J47" s="317"/>
    </row>
    <row r="48" spans="2:13" ht="11.1" customHeight="1" x14ac:dyDescent="0.2">
      <c r="B48" s="1267"/>
      <c r="G48" s="317"/>
      <c r="H48" s="317"/>
      <c r="I48" s="317"/>
      <c r="J48" s="317"/>
    </row>
    <row r="49" spans="7:13" ht="13.5" customHeight="1" x14ac:dyDescent="0.2">
      <c r="M49" s="1340"/>
    </row>
    <row r="50" spans="7:13" ht="13.5" customHeight="1" x14ac:dyDescent="0.2">
      <c r="M50" s="1340"/>
    </row>
    <row r="51" spans="7:13" ht="13.5" customHeight="1" x14ac:dyDescent="0.2">
      <c r="M51" s="134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election activeCell="F172" sqref="F17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5" t="s">
        <v>1168</v>
      </c>
      <c r="B2" s="2105"/>
      <c r="C2" s="2105"/>
      <c r="D2" s="2105"/>
      <c r="E2" s="2105"/>
      <c r="F2" s="2105"/>
      <c r="G2" s="2105"/>
      <c r="H2" s="2105"/>
      <c r="I2" s="2105"/>
      <c r="J2" s="210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19" t="s">
        <v>1633</v>
      </c>
      <c r="B35" s="2120"/>
      <c r="C35" s="2120"/>
      <c r="D35" s="2120"/>
      <c r="E35" s="2121"/>
      <c r="F35" s="2121"/>
      <c r="G35" s="2121"/>
      <c r="H35" s="2121"/>
      <c r="I35" s="212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19" t="s">
        <v>313</v>
      </c>
      <c r="B47" s="2122"/>
      <c r="C47" s="2122"/>
      <c r="D47" s="2122"/>
      <c r="E47" s="2123"/>
      <c r="F47" s="2123"/>
      <c r="G47" s="2123"/>
      <c r="H47" s="2123"/>
      <c r="I47" s="212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6"/>
      <c r="C57" s="2127"/>
      <c r="D57" s="2127"/>
      <c r="E57" s="2127"/>
      <c r="F57" s="2127"/>
      <c r="G57" s="2127"/>
      <c r="H57" s="2127"/>
      <c r="I57" s="2127"/>
      <c r="J57" s="2128"/>
    </row>
    <row r="58" spans="1:10" s="181" customFormat="1" x14ac:dyDescent="0.2">
      <c r="A58" s="253"/>
      <c r="B58" s="2129"/>
      <c r="C58" s="2130"/>
      <c r="D58" s="2130"/>
      <c r="E58" s="2130"/>
      <c r="F58" s="2130"/>
      <c r="G58" s="2130"/>
      <c r="H58" s="2130"/>
      <c r="I58" s="2130"/>
      <c r="J58" s="2131"/>
    </row>
    <row r="59" spans="1:10" s="181" customFormat="1" x14ac:dyDescent="0.2">
      <c r="A59" s="253"/>
      <c r="B59" s="2129"/>
      <c r="C59" s="2130"/>
      <c r="D59" s="2130"/>
      <c r="E59" s="2130"/>
      <c r="F59" s="2130"/>
      <c r="G59" s="2130"/>
      <c r="H59" s="2130"/>
      <c r="I59" s="2130"/>
      <c r="J59" s="2131"/>
    </row>
    <row r="60" spans="1:10" s="181" customFormat="1" x14ac:dyDescent="0.2">
      <c r="A60" s="253"/>
      <c r="B60" s="2129"/>
      <c r="C60" s="2130"/>
      <c r="D60" s="2130"/>
      <c r="E60" s="2130"/>
      <c r="F60" s="2130"/>
      <c r="G60" s="2130"/>
      <c r="H60" s="2130"/>
      <c r="I60" s="2130"/>
      <c r="J60" s="2131"/>
    </row>
    <row r="61" spans="1:10" s="181" customFormat="1" x14ac:dyDescent="0.2">
      <c r="A61" s="253"/>
      <c r="B61" s="2129"/>
      <c r="C61" s="2130"/>
      <c r="D61" s="2130"/>
      <c r="E61" s="2130"/>
      <c r="F61" s="2130"/>
      <c r="G61" s="2130"/>
      <c r="H61" s="2130"/>
      <c r="I61" s="2130"/>
      <c r="J61" s="2131"/>
    </row>
    <row r="62" spans="1:10" s="181" customFormat="1" x14ac:dyDescent="0.2">
      <c r="A62" s="253"/>
      <c r="B62" s="2129"/>
      <c r="C62" s="2130"/>
      <c r="D62" s="2130"/>
      <c r="E62" s="2130"/>
      <c r="F62" s="2130"/>
      <c r="G62" s="2130"/>
      <c r="H62" s="2130"/>
      <c r="I62" s="2130"/>
      <c r="J62" s="2131"/>
    </row>
    <row r="63" spans="1:10" s="181" customFormat="1" x14ac:dyDescent="0.2">
      <c r="A63" s="253"/>
      <c r="B63" s="2129"/>
      <c r="C63" s="2130"/>
      <c r="D63" s="2130"/>
      <c r="E63" s="2130"/>
      <c r="F63" s="2130"/>
      <c r="G63" s="2130"/>
      <c r="H63" s="2130"/>
      <c r="I63" s="2130"/>
      <c r="J63" s="2131"/>
    </row>
    <row r="64" spans="1:10" s="181" customFormat="1" x14ac:dyDescent="0.2">
      <c r="A64" s="253"/>
      <c r="B64" s="2129"/>
      <c r="C64" s="2130"/>
      <c r="D64" s="2130"/>
      <c r="E64" s="2130"/>
      <c r="F64" s="2130"/>
      <c r="G64" s="2130"/>
      <c r="H64" s="2130"/>
      <c r="I64" s="2130"/>
      <c r="J64" s="2131"/>
    </row>
    <row r="65" spans="1:10" s="181" customFormat="1" x14ac:dyDescent="0.2">
      <c r="A65" s="253"/>
      <c r="B65" s="2129"/>
      <c r="C65" s="2130"/>
      <c r="D65" s="2130"/>
      <c r="E65" s="2130"/>
      <c r="F65" s="2130"/>
      <c r="G65" s="2130"/>
      <c r="H65" s="2130"/>
      <c r="I65" s="2130"/>
      <c r="J65" s="2131"/>
    </row>
    <row r="66" spans="1:10" s="181" customFormat="1" x14ac:dyDescent="0.2">
      <c r="A66" s="253"/>
      <c r="B66" s="2129"/>
      <c r="C66" s="2130"/>
      <c r="D66" s="2130"/>
      <c r="E66" s="2130"/>
      <c r="F66" s="2130"/>
      <c r="G66" s="2130"/>
      <c r="H66" s="2130"/>
      <c r="I66" s="2130"/>
      <c r="J66" s="2131"/>
    </row>
    <row r="67" spans="1:10" s="181" customFormat="1" ht="9" customHeight="1" x14ac:dyDescent="0.2">
      <c r="A67" s="254"/>
      <c r="B67" s="2132"/>
      <c r="C67" s="2133"/>
      <c r="D67" s="2133"/>
      <c r="E67" s="2133"/>
      <c r="F67" s="2133"/>
      <c r="G67" s="2133"/>
      <c r="H67" s="2133"/>
      <c r="I67" s="2133"/>
      <c r="J67" s="213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9" t="s">
        <v>1323</v>
      </c>
      <c r="B70" s="2122"/>
      <c r="C70" s="2122"/>
      <c r="D70" s="2122"/>
      <c r="E70" s="2123"/>
      <c r="F70" s="2123"/>
      <c r="G70" s="2123"/>
      <c r="H70" s="2123"/>
      <c r="I70" s="212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0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4" t="s">
        <v>1320</v>
      </c>
      <c r="B83" s="2124"/>
      <c r="C83" s="2124"/>
      <c r="D83" s="212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06"/>
      <c r="C102" s="2107"/>
      <c r="D102" s="2107"/>
      <c r="E102" s="2107"/>
      <c r="F102" s="2107"/>
      <c r="G102" s="2107"/>
      <c r="H102" s="2107"/>
      <c r="I102" s="2108"/>
    </row>
    <row r="103" spans="1:9" s="181" customFormat="1" ht="11.25" customHeight="1" x14ac:dyDescent="0.2">
      <c r="A103" s="316"/>
      <c r="B103" s="2109"/>
      <c r="C103" s="2110"/>
      <c r="D103" s="2110"/>
      <c r="E103" s="2110"/>
      <c r="F103" s="2110"/>
      <c r="G103" s="2110"/>
      <c r="H103" s="2110"/>
      <c r="I103" s="2111"/>
    </row>
    <row r="104" spans="1:9" s="181" customFormat="1" ht="11.25" customHeight="1" x14ac:dyDescent="0.2">
      <c r="A104" s="316"/>
      <c r="B104" s="2109"/>
      <c r="C104" s="2110"/>
      <c r="D104" s="2110"/>
      <c r="E104" s="2110"/>
      <c r="F104" s="2110"/>
      <c r="G104" s="2110"/>
      <c r="H104" s="2110"/>
      <c r="I104" s="2111"/>
    </row>
    <row r="105" spans="1:9" s="181" customFormat="1" x14ac:dyDescent="0.2">
      <c r="A105" s="316"/>
      <c r="B105" s="2109"/>
      <c r="C105" s="2110"/>
      <c r="D105" s="2110"/>
      <c r="E105" s="2110"/>
      <c r="F105" s="2110"/>
      <c r="G105" s="2110"/>
      <c r="H105" s="2110"/>
      <c r="I105" s="2111"/>
    </row>
    <row r="106" spans="1:9" s="181" customFormat="1" ht="11.25" customHeight="1" x14ac:dyDescent="0.2">
      <c r="A106" s="316"/>
      <c r="B106" s="2109"/>
      <c r="C106" s="2110"/>
      <c r="D106" s="2110"/>
      <c r="E106" s="2110"/>
      <c r="F106" s="2110"/>
      <c r="G106" s="2110"/>
      <c r="H106" s="2110"/>
      <c r="I106" s="2111"/>
    </row>
    <row r="107" spans="1:9" s="181" customFormat="1" ht="11.25" customHeight="1" x14ac:dyDescent="0.2">
      <c r="A107" s="316"/>
      <c r="B107" s="2109"/>
      <c r="C107" s="2110"/>
      <c r="D107" s="2110"/>
      <c r="E107" s="2110"/>
      <c r="F107" s="2110"/>
      <c r="G107" s="2110"/>
      <c r="H107" s="2110"/>
      <c r="I107" s="2111"/>
    </row>
    <row r="108" spans="1:9" s="181" customFormat="1" ht="11.25" customHeight="1" x14ac:dyDescent="0.2">
      <c r="A108" s="316"/>
      <c r="B108" s="2109"/>
      <c r="C108" s="2110"/>
      <c r="D108" s="2110"/>
      <c r="E108" s="2110"/>
      <c r="F108" s="2110"/>
      <c r="G108" s="2110"/>
      <c r="H108" s="2110"/>
      <c r="I108" s="2111"/>
    </row>
    <row r="109" spans="1:9" s="181" customFormat="1" ht="11.25" customHeight="1" x14ac:dyDescent="0.2">
      <c r="A109" s="316"/>
      <c r="B109" s="2109"/>
      <c r="C109" s="2110"/>
      <c r="D109" s="2110"/>
      <c r="E109" s="2110"/>
      <c r="F109" s="2110"/>
      <c r="G109" s="2110"/>
      <c r="H109" s="2110"/>
      <c r="I109" s="2111"/>
    </row>
    <row r="110" spans="1:9" s="181" customFormat="1" ht="11.25" customHeight="1" x14ac:dyDescent="0.2">
      <c r="A110" s="316"/>
      <c r="B110" s="2109"/>
      <c r="C110" s="2110"/>
      <c r="D110" s="2110"/>
      <c r="E110" s="2110"/>
      <c r="F110" s="2110"/>
      <c r="G110" s="2110"/>
      <c r="H110" s="2110"/>
      <c r="I110" s="2111"/>
    </row>
    <row r="111" spans="1:9" s="181" customFormat="1" ht="11.25" customHeight="1" x14ac:dyDescent="0.2">
      <c r="A111" s="316"/>
      <c r="B111" s="2109"/>
      <c r="C111" s="2110"/>
      <c r="D111" s="2110"/>
      <c r="E111" s="2110"/>
      <c r="F111" s="2110"/>
      <c r="G111" s="2110"/>
      <c r="H111" s="2110"/>
      <c r="I111" s="2111"/>
    </row>
    <row r="112" spans="1:9" s="181" customFormat="1" ht="11.25" customHeight="1" x14ac:dyDescent="0.2">
      <c r="A112" s="316"/>
      <c r="B112" s="2112"/>
      <c r="C112" s="2113"/>
      <c r="D112" s="2113"/>
      <c r="E112" s="2113"/>
      <c r="F112" s="2113"/>
      <c r="G112" s="2113"/>
      <c r="H112" s="2113"/>
      <c r="I112" s="211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5" t="s">
        <v>2061</v>
      </c>
      <c r="D114" s="211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6" t="s">
        <v>1330</v>
      </c>
      <c r="D117" s="2117"/>
      <c r="E117" s="2118"/>
      <c r="F117" s="2118"/>
      <c r="G117" s="2118"/>
      <c r="H117" s="2118"/>
      <c r="I117" s="304"/>
    </row>
    <row r="118" spans="1:9" s="181" customFormat="1" ht="24" customHeight="1" x14ac:dyDescent="0.2">
      <c r="A118" s="316"/>
      <c r="B118" s="316"/>
      <c r="C118" s="316"/>
      <c r="D118" s="323"/>
      <c r="E118" s="322"/>
      <c r="F118" s="324"/>
      <c r="G118" s="1810"/>
      <c r="H118" s="322"/>
      <c r="I118" s="304"/>
    </row>
    <row r="119" spans="1:9" s="181" customFormat="1" ht="11.25" customHeight="1" x14ac:dyDescent="0.2">
      <c r="A119" s="325"/>
      <c r="B119" s="325"/>
      <c r="C119" s="326"/>
      <c r="D119" s="327" t="s">
        <v>361</v>
      </c>
      <c r="E119" s="310"/>
      <c r="F119" s="1809" t="s">
        <v>1903</v>
      </c>
      <c r="G119" s="328"/>
      <c r="H119" s="328"/>
      <c r="I119" s="304"/>
    </row>
    <row r="120" spans="1:9" x14ac:dyDescent="0.2">
      <c r="A120" s="329"/>
      <c r="B120" s="180"/>
      <c r="C120" s="330"/>
      <c r="D120" s="256"/>
      <c r="E120" s="256"/>
      <c r="F120" s="256"/>
      <c r="G120" s="256"/>
      <c r="H120" s="256"/>
      <c r="I120" s="304"/>
    </row>
    <row r="121" spans="1:9" x14ac:dyDescent="0.2">
      <c r="A121" s="329"/>
      <c r="B121" s="145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7" zoomScale="120" zoomScaleNormal="120" workbookViewId="0">
      <selection activeCell="M52" sqref="M52"/>
    </sheetView>
  </sheetViews>
  <sheetFormatPr defaultColWidth="8" defaultRowHeight="12.75" x14ac:dyDescent="0.2"/>
  <cols>
    <col min="1" max="1" width="1.42578125" style="317" customWidth="1"/>
    <col min="2" max="2" width="53.28515625" style="317" customWidth="1"/>
    <col min="3" max="3" width="14" style="1225" customWidth="1"/>
    <col min="4" max="4" width="16.7109375" style="1225" customWidth="1"/>
    <col min="5" max="5" width="7.5703125" style="317" customWidth="1"/>
    <col min="6" max="6" width="2.7109375" style="317" customWidth="1"/>
    <col min="7" max="7" width="3.28515625" style="317" customWidth="1"/>
    <col min="8" max="16384" width="8" style="317"/>
  </cols>
  <sheetData>
    <row r="1" spans="1:7" ht="13.5" customHeight="1" x14ac:dyDescent="0.2">
      <c r="A1" s="2489" t="str">
        <f>'Single Audit Cover'!A7</f>
        <v>Ottawa ESD 141</v>
      </c>
      <c r="B1" s="2489"/>
      <c r="C1" s="2489"/>
      <c r="D1" s="2489"/>
      <c r="E1" s="2489"/>
      <c r="F1" s="2489"/>
    </row>
    <row r="2" spans="1:7" ht="13.5" customHeight="1" x14ac:dyDescent="0.2">
      <c r="A2" s="2485">
        <f>'Single Audit Cover'!E7</f>
        <v>35050141002</v>
      </c>
      <c r="B2" s="2485"/>
      <c r="C2" s="2485"/>
      <c r="D2" s="2485"/>
      <c r="E2" s="2485"/>
      <c r="F2" s="2485"/>
      <c r="G2" s="1242"/>
    </row>
    <row r="3" spans="1:7" ht="15.75" customHeight="1" x14ac:dyDescent="0.2">
      <c r="A3" s="2490" t="s">
        <v>1271</v>
      </c>
      <c r="B3" s="2490"/>
      <c r="C3" s="2490"/>
      <c r="D3" s="2490"/>
      <c r="E3" s="2490"/>
      <c r="F3" s="2490"/>
    </row>
    <row r="4" spans="1:7" ht="13.5" customHeight="1" x14ac:dyDescent="0.2">
      <c r="A4" s="2491" t="str">
        <f>'Single Audit Cover'!A4</f>
        <v>Year Ending June 30, 2019</v>
      </c>
      <c r="B4" s="2491"/>
      <c r="C4" s="2491"/>
      <c r="D4" s="2491"/>
      <c r="E4" s="2491"/>
      <c r="F4" s="2491"/>
    </row>
    <row r="5" spans="1:7" ht="8.25" customHeight="1" x14ac:dyDescent="0.2">
      <c r="C5" s="317"/>
      <c r="D5" s="317"/>
    </row>
    <row r="6" spans="1:7" ht="13.5" customHeight="1" x14ac:dyDescent="0.2">
      <c r="A6" s="1243" t="s">
        <v>1728</v>
      </c>
      <c r="C6" s="317"/>
      <c r="D6" s="317"/>
    </row>
    <row r="7" spans="1:7" ht="60.95" customHeight="1" x14ac:dyDescent="0.2">
      <c r="A7" s="2488" t="s">
        <v>3884</v>
      </c>
      <c r="B7" s="2488"/>
      <c r="C7" s="2488"/>
      <c r="D7" s="2488"/>
      <c r="E7" s="2488"/>
      <c r="F7" s="2488"/>
    </row>
    <row r="8" spans="1:7" ht="12" customHeight="1" x14ac:dyDescent="0.2">
      <c r="A8" s="1243"/>
      <c r="B8" s="1249"/>
      <c r="C8" s="1249"/>
      <c r="D8" s="1249"/>
    </row>
    <row r="9" spans="1:7" ht="15" customHeight="1" x14ac:dyDescent="0.2">
      <c r="A9" s="1244" t="s">
        <v>1729</v>
      </c>
      <c r="B9" s="1247"/>
      <c r="C9" s="1247"/>
      <c r="D9" s="1247"/>
      <c r="E9" s="1245"/>
      <c r="F9" s="1245"/>
      <c r="G9" s="1245"/>
    </row>
    <row r="10" spans="1:7" ht="15" customHeight="1" x14ac:dyDescent="0.2">
      <c r="A10" s="1246" t="s">
        <v>1547</v>
      </c>
      <c r="B10" s="1247"/>
      <c r="C10" s="1248"/>
      <c r="D10" s="1247" t="s">
        <v>1548</v>
      </c>
      <c r="E10" s="1248" t="s">
        <v>2062</v>
      </c>
      <c r="F10" s="1247" t="s">
        <v>99</v>
      </c>
      <c r="G10" s="1245"/>
    </row>
    <row r="11" spans="1:7" ht="12" customHeight="1" x14ac:dyDescent="0.2">
      <c r="A11" s="1246"/>
      <c r="B11" s="1247"/>
      <c r="C11" s="1868"/>
      <c r="D11" s="1247"/>
      <c r="E11" s="1868"/>
      <c r="F11" s="1247"/>
      <c r="G11" s="1245"/>
    </row>
    <row r="12" spans="1:7" x14ac:dyDescent="0.2">
      <c r="A12" s="1243" t="s">
        <v>1587</v>
      </c>
      <c r="C12" s="1227"/>
      <c r="D12" s="1227"/>
    </row>
    <row r="13" spans="1:7" ht="15" customHeight="1" x14ac:dyDescent="0.2">
      <c r="A13" s="2488" t="s">
        <v>3885</v>
      </c>
      <c r="B13" s="2488"/>
      <c r="C13" s="2488"/>
      <c r="D13" s="2488"/>
      <c r="E13" s="2488"/>
      <c r="F13" s="2488"/>
    </row>
    <row r="14" spans="1:7" ht="9.75" customHeight="1" x14ac:dyDescent="0.2">
      <c r="C14" s="1227"/>
      <c r="D14" s="1227"/>
    </row>
    <row r="15" spans="1:7" ht="13.5" customHeight="1" x14ac:dyDescent="0.2">
      <c r="C15" s="1816" t="s">
        <v>1270</v>
      </c>
      <c r="D15" s="2493" t="s">
        <v>1269</v>
      </c>
      <c r="E15" s="2493"/>
      <c r="F15" s="2493"/>
    </row>
    <row r="16" spans="1:7" ht="13.5" customHeight="1" x14ac:dyDescent="0.2">
      <c r="A16" s="1249"/>
      <c r="B16" s="1243" t="s">
        <v>1268</v>
      </c>
      <c r="C16" s="1816" t="s">
        <v>1267</v>
      </c>
      <c r="D16" s="2494" t="s">
        <v>1588</v>
      </c>
      <c r="E16" s="2494"/>
      <c r="F16" s="2494"/>
    </row>
    <row r="17" spans="1:6" ht="20.45" customHeight="1" x14ac:dyDescent="0.2">
      <c r="A17" s="1250"/>
      <c r="B17" s="1251" t="s">
        <v>3886</v>
      </c>
      <c r="C17" s="1252"/>
      <c r="D17" s="2492"/>
      <c r="E17" s="2492"/>
      <c r="F17" s="2492"/>
    </row>
    <row r="18" spans="1:6" ht="20.65" customHeight="1" x14ac:dyDescent="0.2">
      <c r="A18" s="1250"/>
      <c r="B18" s="1251"/>
      <c r="C18" s="1252"/>
      <c r="D18" s="2492"/>
      <c r="E18" s="2492"/>
      <c r="F18" s="2492"/>
    </row>
    <row r="19" spans="1:6" ht="20.65" customHeight="1" x14ac:dyDescent="0.2">
      <c r="A19" s="1250"/>
      <c r="B19" s="1251"/>
      <c r="C19" s="1252"/>
      <c r="D19" s="2492"/>
      <c r="E19" s="2492"/>
      <c r="F19" s="2492"/>
    </row>
    <row r="20" spans="1:6" ht="20.65" customHeight="1" x14ac:dyDescent="0.2">
      <c r="A20" s="1250"/>
      <c r="B20" s="1251"/>
      <c r="C20" s="1252"/>
      <c r="D20" s="2492"/>
      <c r="E20" s="2492"/>
      <c r="F20" s="2492"/>
    </row>
    <row r="21" spans="1:6" ht="20.65" customHeight="1" x14ac:dyDescent="0.2">
      <c r="A21" s="1250"/>
      <c r="B21" s="1251"/>
      <c r="C21" s="1252"/>
      <c r="D21" s="2492"/>
      <c r="E21" s="2492"/>
      <c r="F21" s="2492"/>
    </row>
    <row r="22" spans="1:6" ht="20.65" customHeight="1" x14ac:dyDescent="0.2">
      <c r="A22" s="1250"/>
      <c r="B22" s="1251"/>
      <c r="C22" s="1252"/>
      <c r="D22" s="2492"/>
      <c r="E22" s="2492"/>
      <c r="F22" s="2492"/>
    </row>
    <row r="23" spans="1:6" ht="20.65" customHeight="1" x14ac:dyDescent="0.2">
      <c r="A23" s="1250"/>
      <c r="B23" s="1251"/>
      <c r="C23" s="1252"/>
      <c r="D23" s="2492"/>
      <c r="E23" s="2492"/>
      <c r="F23" s="2492"/>
    </row>
    <row r="24" spans="1:6" ht="20.65" customHeight="1" x14ac:dyDescent="0.2">
      <c r="A24" s="1250"/>
      <c r="B24" s="1251"/>
      <c r="C24" s="1252"/>
      <c r="D24" s="2492"/>
      <c r="E24" s="2492"/>
      <c r="F24" s="2492"/>
    </row>
    <row r="25" spans="1:6" ht="20.65" customHeight="1" x14ac:dyDescent="0.2">
      <c r="A25" s="1250"/>
      <c r="B25" s="1251"/>
      <c r="C25" s="1252"/>
      <c r="D25" s="2492"/>
      <c r="E25" s="2492"/>
      <c r="F25" s="2492"/>
    </row>
    <row r="26" spans="1:6" ht="20.65" customHeight="1" x14ac:dyDescent="0.2">
      <c r="A26" s="1250"/>
      <c r="B26" s="1251"/>
      <c r="C26" s="1252"/>
      <c r="D26" s="2492"/>
      <c r="E26" s="2492"/>
      <c r="F26" s="2492"/>
    </row>
    <row r="27" spans="1:6" ht="20.65" customHeight="1" x14ac:dyDescent="0.2">
      <c r="A27" s="1250"/>
      <c r="B27" s="1251"/>
      <c r="C27" s="1252"/>
      <c r="D27" s="2492"/>
      <c r="E27" s="2492"/>
      <c r="F27" s="2492"/>
    </row>
    <row r="28" spans="1:6" ht="20.65" customHeight="1" x14ac:dyDescent="0.2">
      <c r="A28" s="1250"/>
      <c r="B28" s="1251"/>
      <c r="C28" s="1252"/>
      <c r="D28" s="2492"/>
      <c r="E28" s="2492"/>
      <c r="F28" s="2492"/>
    </row>
    <row r="29" spans="1:6" ht="20.65" customHeight="1" x14ac:dyDescent="0.2">
      <c r="A29" s="1250"/>
      <c r="B29" s="1251"/>
      <c r="C29" s="1252"/>
      <c r="D29" s="2492"/>
      <c r="E29" s="2492"/>
      <c r="F29" s="2492"/>
    </row>
    <row r="30" spans="1:6" ht="12" customHeight="1" x14ac:dyDescent="0.2">
      <c r="A30" s="328"/>
      <c r="B30" s="328"/>
      <c r="C30" s="1432"/>
      <c r="D30" s="1869"/>
      <c r="E30" s="1253"/>
    </row>
    <row r="31" spans="1:6" ht="12" customHeight="1" x14ac:dyDescent="0.2">
      <c r="A31" s="1254" t="s">
        <v>1549</v>
      </c>
      <c r="B31" s="328"/>
      <c r="C31" s="1432"/>
      <c r="D31" s="1869"/>
      <c r="E31" s="1253"/>
    </row>
    <row r="32" spans="1:6" ht="30" customHeight="1" x14ac:dyDescent="0.2">
      <c r="A32" s="2496" t="s">
        <v>3887</v>
      </c>
      <c r="B32" s="2496"/>
      <c r="C32" s="2496"/>
      <c r="D32" s="2496"/>
      <c r="E32" s="2496"/>
      <c r="F32" s="2496"/>
    </row>
    <row r="33" spans="1:6" ht="13.5" customHeight="1" x14ac:dyDescent="0.2">
      <c r="A33" s="328" t="s">
        <v>1434</v>
      </c>
      <c r="B33" s="328"/>
      <c r="C33" s="1255">
        <v>80614</v>
      </c>
      <c r="D33" s="1869"/>
      <c r="E33" s="1253"/>
    </row>
    <row r="34" spans="1:6" ht="13.5" customHeight="1" x14ac:dyDescent="0.2">
      <c r="A34" s="328" t="s">
        <v>1835</v>
      </c>
      <c r="B34" s="328"/>
      <c r="C34" s="1256">
        <v>0</v>
      </c>
      <c r="D34" s="1869" t="s">
        <v>1589</v>
      </c>
      <c r="E34" s="2497">
        <f>+C33+C34</f>
        <v>80614</v>
      </c>
      <c r="F34" s="2498"/>
    </row>
    <row r="35" spans="1:6" ht="12" customHeight="1" x14ac:dyDescent="0.2">
      <c r="A35" s="328"/>
      <c r="B35" s="328"/>
      <c r="C35" s="1870"/>
      <c r="D35" s="1869"/>
      <c r="E35" s="1257"/>
      <c r="F35" s="1258"/>
    </row>
    <row r="36" spans="1:6" ht="13.5" customHeight="1" x14ac:dyDescent="0.2">
      <c r="A36" s="1254" t="s">
        <v>1550</v>
      </c>
      <c r="B36" s="328"/>
      <c r="C36" s="1432"/>
      <c r="D36" s="1869"/>
      <c r="E36" s="1253"/>
    </row>
    <row r="37" spans="1:6" ht="14.25" customHeight="1" x14ac:dyDescent="0.2">
      <c r="A37" s="328" t="s">
        <v>1484</v>
      </c>
      <c r="B37" s="328"/>
      <c r="C37" s="1871"/>
      <c r="D37" s="1869"/>
      <c r="E37" s="1253"/>
    </row>
    <row r="38" spans="1:6" ht="14.25" customHeight="1" x14ac:dyDescent="0.2">
      <c r="A38" s="328"/>
      <c r="B38" s="328" t="s">
        <v>1435</v>
      </c>
      <c r="C38" s="1259" t="s">
        <v>383</v>
      </c>
      <c r="D38" s="1869"/>
      <c r="E38" s="1253"/>
    </row>
    <row r="39" spans="1:6" ht="14.25" customHeight="1" x14ac:dyDescent="0.2">
      <c r="A39" s="328"/>
      <c r="B39" s="328" t="s">
        <v>1436</v>
      </c>
      <c r="C39" s="1259" t="s">
        <v>383</v>
      </c>
      <c r="D39" s="1869"/>
      <c r="E39" s="1253"/>
    </row>
    <row r="40" spans="1:6" ht="14.25" customHeight="1" x14ac:dyDescent="0.2">
      <c r="A40" s="328"/>
      <c r="B40" s="328" t="s">
        <v>1437</v>
      </c>
      <c r="C40" s="1259" t="s">
        <v>383</v>
      </c>
      <c r="D40" s="1869"/>
      <c r="E40" s="1253"/>
    </row>
    <row r="41" spans="1:6" ht="14.25" customHeight="1" x14ac:dyDescent="0.2">
      <c r="A41" s="328"/>
      <c r="B41" s="328" t="s">
        <v>1438</v>
      </c>
      <c r="C41" s="1259" t="s">
        <v>383</v>
      </c>
      <c r="D41" s="1869"/>
      <c r="E41" s="1253"/>
    </row>
    <row r="42" spans="1:6" ht="14.25" customHeight="1" x14ac:dyDescent="0.2">
      <c r="A42" s="328" t="s">
        <v>1439</v>
      </c>
      <c r="B42" s="328"/>
      <c r="C42" s="1867" t="s">
        <v>383</v>
      </c>
      <c r="D42" s="1869"/>
      <c r="E42" s="1253"/>
    </row>
    <row r="43" spans="1:6" ht="14.25" customHeight="1" x14ac:dyDescent="0.2">
      <c r="A43" s="328" t="s">
        <v>1440</v>
      </c>
      <c r="B43" s="328"/>
      <c r="C43" s="1260" t="s">
        <v>383</v>
      </c>
      <c r="D43" s="1869"/>
      <c r="E43" s="1253"/>
    </row>
    <row r="44" spans="1:6" ht="14.25" customHeight="1" x14ac:dyDescent="0.2">
      <c r="A44" s="328"/>
      <c r="B44" s="328"/>
      <c r="C44" s="1871" t="s">
        <v>1441</v>
      </c>
      <c r="D44" s="1869"/>
      <c r="E44" s="1253"/>
    </row>
    <row r="45" spans="1:6" ht="13.5" customHeight="1" x14ac:dyDescent="0.2">
      <c r="B45" s="322"/>
      <c r="C45" s="1261"/>
      <c r="D45" s="1261"/>
    </row>
    <row r="46" spans="1:6" x14ac:dyDescent="0.2">
      <c r="A46" s="1262" t="s">
        <v>1730</v>
      </c>
      <c r="C46" s="317"/>
      <c r="D46" s="317"/>
    </row>
    <row r="47" spans="1:6" s="322" customFormat="1" ht="11.25" customHeight="1" x14ac:dyDescent="0.2">
      <c r="A47" s="1263"/>
      <c r="B47" s="1264"/>
      <c r="C47" s="1264"/>
      <c r="D47" s="1264"/>
      <c r="E47" s="1264"/>
      <c r="F47" s="1264"/>
    </row>
    <row r="48" spans="1:6" s="322" customFormat="1" ht="6" customHeight="1" x14ac:dyDescent="0.2">
      <c r="A48" s="1265"/>
    </row>
    <row r="49" spans="1:5" s="1267" customFormat="1" ht="23.25" customHeight="1" x14ac:dyDescent="0.2">
      <c r="A49" s="1266">
        <v>5</v>
      </c>
      <c r="B49" s="2499" t="s">
        <v>1590</v>
      </c>
      <c r="C49" s="2499"/>
      <c r="D49" s="2499"/>
      <c r="E49" s="1366"/>
    </row>
    <row r="50" spans="1:5" s="1267" customFormat="1" ht="3.75" customHeight="1" x14ac:dyDescent="0.2">
      <c r="A50" s="1266"/>
      <c r="B50" s="1815"/>
      <c r="C50" s="1815"/>
      <c r="D50" s="1815"/>
      <c r="E50" s="1366"/>
    </row>
    <row r="51" spans="1:5" s="1267" customFormat="1" ht="20.25" customHeight="1" x14ac:dyDescent="0.2">
      <c r="A51" s="1268">
        <v>6</v>
      </c>
      <c r="B51" s="2495" t="s">
        <v>1551</v>
      </c>
      <c r="C51" s="2495"/>
      <c r="D51" s="2495"/>
    </row>
    <row r="52" spans="1:5" ht="14.25" customHeight="1" x14ac:dyDescent="0.2">
      <c r="A52" s="1268"/>
      <c r="B52" s="2495"/>
      <c r="C52" s="2495"/>
      <c r="D52" s="249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topLeftCell="A13" zoomScale="110" zoomScaleNormal="110" workbookViewId="0">
      <selection activeCell="I47" sqref="I47"/>
    </sheetView>
  </sheetViews>
  <sheetFormatPr defaultColWidth="9.140625" defaultRowHeight="12.75" x14ac:dyDescent="0.2"/>
  <cols>
    <col min="1" max="1" width="1.42578125" style="1267" customWidth="1"/>
    <col min="2" max="2" width="24.42578125" style="1324" customWidth="1"/>
    <col min="3" max="3" width="29.5703125" style="317" customWidth="1"/>
    <col min="4" max="4" width="9.28515625" style="317" customWidth="1"/>
    <col min="5" max="5" width="5.28515625" style="122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4" t="str">
        <f>'Single Audit Cover'!A7</f>
        <v>Ottawa ESD 141</v>
      </c>
      <c r="C1" s="2505"/>
      <c r="D1" s="2505"/>
      <c r="E1" s="2505"/>
      <c r="F1" s="2505"/>
      <c r="G1" s="2505"/>
      <c r="H1" s="2505"/>
      <c r="I1" s="2505"/>
      <c r="J1" s="1376"/>
    </row>
    <row r="2" spans="2:10" s="317" customFormat="1" ht="12.75" customHeight="1" x14ac:dyDescent="0.2">
      <c r="B2" s="2506">
        <f>'Single Audit Cover'!E7</f>
        <v>35050141002</v>
      </c>
      <c r="C2" s="2507"/>
      <c r="D2" s="2507"/>
      <c r="E2" s="2507"/>
      <c r="F2" s="2507"/>
      <c r="G2" s="2507"/>
      <c r="H2" s="2507"/>
      <c r="I2" s="2507"/>
      <c r="J2" s="1376"/>
    </row>
    <row r="3" spans="2:10" s="317" customFormat="1" ht="12.75" customHeight="1" x14ac:dyDescent="0.2">
      <c r="B3" s="2508" t="s">
        <v>1285</v>
      </c>
      <c r="C3" s="2509"/>
      <c r="D3" s="2509"/>
      <c r="E3" s="2509"/>
      <c r="F3" s="2509"/>
      <c r="G3" s="2509"/>
      <c r="H3" s="2509"/>
      <c r="I3" s="2509"/>
      <c r="J3" s="1377"/>
    </row>
    <row r="4" spans="2:10" s="317" customFormat="1" ht="12.75" customHeight="1" x14ac:dyDescent="0.2">
      <c r="B4" s="2508" t="str">
        <f>'Single Audit Cover'!A4</f>
        <v>Year Ending June 30, 2019</v>
      </c>
      <c r="C4" s="2509"/>
      <c r="D4" s="2509"/>
      <c r="E4" s="2509"/>
      <c r="F4" s="2509"/>
      <c r="G4" s="2509"/>
      <c r="H4" s="2509"/>
      <c r="I4" s="2509"/>
    </row>
    <row r="5" spans="2:10" s="317" customFormat="1" ht="6.2" customHeight="1" x14ac:dyDescent="0.2">
      <c r="B5" s="1378" t="s">
        <v>1169</v>
      </c>
      <c r="C5" s="1261"/>
      <c r="D5" s="1261"/>
      <c r="E5" s="1350"/>
      <c r="F5" s="322"/>
      <c r="G5" s="322"/>
      <c r="H5" s="322"/>
      <c r="I5" s="322"/>
    </row>
    <row r="6" spans="2:10" s="317" customFormat="1" ht="6.2" customHeight="1" x14ac:dyDescent="0.2">
      <c r="B6" s="1379"/>
      <c r="C6" s="1346"/>
      <c r="D6" s="1346"/>
      <c r="E6" s="1347"/>
      <c r="F6" s="1346"/>
      <c r="G6" s="1346"/>
      <c r="H6" s="1346"/>
      <c r="I6" s="1346"/>
    </row>
    <row r="7" spans="2:10" s="317" customFormat="1" ht="13.5" customHeight="1" x14ac:dyDescent="0.2">
      <c r="B7" s="2508" t="s">
        <v>1284</v>
      </c>
      <c r="C7" s="2509"/>
      <c r="D7" s="2509"/>
      <c r="E7" s="2509"/>
      <c r="F7" s="2509"/>
      <c r="G7" s="2509"/>
      <c r="H7" s="2509"/>
      <c r="I7" s="2509"/>
    </row>
    <row r="8" spans="2:10" s="317" customFormat="1" ht="6.2" customHeight="1" x14ac:dyDescent="0.2">
      <c r="B8" s="1380" t="s">
        <v>1169</v>
      </c>
      <c r="C8" s="1381"/>
      <c r="D8" s="1381"/>
      <c r="E8" s="1382"/>
      <c r="F8" s="1381"/>
      <c r="G8" s="1381"/>
      <c r="H8" s="1381"/>
      <c r="I8" s="1381"/>
    </row>
    <row r="9" spans="2:10" s="317" customFormat="1" ht="9" customHeight="1" x14ac:dyDescent="0.2">
      <c r="B9" s="1383"/>
      <c r="C9" s="322"/>
      <c r="D9" s="322"/>
      <c r="E9" s="1350"/>
      <c r="F9" s="322"/>
      <c r="G9" s="322"/>
      <c r="H9" s="322"/>
      <c r="I9" s="322"/>
    </row>
    <row r="10" spans="2:10" s="317" customFormat="1" ht="12.75" customHeight="1" x14ac:dyDescent="0.2">
      <c r="B10" s="1384" t="s">
        <v>1283</v>
      </c>
      <c r="C10" s="1385"/>
      <c r="D10" s="1385"/>
      <c r="E10" s="1225"/>
    </row>
    <row r="11" spans="2:10" s="317" customFormat="1" ht="13.5" customHeight="1" x14ac:dyDescent="0.2">
      <c r="B11" s="1316" t="s">
        <v>1282</v>
      </c>
      <c r="C11" s="2510" t="s">
        <v>1164</v>
      </c>
      <c r="D11" s="2510"/>
      <c r="E11" s="1386"/>
      <c r="F11" s="1386"/>
      <c r="G11" s="1386"/>
    </row>
    <row r="12" spans="2:10" s="317" customFormat="1" ht="11.45" customHeight="1" x14ac:dyDescent="0.2">
      <c r="B12" s="1324"/>
      <c r="C12" s="1387" t="s">
        <v>1442</v>
      </c>
      <c r="D12" s="1388"/>
      <c r="E12" s="1225"/>
    </row>
    <row r="13" spans="2:10" s="317" customFormat="1" ht="12.75" customHeight="1" x14ac:dyDescent="0.2">
      <c r="B13" s="1389"/>
      <c r="C13" s="1354"/>
      <c r="D13" s="1354"/>
      <c r="E13" s="1225"/>
    </row>
    <row r="14" spans="2:10" s="317" customFormat="1" ht="12.75" customHeight="1" x14ac:dyDescent="0.2">
      <c r="B14" s="1335" t="s">
        <v>1281</v>
      </c>
      <c r="C14" s="1249"/>
      <c r="E14" s="1225"/>
    </row>
    <row r="15" spans="2:10" s="317" customFormat="1" ht="13.5" customHeight="1" x14ac:dyDescent="0.2">
      <c r="B15" s="1390" t="s">
        <v>1278</v>
      </c>
      <c r="C15" s="1391"/>
      <c r="D15" s="1365"/>
      <c r="E15" s="1392"/>
      <c r="F15" s="1267" t="s">
        <v>885</v>
      </c>
      <c r="G15" s="1392" t="s">
        <v>2062</v>
      </c>
      <c r="H15" s="1267" t="s">
        <v>1276</v>
      </c>
      <c r="I15" s="1267"/>
    </row>
    <row r="16" spans="2:10" s="317" customFormat="1" ht="8.4499999999999993" customHeight="1" x14ac:dyDescent="0.2">
      <c r="B16" s="1335"/>
      <c r="C16" s="1249"/>
      <c r="E16" s="1350"/>
      <c r="F16" s="1267"/>
      <c r="G16" s="322"/>
      <c r="H16" s="1267"/>
      <c r="I16" s="1267"/>
    </row>
    <row r="17" spans="2:9" s="317" customFormat="1" ht="13.5" customHeight="1" x14ac:dyDescent="0.2">
      <c r="B17" s="1390" t="s">
        <v>1277</v>
      </c>
      <c r="C17" s="1391"/>
      <c r="D17" s="1365"/>
      <c r="E17" s="1393"/>
      <c r="F17" s="1224"/>
      <c r="G17" s="1393"/>
      <c r="H17" s="1267"/>
      <c r="I17" s="1267"/>
    </row>
    <row r="18" spans="2:9" s="317" customFormat="1" ht="12.75" customHeight="1" x14ac:dyDescent="0.2">
      <c r="B18" s="1390" t="s">
        <v>1443</v>
      </c>
      <c r="C18" s="1391"/>
      <c r="D18" s="1365"/>
      <c r="E18" s="1392" t="s">
        <v>2062</v>
      </c>
      <c r="F18" s="1267" t="s">
        <v>885</v>
      </c>
      <c r="G18" s="1392"/>
      <c r="H18" s="1267" t="s">
        <v>1276</v>
      </c>
      <c r="I18" s="1267"/>
    </row>
    <row r="19" spans="2:9" s="317" customFormat="1" ht="8.4499999999999993" customHeight="1" x14ac:dyDescent="0.2">
      <c r="B19" s="1335"/>
      <c r="C19" s="1249"/>
      <c r="E19" s="1350"/>
      <c r="F19" s="1267"/>
      <c r="G19" s="322"/>
      <c r="H19" s="1267"/>
      <c r="I19" s="1267"/>
    </row>
    <row r="20" spans="2:9" s="317" customFormat="1" ht="13.5" customHeight="1" x14ac:dyDescent="0.2">
      <c r="B20" s="1390" t="s">
        <v>1591</v>
      </c>
      <c r="C20" s="1391"/>
      <c r="D20" s="1365"/>
      <c r="E20" s="1392"/>
      <c r="F20" s="1267" t="s">
        <v>885</v>
      </c>
      <c r="G20" s="1392" t="s">
        <v>2062</v>
      </c>
      <c r="H20" s="1267" t="s">
        <v>99</v>
      </c>
      <c r="I20" s="1267"/>
    </row>
    <row r="21" spans="2:9" s="317" customFormat="1" ht="12.75" customHeight="1" x14ac:dyDescent="0.2">
      <c r="B21" s="1335"/>
      <c r="C21" s="1249"/>
      <c r="E21" s="1350"/>
      <c r="F21" s="1267"/>
      <c r="G21" s="322"/>
      <c r="H21" s="1267"/>
      <c r="I21" s="1267"/>
    </row>
    <row r="22" spans="2:9" s="317" customFormat="1" ht="12.75" customHeight="1" x14ac:dyDescent="0.2">
      <c r="B22" s="1384" t="s">
        <v>1280</v>
      </c>
      <c r="C22" s="1394"/>
      <c r="D22" s="1385"/>
      <c r="E22" s="1350"/>
      <c r="F22" s="1267"/>
      <c r="G22" s="322"/>
      <c r="H22" s="1267"/>
      <c r="I22" s="1267"/>
    </row>
    <row r="23" spans="2:9" s="317" customFormat="1" ht="12.75" customHeight="1" x14ac:dyDescent="0.2">
      <c r="B23" s="1335" t="s">
        <v>1279</v>
      </c>
      <c r="C23" s="1249"/>
      <c r="E23" s="1350"/>
      <c r="F23" s="1267"/>
      <c r="G23" s="322"/>
      <c r="H23" s="1267"/>
      <c r="I23" s="1267"/>
    </row>
    <row r="24" spans="2:9" s="317" customFormat="1" ht="13.5" customHeight="1" x14ac:dyDescent="0.2">
      <c r="B24" s="1390" t="s">
        <v>1278</v>
      </c>
      <c r="C24" s="1391"/>
      <c r="D24" s="1365"/>
      <c r="E24" s="1392"/>
      <c r="F24" s="1267" t="s">
        <v>885</v>
      </c>
      <c r="G24" s="1392" t="s">
        <v>2062</v>
      </c>
      <c r="H24" s="1267" t="s">
        <v>1276</v>
      </c>
      <c r="I24" s="1267"/>
    </row>
    <row r="25" spans="2:9" s="317" customFormat="1" ht="8.4499999999999993" customHeight="1" x14ac:dyDescent="0.2">
      <c r="B25" s="1335"/>
      <c r="C25" s="1249"/>
      <c r="E25" s="1350"/>
      <c r="F25" s="1267"/>
      <c r="G25" s="322"/>
      <c r="H25" s="1267"/>
      <c r="I25" s="1267"/>
    </row>
    <row r="26" spans="2:9" s="317" customFormat="1" ht="13.5" customHeight="1" x14ac:dyDescent="0.2">
      <c r="B26" s="1390" t="s">
        <v>1277</v>
      </c>
      <c r="C26" s="1391"/>
      <c r="D26" s="1365"/>
      <c r="E26" s="1393"/>
      <c r="F26" s="1224"/>
      <c r="G26" s="1393"/>
      <c r="H26" s="1267"/>
      <c r="I26" s="1267"/>
    </row>
    <row r="27" spans="2:9" s="317" customFormat="1" ht="12.75" customHeight="1" x14ac:dyDescent="0.2">
      <c r="B27" s="1390" t="s">
        <v>1443</v>
      </c>
      <c r="C27" s="1391"/>
      <c r="D27" s="1365"/>
      <c r="E27" s="1392"/>
      <c r="F27" s="1267" t="s">
        <v>885</v>
      </c>
      <c r="G27" s="1392" t="s">
        <v>2062</v>
      </c>
      <c r="H27" s="1267" t="s">
        <v>1276</v>
      </c>
      <c r="I27" s="1267"/>
    </row>
    <row r="28" spans="2:9" s="317" customFormat="1" ht="12.75" customHeight="1" x14ac:dyDescent="0.2">
      <c r="B28" s="1335"/>
      <c r="C28" s="1249"/>
      <c r="E28" s="1225"/>
    </row>
    <row r="29" spans="2:9" s="317" customFormat="1" ht="12.75" customHeight="1" x14ac:dyDescent="0.2">
      <c r="B29" s="1335" t="s">
        <v>1275</v>
      </c>
      <c r="C29" s="1249"/>
      <c r="D29" s="2511" t="s">
        <v>3888</v>
      </c>
      <c r="E29" s="2511"/>
      <c r="F29" s="2511"/>
      <c r="G29" s="2511"/>
      <c r="H29" s="2511"/>
      <c r="I29" s="2511"/>
    </row>
    <row r="30" spans="2:9" s="317" customFormat="1" x14ac:dyDescent="0.2">
      <c r="B30" s="1335"/>
      <c r="C30" s="322"/>
      <c r="D30" s="1387" t="s">
        <v>1745</v>
      </c>
      <c r="E30" s="1388"/>
      <c r="F30" s="1388"/>
      <c r="G30" s="1388"/>
      <c r="H30" s="1388"/>
      <c r="I30" s="1388"/>
    </row>
    <row r="31" spans="2:9" s="317" customFormat="1" ht="9.9499999999999993" customHeight="1" x14ac:dyDescent="0.2">
      <c r="B31" s="1335"/>
      <c r="E31" s="1225"/>
    </row>
    <row r="32" spans="2:9" s="317" customFormat="1" x14ac:dyDescent="0.2">
      <c r="B32" s="1335" t="s">
        <v>1274</v>
      </c>
      <c r="C32" s="1249"/>
      <c r="E32" s="1225"/>
    </row>
    <row r="33" spans="2:9" ht="13.5" customHeight="1" x14ac:dyDescent="0.2">
      <c r="B33" s="1335" t="s">
        <v>1552</v>
      </c>
      <c r="C33" s="1249"/>
      <c r="E33" s="1392" t="s">
        <v>3962</v>
      </c>
      <c r="F33" s="1267" t="s">
        <v>885</v>
      </c>
      <c r="G33" s="1392"/>
      <c r="H33" s="1267" t="s">
        <v>99</v>
      </c>
    </row>
    <row r="35" spans="2:9" x14ac:dyDescent="0.2">
      <c r="B35" s="1395" t="s">
        <v>1746</v>
      </c>
      <c r="C35" s="1396"/>
      <c r="D35" s="1234"/>
    </row>
    <row r="36" spans="2:9" ht="6" customHeight="1" x14ac:dyDescent="0.2">
      <c r="B36" s="1395"/>
      <c r="C36" s="1396"/>
      <c r="D36" s="1234"/>
    </row>
    <row r="37" spans="2:9" ht="17.25" customHeight="1" x14ac:dyDescent="0.2">
      <c r="B37" s="1397" t="s">
        <v>1747</v>
      </c>
      <c r="C37" s="2512" t="s">
        <v>1748</v>
      </c>
      <c r="D37" s="2513"/>
      <c r="E37" s="2513"/>
      <c r="F37" s="2514"/>
      <c r="G37" s="2512" t="s">
        <v>1592</v>
      </c>
      <c r="H37" s="2513"/>
      <c r="I37" s="2514"/>
    </row>
    <row r="38" spans="2:9" ht="16.5" customHeight="1" x14ac:dyDescent="0.2">
      <c r="B38" s="1398" t="s">
        <v>3846</v>
      </c>
      <c r="C38" s="2500" t="s">
        <v>3889</v>
      </c>
      <c r="D38" s="2501"/>
      <c r="E38" s="2501"/>
      <c r="F38" s="2502"/>
      <c r="G38" s="2515">
        <v>512944</v>
      </c>
      <c r="H38" s="2516"/>
      <c r="I38" s="2517"/>
    </row>
    <row r="39" spans="2:9" ht="16.5" customHeight="1" x14ac:dyDescent="0.2">
      <c r="B39" s="1398" t="s">
        <v>3846</v>
      </c>
      <c r="C39" s="2500" t="s">
        <v>3890</v>
      </c>
      <c r="D39" s="2501"/>
      <c r="E39" s="2501"/>
      <c r="F39" s="2502"/>
      <c r="G39" s="2503">
        <v>61281</v>
      </c>
      <c r="H39" s="2503"/>
      <c r="I39" s="2503"/>
    </row>
    <row r="40" spans="2:9" ht="16.5" customHeight="1" x14ac:dyDescent="0.2">
      <c r="B40" s="1398"/>
      <c r="C40" s="2500"/>
      <c r="D40" s="2501"/>
      <c r="E40" s="2501"/>
      <c r="F40" s="2502"/>
      <c r="G40" s="2503"/>
      <c r="H40" s="2503"/>
      <c r="I40" s="2503"/>
    </row>
    <row r="41" spans="2:9" ht="16.5" customHeight="1" x14ac:dyDescent="0.2">
      <c r="B41" s="1398"/>
      <c r="C41" s="2500"/>
      <c r="D41" s="2501"/>
      <c r="E41" s="2501"/>
      <c r="F41" s="2502"/>
      <c r="G41" s="2503"/>
      <c r="H41" s="2503"/>
      <c r="I41" s="2503"/>
    </row>
    <row r="42" spans="2:9" ht="16.5" customHeight="1" x14ac:dyDescent="0.2">
      <c r="B42" s="1398"/>
      <c r="C42" s="2500"/>
      <c r="D42" s="2501"/>
      <c r="E42" s="2501"/>
      <c r="F42" s="2502"/>
      <c r="G42" s="2503"/>
      <c r="H42" s="2503"/>
      <c r="I42" s="2503"/>
    </row>
    <row r="43" spans="2:9" ht="16.5" customHeight="1" x14ac:dyDescent="0.2">
      <c r="B43" s="1398"/>
      <c r="C43" s="2518" t="s">
        <v>1593</v>
      </c>
      <c r="D43" s="2519"/>
      <c r="E43" s="2519"/>
      <c r="F43" s="2520"/>
      <c r="G43" s="2521">
        <f>SUM(G38:I42)</f>
        <v>574225</v>
      </c>
      <c r="H43" s="2521"/>
      <c r="I43" s="2521"/>
    </row>
    <row r="44" spans="2:9" ht="12.75" customHeight="1" x14ac:dyDescent="0.2"/>
    <row r="45" spans="2:9" ht="12.75" customHeight="1" x14ac:dyDescent="0.2">
      <c r="B45" s="1389" t="s">
        <v>1838</v>
      </c>
      <c r="D45" s="2522">
        <v>1783554</v>
      </c>
      <c r="E45" s="2523"/>
    </row>
    <row r="46" spans="2:9" ht="5.25" customHeight="1" x14ac:dyDescent="0.2">
      <c r="B46" s="1399"/>
      <c r="D46" s="1400"/>
      <c r="E46" s="1401"/>
    </row>
    <row r="47" spans="2:9" ht="12.75" customHeight="1" x14ac:dyDescent="0.2">
      <c r="B47" s="1267" t="s">
        <v>1594</v>
      </c>
      <c r="C47" s="1267"/>
      <c r="D47" s="1402">
        <f>+G43/D45</f>
        <v>0.32195548887221803</v>
      </c>
      <c r="E47" s="1403"/>
      <c r="F47" s="1404"/>
      <c r="I47" s="1405"/>
    </row>
    <row r="48" spans="2:9" ht="9.9499999999999993" customHeight="1" x14ac:dyDescent="0.2"/>
    <row r="49" spans="1:9" x14ac:dyDescent="0.2">
      <c r="B49" s="1335" t="s">
        <v>1273</v>
      </c>
      <c r="C49" s="1249"/>
      <c r="D49" s="1249"/>
      <c r="E49" s="2524">
        <v>750000</v>
      </c>
      <c r="F49" s="2524"/>
      <c r="G49" s="2524"/>
      <c r="H49" s="322"/>
    </row>
    <row r="51" spans="1:9" ht="13.5" customHeight="1" x14ac:dyDescent="0.2">
      <c r="B51" s="1335" t="s">
        <v>1272</v>
      </c>
      <c r="C51" s="1249"/>
      <c r="E51" s="1392" t="s">
        <v>2062</v>
      </c>
      <c r="F51" s="1267" t="s">
        <v>885</v>
      </c>
      <c r="G51" s="1392"/>
      <c r="H51" s="1267" t="s">
        <v>99</v>
      </c>
    </row>
    <row r="52" spans="1:9" x14ac:dyDescent="0.2">
      <c r="B52" s="1327"/>
      <c r="C52" s="1264"/>
      <c r="D52" s="1406"/>
      <c r="E52" s="1407"/>
      <c r="F52" s="1408"/>
      <c r="G52" s="1408"/>
      <c r="H52" s="1408"/>
      <c r="I52" s="1408"/>
    </row>
    <row r="53" spans="1:9" ht="6" customHeight="1" x14ac:dyDescent="0.2">
      <c r="B53" s="1383"/>
      <c r="C53" s="322"/>
      <c r="D53" s="1409"/>
      <c r="E53" s="1410"/>
      <c r="F53" s="1411"/>
      <c r="G53" s="1411"/>
      <c r="H53" s="1411"/>
      <c r="I53" s="1411"/>
    </row>
    <row r="54" spans="1:9" s="1415" customFormat="1" ht="14.25" x14ac:dyDescent="0.2">
      <c r="A54" s="1412"/>
      <c r="B54" s="1413" t="s">
        <v>1749</v>
      </c>
      <c r="C54" s="1414"/>
      <c r="D54" s="1414"/>
    </row>
    <row r="55" spans="1:9" s="1415" customFormat="1" ht="12.75" customHeight="1" x14ac:dyDescent="0.2">
      <c r="A55" s="1412"/>
      <c r="B55" s="1416" t="s">
        <v>1595</v>
      </c>
      <c r="C55" s="1412"/>
      <c r="D55" s="1412"/>
    </row>
    <row r="56" spans="1:9" s="1415" customFormat="1" ht="12.75" customHeight="1" x14ac:dyDescent="0.2">
      <c r="A56" s="1412"/>
      <c r="B56" s="1416" t="s">
        <v>1596</v>
      </c>
      <c r="C56" s="1412"/>
      <c r="D56" s="1412"/>
    </row>
    <row r="57" spans="1:9" s="1415" customFormat="1" ht="3.95" customHeight="1" x14ac:dyDescent="0.2">
      <c r="A57" s="1412"/>
      <c r="B57" s="1416"/>
      <c r="C57" s="1412"/>
      <c r="D57" s="1412"/>
    </row>
    <row r="58" spans="1:9" s="1415" customFormat="1" ht="13.5" customHeight="1" x14ac:dyDescent="0.2">
      <c r="A58" s="1412"/>
      <c r="B58" s="1417" t="s">
        <v>1750</v>
      </c>
      <c r="C58" s="1418"/>
      <c r="D58" s="1418"/>
    </row>
    <row r="59" spans="1:9" s="1415" customFormat="1" ht="3.95" customHeight="1" x14ac:dyDescent="0.2">
      <c r="A59" s="1412"/>
      <c r="B59" s="1417"/>
      <c r="C59" s="1418"/>
      <c r="D59" s="1418"/>
    </row>
    <row r="60" spans="1:9" s="1415" customFormat="1" ht="13.5" customHeight="1" x14ac:dyDescent="0.2">
      <c r="A60" s="1412"/>
      <c r="B60" s="1417" t="s">
        <v>1751</v>
      </c>
      <c r="C60" s="1418"/>
      <c r="D60" s="1418"/>
    </row>
    <row r="61" spans="1:9" s="1415" customFormat="1" ht="3.95" customHeight="1" x14ac:dyDescent="0.2">
      <c r="A61" s="1412"/>
      <c r="B61" s="1417"/>
      <c r="C61" s="1418"/>
      <c r="D61" s="1418"/>
    </row>
    <row r="62" spans="1:9" s="1415" customFormat="1" ht="12.75" customHeight="1" x14ac:dyDescent="0.2">
      <c r="A62" s="1412"/>
      <c r="B62" s="1417" t="s">
        <v>1752</v>
      </c>
      <c r="C62" s="1418"/>
      <c r="D62" s="1418"/>
    </row>
    <row r="63" spans="1:9" s="1415" customFormat="1" ht="13.5" customHeight="1" x14ac:dyDescent="0.2">
      <c r="A63" s="1412"/>
      <c r="B63" s="1416" t="s">
        <v>1597</v>
      </c>
      <c r="C63" s="1412"/>
      <c r="D63" s="141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fitToWidth="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F172" sqref="F17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5" customWidth="1"/>
    <col min="8" max="8" width="10.5703125" style="317" customWidth="1"/>
    <col min="9" max="9" width="3.42578125" style="122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4" t="str">
        <f>'Single Audit Cover'!A7</f>
        <v>Ottawa ESD 141</v>
      </c>
      <c r="C1" s="2504"/>
      <c r="D1" s="2504"/>
      <c r="E1" s="2504"/>
      <c r="F1" s="2504"/>
      <c r="G1" s="2504"/>
      <c r="H1" s="2504"/>
      <c r="I1" s="2504"/>
      <c r="J1" s="2504"/>
      <c r="K1" s="2504"/>
      <c r="L1" s="1341"/>
      <c r="M1" s="1341"/>
    </row>
    <row r="2" spans="1:13" ht="12" customHeight="1" x14ac:dyDescent="0.2">
      <c r="B2" s="2506">
        <f>'Single Audit Cover'!E7</f>
        <v>35050141002</v>
      </c>
      <c r="C2" s="2506"/>
      <c r="D2" s="2506"/>
      <c r="E2" s="2506"/>
      <c r="F2" s="2506"/>
      <c r="G2" s="2506"/>
      <c r="H2" s="2506"/>
      <c r="I2" s="2506"/>
      <c r="J2" s="2506"/>
      <c r="K2" s="2506"/>
      <c r="L2" s="1342"/>
      <c r="M2" s="1343"/>
    </row>
    <row r="3" spans="1:13" ht="10.35" customHeight="1" x14ac:dyDescent="0.2">
      <c r="B3" s="2527" t="s">
        <v>1285</v>
      </c>
      <c r="C3" s="2527"/>
      <c r="D3" s="2527"/>
      <c r="E3" s="2527"/>
      <c r="F3" s="2527"/>
      <c r="G3" s="2527"/>
      <c r="H3" s="2527"/>
      <c r="I3" s="2527"/>
      <c r="J3" s="2527"/>
      <c r="K3" s="2527"/>
      <c r="L3" s="1344"/>
      <c r="M3" s="1344"/>
    </row>
    <row r="4" spans="1:13" ht="14.25" customHeight="1" x14ac:dyDescent="0.2">
      <c r="B4" s="2528" t="str">
        <f>'Single Audit Cover'!A4</f>
        <v>Year Ending June 30, 2019</v>
      </c>
      <c r="C4" s="2528"/>
      <c r="D4" s="2528"/>
      <c r="E4" s="2528"/>
      <c r="F4" s="2528"/>
      <c r="G4" s="2528"/>
      <c r="H4" s="2528"/>
      <c r="I4" s="2528"/>
      <c r="J4" s="2528"/>
      <c r="K4" s="2528"/>
      <c r="L4" s="313"/>
      <c r="M4" s="313"/>
    </row>
    <row r="5" spans="1:13" ht="7.5" customHeight="1" x14ac:dyDescent="0.2">
      <c r="B5" s="1227" t="s">
        <v>1169</v>
      </c>
      <c r="C5" s="1227"/>
    </row>
    <row r="6" spans="1:13" ht="7.5" customHeight="1" x14ac:dyDescent="0.2">
      <c r="B6" s="1345"/>
      <c r="C6" s="1345"/>
      <c r="D6" s="1346"/>
      <c r="E6" s="1346"/>
      <c r="F6" s="1346"/>
      <c r="G6" s="1347"/>
      <c r="H6" s="1346"/>
      <c r="I6" s="1347"/>
      <c r="J6" s="1346"/>
      <c r="K6" s="1346"/>
      <c r="L6" s="1348"/>
    </row>
    <row r="7" spans="1:13" ht="12.75" customHeight="1" x14ac:dyDescent="0.2">
      <c r="A7" s="1249"/>
      <c r="B7" s="2528" t="s">
        <v>1296</v>
      </c>
      <c r="C7" s="2528"/>
      <c r="D7" s="2529"/>
      <c r="E7" s="2529"/>
      <c r="F7" s="2529"/>
      <c r="G7" s="2529"/>
      <c r="H7" s="2529"/>
      <c r="I7" s="2529"/>
      <c r="J7" s="2529"/>
      <c r="K7" s="2529"/>
      <c r="L7" s="1349"/>
    </row>
    <row r="8" spans="1:13" ht="7.5" customHeight="1" x14ac:dyDescent="0.2">
      <c r="B8" s="322"/>
      <c r="C8" s="322"/>
      <c r="D8" s="322"/>
      <c r="E8" s="322"/>
      <c r="F8" s="322"/>
      <c r="G8" s="1350"/>
      <c r="H8" s="322"/>
      <c r="I8" s="1350"/>
      <c r="J8" s="322"/>
      <c r="K8" s="322"/>
      <c r="L8" s="1348"/>
    </row>
    <row r="9" spans="1:13" ht="9.6" customHeight="1" x14ac:dyDescent="0.2">
      <c r="B9" s="1346"/>
      <c r="C9" s="1346"/>
      <c r="D9" s="1346"/>
      <c r="E9" s="1346"/>
      <c r="F9" s="1346"/>
      <c r="G9" s="1347"/>
      <c r="H9" s="1346"/>
      <c r="I9" s="1347"/>
      <c r="J9" s="1346"/>
      <c r="K9" s="1346"/>
      <c r="L9" s="1348"/>
    </row>
    <row r="10" spans="1:13" ht="16.5" customHeight="1" x14ac:dyDescent="0.2">
      <c r="B10" s="1351" t="s">
        <v>1739</v>
      </c>
      <c r="C10" s="1352" t="s">
        <v>1988</v>
      </c>
      <c r="D10" s="1353">
        <v>1</v>
      </c>
      <c r="E10" s="322"/>
      <c r="F10" s="1354" t="s">
        <v>1295</v>
      </c>
      <c r="G10" s="1355"/>
      <c r="H10" s="1356" t="s">
        <v>1294</v>
      </c>
      <c r="I10" s="1355" t="s">
        <v>2062</v>
      </c>
      <c r="J10" s="1357" t="s">
        <v>1293</v>
      </c>
      <c r="K10" s="322"/>
      <c r="L10" s="1348"/>
    </row>
    <row r="11" spans="1:13" ht="13.5" customHeight="1" x14ac:dyDescent="0.2">
      <c r="B11" s="322"/>
      <c r="C11" s="322"/>
      <c r="D11" s="322"/>
      <c r="E11" s="322"/>
      <c r="F11" s="322"/>
      <c r="G11" s="1350"/>
      <c r="H11" s="322"/>
      <c r="I11" s="1358" t="s">
        <v>1292</v>
      </c>
      <c r="J11" s="322"/>
      <c r="K11" s="1359">
        <v>2009</v>
      </c>
      <c r="L11" s="1348"/>
    </row>
    <row r="12" spans="1:13" ht="13.5" customHeight="1" x14ac:dyDescent="0.2">
      <c r="B12" s="1261"/>
      <c r="C12" s="1261"/>
      <c r="D12" s="322"/>
      <c r="E12" s="322"/>
      <c r="F12" s="322"/>
      <c r="G12" s="1350"/>
      <c r="H12" s="322"/>
      <c r="I12" s="1350"/>
      <c r="J12" s="322"/>
      <c r="L12" s="1348"/>
    </row>
    <row r="13" spans="1:13" s="1249" customFormat="1" ht="13.5" customHeight="1" x14ac:dyDescent="0.2">
      <c r="B13" s="1360" t="s">
        <v>1291</v>
      </c>
      <c r="C13" s="1360"/>
      <c r="D13" s="1361"/>
      <c r="E13" s="1361"/>
      <c r="F13" s="1361"/>
      <c r="G13" s="1362"/>
      <c r="H13" s="1361"/>
      <c r="I13" s="1362"/>
      <c r="J13" s="1361"/>
      <c r="K13" s="1361"/>
      <c r="L13" s="1363"/>
    </row>
    <row r="14" spans="1:13" ht="45.75" customHeight="1" x14ac:dyDescent="0.2">
      <c r="B14" s="2526" t="s">
        <v>3891</v>
      </c>
      <c r="C14" s="2526"/>
      <c r="D14" s="2526"/>
      <c r="E14" s="2526"/>
      <c r="F14" s="2526"/>
      <c r="G14" s="2526"/>
      <c r="H14" s="2526"/>
      <c r="I14" s="2526"/>
      <c r="J14" s="2526"/>
      <c r="K14" s="2526"/>
      <c r="L14" s="1364"/>
    </row>
    <row r="15" spans="1:13" ht="4.5" customHeight="1" x14ac:dyDescent="0.2">
      <c r="B15" s="1365"/>
      <c r="C15" s="1365"/>
      <c r="D15" s="1366"/>
      <c r="E15" s="1366"/>
      <c r="F15" s="1366"/>
      <c r="H15" s="1366"/>
      <c r="J15" s="1366"/>
      <c r="K15" s="1366"/>
      <c r="L15" s="1364"/>
    </row>
    <row r="16" spans="1:13" s="1249" customFormat="1" ht="13.5" customHeight="1" x14ac:dyDescent="0.2">
      <c r="B16" s="1360" t="s">
        <v>1290</v>
      </c>
      <c r="C16" s="1360"/>
      <c r="D16" s="1361"/>
      <c r="E16" s="1361"/>
      <c r="F16" s="1361"/>
      <c r="G16" s="1362"/>
      <c r="H16" s="1361"/>
      <c r="I16" s="1362"/>
      <c r="J16" s="1361"/>
      <c r="K16" s="1361"/>
      <c r="L16" s="1363"/>
    </row>
    <row r="17" spans="2:12" ht="45.75" customHeight="1" x14ac:dyDescent="0.2">
      <c r="B17" s="2526" t="s">
        <v>3894</v>
      </c>
      <c r="C17" s="2526"/>
      <c r="D17" s="2526"/>
      <c r="E17" s="2526"/>
      <c r="F17" s="2526"/>
      <c r="G17" s="2526"/>
      <c r="H17" s="2526"/>
      <c r="I17" s="2526"/>
      <c r="J17" s="2526"/>
      <c r="K17" s="2526"/>
      <c r="L17" s="1348"/>
    </row>
    <row r="18" spans="2:12" ht="4.5" customHeight="1" x14ac:dyDescent="0.2">
      <c r="B18" s="1365"/>
      <c r="C18" s="1365"/>
      <c r="L18" s="1348"/>
    </row>
    <row r="19" spans="2:12" s="1249" customFormat="1" ht="13.5" customHeight="1" x14ac:dyDescent="0.2">
      <c r="B19" s="1360" t="s">
        <v>1740</v>
      </c>
      <c r="C19" s="1360"/>
      <c r="D19" s="1361"/>
      <c r="E19" s="1361"/>
      <c r="F19" s="1361"/>
      <c r="G19" s="1362"/>
      <c r="H19" s="1361"/>
      <c r="I19" s="1362"/>
      <c r="J19" s="1361"/>
      <c r="K19" s="1361"/>
      <c r="L19" s="1363"/>
    </row>
    <row r="20" spans="2:12" ht="45.75" customHeight="1" x14ac:dyDescent="0.2">
      <c r="B20" s="2530" t="s">
        <v>3892</v>
      </c>
      <c r="C20" s="2530"/>
      <c r="D20" s="2526"/>
      <c r="E20" s="2526"/>
      <c r="F20" s="2526"/>
      <c r="G20" s="2526"/>
      <c r="H20" s="2526"/>
      <c r="I20" s="2526"/>
      <c r="J20" s="2526"/>
      <c r="K20" s="2526"/>
      <c r="L20" s="1348"/>
    </row>
    <row r="21" spans="2:12" ht="4.5" customHeight="1" x14ac:dyDescent="0.2">
      <c r="B21" s="1367"/>
      <c r="C21" s="1367"/>
      <c r="L21" s="1348"/>
    </row>
    <row r="22" spans="2:12" ht="13.5" customHeight="1" x14ac:dyDescent="0.2">
      <c r="B22" s="1360" t="s">
        <v>1289</v>
      </c>
      <c r="C22" s="1360"/>
      <c r="D22" s="1346"/>
      <c r="E22" s="1346"/>
      <c r="F22" s="1346"/>
      <c r="G22" s="1347"/>
      <c r="H22" s="1346"/>
      <c r="I22" s="1347"/>
      <c r="J22" s="1346"/>
      <c r="K22" s="1346"/>
      <c r="L22" s="1348"/>
    </row>
    <row r="23" spans="2:12" ht="45" customHeight="1" x14ac:dyDescent="0.2">
      <c r="B23" s="2526" t="s">
        <v>3893</v>
      </c>
      <c r="C23" s="2526"/>
      <c r="D23" s="2526"/>
      <c r="E23" s="2526"/>
      <c r="F23" s="2526"/>
      <c r="G23" s="2526"/>
      <c r="H23" s="2526"/>
      <c r="I23" s="2526"/>
      <c r="J23" s="2526"/>
      <c r="K23" s="2526"/>
      <c r="L23" s="1348"/>
    </row>
    <row r="24" spans="2:12" ht="4.5" customHeight="1" x14ac:dyDescent="0.2">
      <c r="B24" s="1365"/>
      <c r="C24" s="1365"/>
      <c r="L24" s="1348"/>
    </row>
    <row r="25" spans="2:12" ht="13.5" customHeight="1" x14ac:dyDescent="0.2">
      <c r="B25" s="1360" t="s">
        <v>1288</v>
      </c>
      <c r="C25" s="1360"/>
      <c r="D25" s="1346"/>
      <c r="E25" s="1346"/>
      <c r="F25" s="1346"/>
      <c r="G25" s="1347"/>
      <c r="H25" s="1346"/>
      <c r="I25" s="1347"/>
      <c r="J25" s="1346"/>
      <c r="K25" s="1346"/>
      <c r="L25" s="1348"/>
    </row>
    <row r="26" spans="2:12" ht="45.75" customHeight="1" x14ac:dyDescent="0.2">
      <c r="B26" s="2526" t="s">
        <v>3895</v>
      </c>
      <c r="C26" s="2526"/>
      <c r="D26" s="2526"/>
      <c r="E26" s="2526"/>
      <c r="F26" s="2526"/>
      <c r="G26" s="2526"/>
      <c r="H26" s="2526"/>
      <c r="I26" s="2526"/>
      <c r="J26" s="2526"/>
      <c r="K26" s="2526"/>
      <c r="L26" s="1348"/>
    </row>
    <row r="27" spans="2:12" ht="4.5" customHeight="1" x14ac:dyDescent="0.2">
      <c r="B27" s="1365"/>
      <c r="C27" s="1365"/>
      <c r="L27" s="1348"/>
    </row>
    <row r="28" spans="2:12" ht="13.5" customHeight="1" x14ac:dyDescent="0.2">
      <c r="B28" s="1368" t="s">
        <v>1287</v>
      </c>
      <c r="C28" s="1368"/>
      <c r="D28" s="1346"/>
      <c r="E28" s="1346"/>
      <c r="F28" s="1346"/>
      <c r="G28" s="1347"/>
      <c r="H28" s="1346"/>
      <c r="I28" s="1347"/>
      <c r="J28" s="1346"/>
      <c r="K28" s="1346"/>
      <c r="L28" s="1348"/>
    </row>
    <row r="29" spans="2:12" ht="45.75" customHeight="1" x14ac:dyDescent="0.2">
      <c r="B29" s="2525" t="s">
        <v>3896</v>
      </c>
      <c r="C29" s="2525"/>
      <c r="D29" s="2526"/>
      <c r="E29" s="2526"/>
      <c r="F29" s="2526"/>
      <c r="G29" s="2526"/>
      <c r="H29" s="2526"/>
      <c r="I29" s="2526"/>
      <c r="J29" s="2526"/>
      <c r="K29" s="2526"/>
      <c r="L29" s="1348"/>
    </row>
    <row r="30" spans="2:12" ht="4.5" customHeight="1" x14ac:dyDescent="0.2">
      <c r="B30" s="1369"/>
      <c r="C30" s="1369"/>
      <c r="D30" s="322"/>
      <c r="E30" s="322"/>
      <c r="F30" s="322"/>
      <c r="G30" s="1350"/>
      <c r="H30" s="322"/>
      <c r="I30" s="1350"/>
      <c r="J30" s="322"/>
      <c r="K30" s="322"/>
      <c r="L30" s="1348"/>
    </row>
    <row r="31" spans="2:12" s="322" customFormat="1" ht="13.5" customHeight="1" x14ac:dyDescent="0.2">
      <c r="B31" s="1370" t="s">
        <v>1741</v>
      </c>
      <c r="C31" s="1370"/>
      <c r="D31" s="1345"/>
      <c r="E31" s="1346"/>
      <c r="F31" s="1346"/>
      <c r="G31" s="1347"/>
      <c r="H31" s="1346"/>
      <c r="I31" s="1347"/>
      <c r="J31" s="1346"/>
      <c r="K31" s="1346"/>
      <c r="L31" s="1348"/>
    </row>
    <row r="32" spans="2:12" s="322" customFormat="1" ht="44.25" customHeight="1" x14ac:dyDescent="0.2">
      <c r="B32" s="2525" t="s">
        <v>3897</v>
      </c>
      <c r="C32" s="2525"/>
      <c r="D32" s="2526"/>
      <c r="E32" s="2526"/>
      <c r="F32" s="2526"/>
      <c r="G32" s="2526"/>
      <c r="H32" s="2526"/>
      <c r="I32" s="2526"/>
      <c r="J32" s="2526"/>
      <c r="K32" s="2526"/>
      <c r="L32" s="1348"/>
    </row>
    <row r="33" spans="1:13" s="322" customFormat="1" ht="4.5" customHeight="1" x14ac:dyDescent="0.2">
      <c r="B33" s="1369"/>
      <c r="C33" s="1369"/>
      <c r="G33" s="1350"/>
      <c r="I33" s="1350"/>
      <c r="L33" s="1348"/>
    </row>
    <row r="34" spans="1:13" s="322" customFormat="1" x14ac:dyDescent="0.2">
      <c r="A34" s="1264"/>
      <c r="B34" s="1371"/>
      <c r="C34" s="1371"/>
      <c r="D34" s="1371"/>
      <c r="E34" s="1371"/>
      <c r="F34" s="1371"/>
      <c r="G34" s="1372"/>
      <c r="H34" s="1371"/>
      <c r="I34" s="1372"/>
      <c r="J34" s="1371"/>
      <c r="K34" s="1371"/>
      <c r="L34" s="1348"/>
    </row>
    <row r="35" spans="1:13" ht="11.85" customHeight="1" x14ac:dyDescent="0.2">
      <c r="B35" s="1373" t="s">
        <v>1742</v>
      </c>
      <c r="C35" s="1373"/>
      <c r="D35" s="322"/>
      <c r="E35" s="322"/>
      <c r="F35" s="322"/>
      <c r="L35" s="1348"/>
    </row>
    <row r="36" spans="1:13" ht="9.6" customHeight="1" x14ac:dyDescent="0.2">
      <c r="B36" s="1267" t="s">
        <v>1839</v>
      </c>
      <c r="C36" s="1267"/>
      <c r="L36" s="1348"/>
    </row>
    <row r="37" spans="1:13" ht="9.6" customHeight="1" x14ac:dyDescent="0.2">
      <c r="B37" s="1267" t="s">
        <v>1840</v>
      </c>
      <c r="C37" s="1267"/>
    </row>
    <row r="38" spans="1:13" ht="11.85" customHeight="1" x14ac:dyDescent="0.2">
      <c r="B38" s="1374" t="s">
        <v>1743</v>
      </c>
      <c r="C38" s="1374"/>
    </row>
    <row r="39" spans="1:13" ht="9.6" customHeight="1" x14ac:dyDescent="0.2">
      <c r="B39" s="1267" t="s">
        <v>1286</v>
      </c>
      <c r="C39" s="1267"/>
      <c r="M39" s="1375"/>
    </row>
    <row r="40" spans="1:13" ht="12.6" customHeight="1" x14ac:dyDescent="0.2">
      <c r="B40" s="1374" t="s">
        <v>1744</v>
      </c>
      <c r="C40" s="1374"/>
      <c r="M40" s="1375"/>
    </row>
    <row r="41" spans="1:13" ht="9.6" customHeight="1" x14ac:dyDescent="0.2">
      <c r="B41" s="1267"/>
      <c r="C41" s="1267"/>
      <c r="M41" s="137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F172" sqref="F17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5" customWidth="1"/>
    <col min="8" max="8" width="10.5703125" style="317" customWidth="1"/>
    <col min="9" max="9" width="3.42578125" style="122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1" t="str">
        <f>'Single Audit Cover'!A7</f>
        <v>Ottawa ESD 141</v>
      </c>
      <c r="C1" s="2531"/>
      <c r="D1" s="2531"/>
      <c r="E1" s="2531"/>
      <c r="F1" s="2531"/>
      <c r="G1" s="2531"/>
      <c r="H1" s="2531"/>
      <c r="I1" s="2531"/>
      <c r="J1" s="2531"/>
      <c r="K1" s="2531"/>
      <c r="L1" s="1419"/>
    </row>
    <row r="2" spans="1:12" ht="12.75" customHeight="1" x14ac:dyDescent="0.2">
      <c r="B2" s="2532">
        <f>'Single Audit Cover'!E7</f>
        <v>35050141002</v>
      </c>
      <c r="C2" s="2532"/>
      <c r="D2" s="2532"/>
      <c r="E2" s="2532"/>
      <c r="F2" s="2532"/>
      <c r="G2" s="2532"/>
      <c r="H2" s="2532"/>
      <c r="I2" s="2532"/>
      <c r="J2" s="2532"/>
      <c r="K2" s="2532"/>
      <c r="L2" s="1420"/>
    </row>
    <row r="3" spans="1:12" ht="12.75" customHeight="1" x14ac:dyDescent="0.2">
      <c r="B3" s="2527" t="s">
        <v>1285</v>
      </c>
      <c r="C3" s="2527"/>
      <c r="D3" s="2527"/>
      <c r="E3" s="2527"/>
      <c r="F3" s="2527"/>
      <c r="G3" s="2527"/>
      <c r="H3" s="2527"/>
      <c r="I3" s="2527"/>
      <c r="J3" s="2527"/>
      <c r="K3" s="2527"/>
      <c r="L3" s="1344"/>
    </row>
    <row r="4" spans="1:12" ht="12.75" customHeight="1" x14ac:dyDescent="0.2">
      <c r="B4" s="2527" t="str">
        <f>'Single Audit Cover'!A4</f>
        <v>Year Ending June 30, 2019</v>
      </c>
      <c r="C4" s="2527"/>
      <c r="D4" s="2527"/>
      <c r="E4" s="2527"/>
      <c r="F4" s="2527"/>
      <c r="G4" s="2527"/>
      <c r="H4" s="2527"/>
      <c r="I4" s="2527"/>
      <c r="J4" s="2527"/>
      <c r="K4" s="2527"/>
      <c r="L4" s="1344"/>
    </row>
    <row r="5" spans="1:12" ht="5.25" customHeight="1" x14ac:dyDescent="0.2">
      <c r="B5" s="1227" t="s">
        <v>1169</v>
      </c>
      <c r="C5" s="1227"/>
      <c r="L5" s="322"/>
    </row>
    <row r="6" spans="1:12" ht="30.75" customHeight="1" x14ac:dyDescent="0.2">
      <c r="A6" s="322"/>
      <c r="B6" s="2533" t="s">
        <v>1308</v>
      </c>
      <c r="C6" s="2533"/>
      <c r="D6" s="2533"/>
      <c r="E6" s="2533"/>
      <c r="F6" s="2533"/>
      <c r="G6" s="2533"/>
      <c r="H6" s="2533"/>
      <c r="I6" s="2533"/>
      <c r="J6" s="2533"/>
      <c r="K6" s="2533"/>
      <c r="L6" s="322"/>
    </row>
    <row r="7" spans="1:12" ht="4.5" customHeight="1" x14ac:dyDescent="0.2">
      <c r="B7" s="1346"/>
      <c r="C7" s="1346"/>
      <c r="D7" s="1346"/>
      <c r="E7" s="1346"/>
      <c r="F7" s="1346"/>
      <c r="G7" s="1347"/>
      <c r="H7" s="1346"/>
      <c r="I7" s="1347"/>
      <c r="J7" s="1346"/>
      <c r="K7" s="1346"/>
      <c r="L7" s="322"/>
    </row>
    <row r="8" spans="1:12" ht="13.5" customHeight="1" x14ac:dyDescent="0.2">
      <c r="B8" s="1354" t="s">
        <v>1753</v>
      </c>
      <c r="C8" s="1421" t="s">
        <v>1988</v>
      </c>
      <c r="D8" s="1422" t="s">
        <v>3852</v>
      </c>
      <c r="E8" s="322"/>
      <c r="F8" s="1351" t="s">
        <v>1295</v>
      </c>
      <c r="G8" s="1423"/>
      <c r="H8" s="1424" t="s">
        <v>1307</v>
      </c>
      <c r="I8" s="1423"/>
      <c r="J8" s="1425" t="s">
        <v>1306</v>
      </c>
      <c r="L8" s="322"/>
    </row>
    <row r="9" spans="1:12" ht="13.5" customHeight="1" x14ac:dyDescent="0.2">
      <c r="D9" s="322"/>
      <c r="E9" s="322"/>
      <c r="F9" s="322"/>
      <c r="G9" s="1350"/>
      <c r="H9" s="322"/>
      <c r="I9" s="1426" t="s">
        <v>1292</v>
      </c>
      <c r="J9" s="322"/>
      <c r="K9" s="1427"/>
      <c r="L9" s="322"/>
    </row>
    <row r="10" spans="1:12" ht="4.5" customHeight="1" x14ac:dyDescent="0.2">
      <c r="B10" s="1428"/>
      <c r="C10" s="1428"/>
      <c r="D10" s="1381"/>
      <c r="E10" s="1381"/>
      <c r="F10" s="1381"/>
      <c r="G10" s="1382"/>
      <c r="H10" s="1381"/>
      <c r="I10" s="1382"/>
      <c r="J10" s="1381"/>
      <c r="K10" s="1381"/>
      <c r="L10" s="322"/>
    </row>
    <row r="11" spans="1:12" ht="5.25" customHeight="1" x14ac:dyDescent="0.2">
      <c r="B11" s="322"/>
      <c r="C11" s="322"/>
      <c r="D11" s="304"/>
      <c r="E11" s="322"/>
      <c r="F11" s="322"/>
      <c r="G11" s="1350"/>
      <c r="H11" s="322"/>
      <c r="I11" s="1350"/>
      <c r="J11" s="322"/>
      <c r="K11" s="1386"/>
      <c r="L11" s="322"/>
    </row>
    <row r="12" spans="1:12" ht="13.5" customHeight="1" x14ac:dyDescent="0.2">
      <c r="B12" s="1351" t="s">
        <v>1305</v>
      </c>
      <c r="C12" s="1351"/>
      <c r="D12" s="304"/>
      <c r="E12" s="322"/>
      <c r="F12" s="2511"/>
      <c r="G12" s="2511"/>
      <c r="H12" s="2511"/>
      <c r="I12" s="2511"/>
      <c r="J12" s="2511"/>
      <c r="K12" s="2511"/>
      <c r="L12" s="322"/>
    </row>
    <row r="13" spans="1:12" ht="9.6" customHeight="1" x14ac:dyDescent="0.2">
      <c r="B13" s="1224"/>
      <c r="C13" s="1224"/>
      <c r="D13" s="304"/>
      <c r="E13" s="322"/>
      <c r="F13" s="322"/>
      <c r="G13" s="1350"/>
      <c r="H13" s="322"/>
      <c r="I13" s="1350"/>
      <c r="J13" s="322"/>
      <c r="K13" s="1386"/>
      <c r="L13" s="322"/>
    </row>
    <row r="14" spans="1:12" ht="13.5" customHeight="1" x14ac:dyDescent="0.2">
      <c r="B14" s="1354" t="s">
        <v>1304</v>
      </c>
      <c r="C14" s="1354"/>
      <c r="D14" s="2534"/>
      <c r="E14" s="2534"/>
      <c r="F14" s="2534"/>
      <c r="H14" s="1429" t="s">
        <v>1303</v>
      </c>
      <c r="I14" s="2535"/>
      <c r="J14" s="2535"/>
      <c r="K14" s="2535"/>
      <c r="L14" s="322"/>
    </row>
    <row r="15" spans="1:12" ht="9.4" customHeight="1" x14ac:dyDescent="0.2">
      <c r="B15" s="1354"/>
      <c r="C15" s="1354"/>
      <c r="D15" s="1340"/>
      <c r="E15" s="1227"/>
      <c r="F15" s="1227"/>
      <c r="G15" s="1253"/>
      <c r="H15" s="1227"/>
      <c r="I15" s="1430"/>
      <c r="J15" s="1261"/>
      <c r="K15" s="1258"/>
      <c r="L15" s="322"/>
    </row>
    <row r="16" spans="1:12" ht="13.5" customHeight="1" x14ac:dyDescent="0.2">
      <c r="B16" s="1354" t="s">
        <v>1302</v>
      </c>
      <c r="C16" s="1354"/>
      <c r="D16" s="2535"/>
      <c r="E16" s="2535"/>
      <c r="F16" s="2535"/>
      <c r="G16" s="2535"/>
      <c r="H16" s="2535"/>
      <c r="I16" s="2535"/>
      <c r="J16" s="2535"/>
      <c r="K16" s="2535"/>
      <c r="L16" s="322"/>
    </row>
    <row r="17" spans="2:12" ht="13.5" customHeight="1" x14ac:dyDescent="0.2">
      <c r="B17" s="1354" t="s">
        <v>1301</v>
      </c>
      <c r="C17" s="1354"/>
      <c r="D17" s="2536"/>
      <c r="E17" s="2536"/>
      <c r="F17" s="2536"/>
      <c r="G17" s="2536"/>
      <c r="H17" s="2536"/>
      <c r="I17" s="2536"/>
      <c r="J17" s="2536"/>
      <c r="K17" s="2536"/>
      <c r="L17" s="322"/>
    </row>
    <row r="18" spans="2:12" ht="9.4" customHeight="1" x14ac:dyDescent="0.2">
      <c r="B18" s="1381"/>
      <c r="C18" s="1381"/>
      <c r="D18" s="1381"/>
      <c r="E18" s="1381"/>
      <c r="F18" s="1381"/>
      <c r="G18" s="1382"/>
      <c r="H18" s="1381"/>
      <c r="I18" s="1382"/>
      <c r="J18" s="1381"/>
      <c r="K18" s="1381"/>
      <c r="L18" s="322"/>
    </row>
    <row r="19" spans="2:12" ht="13.5" customHeight="1" x14ac:dyDescent="0.2">
      <c r="B19" s="1431" t="s">
        <v>1300</v>
      </c>
      <c r="C19" s="1431"/>
      <c r="D19" s="328"/>
      <c r="E19" s="328"/>
      <c r="F19" s="328"/>
      <c r="G19" s="1432"/>
      <c r="H19" s="328"/>
      <c r="I19" s="1432"/>
      <c r="J19" s="322"/>
      <c r="K19" s="322"/>
      <c r="L19" s="322"/>
    </row>
    <row r="20" spans="2:12" ht="35.25" customHeight="1" x14ac:dyDescent="0.2">
      <c r="B20" s="2526" t="s">
        <v>3852</v>
      </c>
      <c r="C20" s="2526"/>
      <c r="D20" s="2526"/>
      <c r="E20" s="2526"/>
      <c r="F20" s="2526"/>
      <c r="G20" s="2526"/>
      <c r="H20" s="2526"/>
      <c r="I20" s="2526"/>
      <c r="J20" s="2526"/>
      <c r="K20" s="2526"/>
      <c r="L20" s="1386"/>
    </row>
    <row r="21" spans="2:12" ht="4.5" customHeight="1" x14ac:dyDescent="0.2">
      <c r="B21" s="1433"/>
      <c r="C21" s="1433"/>
      <c r="D21" s="1434"/>
      <c r="E21" s="1434"/>
      <c r="F21" s="1434"/>
      <c r="G21" s="1382"/>
      <c r="H21" s="1434"/>
      <c r="I21" s="1382"/>
      <c r="J21" s="1434"/>
      <c r="K21" s="1434"/>
      <c r="L21" s="1386"/>
    </row>
    <row r="22" spans="2:12" ht="13.35" customHeight="1" x14ac:dyDescent="0.2">
      <c r="B22" s="1431" t="s">
        <v>1754</v>
      </c>
      <c r="C22" s="1431"/>
      <c r="D22" s="322"/>
      <c r="E22" s="322"/>
      <c r="F22" s="322"/>
      <c r="G22" s="1350"/>
      <c r="H22" s="322"/>
      <c r="I22" s="1350"/>
      <c r="J22" s="322"/>
      <c r="K22" s="322"/>
      <c r="L22" s="322"/>
    </row>
    <row r="23" spans="2:12" ht="37.5" customHeight="1" x14ac:dyDescent="0.2">
      <c r="B23" s="2526" t="s">
        <v>3852</v>
      </c>
      <c r="C23" s="2526"/>
      <c r="D23" s="2526"/>
      <c r="E23" s="2526"/>
      <c r="F23" s="2526"/>
      <c r="G23" s="2526"/>
      <c r="H23" s="2526"/>
      <c r="I23" s="2526"/>
      <c r="J23" s="2526"/>
      <c r="K23" s="2526"/>
      <c r="L23" s="322"/>
    </row>
    <row r="24" spans="2:12" ht="4.5" customHeight="1" x14ac:dyDescent="0.2">
      <c r="B24" s="1433"/>
      <c r="C24" s="1433"/>
      <c r="D24" s="1381"/>
      <c r="E24" s="1381"/>
      <c r="F24" s="1381"/>
      <c r="G24" s="1382"/>
      <c r="H24" s="1381"/>
      <c r="I24" s="1382"/>
      <c r="J24" s="1381"/>
      <c r="K24" s="1381"/>
      <c r="L24" s="322"/>
    </row>
    <row r="25" spans="2:12" ht="13.5" customHeight="1" x14ac:dyDescent="0.2">
      <c r="B25" s="1431" t="s">
        <v>1755</v>
      </c>
      <c r="C25" s="1431"/>
      <c r="D25" s="322"/>
      <c r="E25" s="322"/>
      <c r="F25" s="322"/>
      <c r="G25" s="1350"/>
      <c r="H25" s="322"/>
      <c r="I25" s="1350"/>
      <c r="J25" s="322"/>
      <c r="K25" s="322"/>
      <c r="L25" s="322"/>
    </row>
    <row r="26" spans="2:12" ht="37.5" customHeight="1" x14ac:dyDescent="0.2">
      <c r="B26" s="2526" t="s">
        <v>3852</v>
      </c>
      <c r="C26" s="2526"/>
      <c r="D26" s="2526"/>
      <c r="E26" s="2526"/>
      <c r="F26" s="2526"/>
      <c r="G26" s="2526"/>
      <c r="H26" s="2526"/>
      <c r="I26" s="2526"/>
      <c r="J26" s="2526"/>
      <c r="K26" s="2526"/>
      <c r="L26" s="322"/>
    </row>
    <row r="27" spans="2:12" ht="4.5" customHeight="1" x14ac:dyDescent="0.2">
      <c r="B27" s="1435"/>
      <c r="C27" s="1435"/>
      <c r="D27" s="1435"/>
      <c r="E27" s="1381"/>
      <c r="F27" s="1381"/>
      <c r="G27" s="1382"/>
      <c r="H27" s="1381"/>
      <c r="I27" s="1382"/>
      <c r="J27" s="1381"/>
      <c r="K27" s="1381"/>
      <c r="L27" s="322"/>
    </row>
    <row r="28" spans="2:12" ht="13.5" customHeight="1" x14ac:dyDescent="0.2">
      <c r="B28" s="1431" t="s">
        <v>1756</v>
      </c>
      <c r="C28" s="1431"/>
      <c r="D28" s="322"/>
      <c r="E28" s="322"/>
      <c r="F28" s="322"/>
      <c r="G28" s="1350"/>
      <c r="H28" s="322"/>
      <c r="I28" s="1350"/>
      <c r="J28" s="322"/>
      <c r="K28" s="322"/>
      <c r="L28" s="322"/>
    </row>
    <row r="29" spans="2:12" ht="37.5" customHeight="1" x14ac:dyDescent="0.2">
      <c r="B29" s="2526" t="s">
        <v>3852</v>
      </c>
      <c r="C29" s="2526"/>
      <c r="D29" s="2526"/>
      <c r="E29" s="2526"/>
      <c r="F29" s="2526"/>
      <c r="G29" s="2526"/>
      <c r="H29" s="2526"/>
      <c r="I29" s="2526"/>
      <c r="J29" s="2526"/>
      <c r="K29" s="2526"/>
      <c r="L29" s="322"/>
    </row>
    <row r="30" spans="2:12" ht="4.5" customHeight="1" x14ac:dyDescent="0.2">
      <c r="B30" s="1433"/>
      <c r="C30" s="1433"/>
      <c r="D30" s="1381"/>
      <c r="E30" s="1381"/>
      <c r="F30" s="1381"/>
      <c r="G30" s="1382"/>
      <c r="H30" s="1381"/>
      <c r="I30" s="1382"/>
      <c r="J30" s="1381"/>
      <c r="K30" s="1381"/>
      <c r="L30" s="322"/>
    </row>
    <row r="31" spans="2:12" ht="13.5" customHeight="1" x14ac:dyDescent="0.2">
      <c r="B31" s="1431" t="s">
        <v>1299</v>
      </c>
      <c r="C31" s="1431"/>
      <c r="D31" s="322"/>
      <c r="E31" s="322"/>
      <c r="F31" s="322"/>
      <c r="G31" s="1350"/>
      <c r="H31" s="322"/>
      <c r="I31" s="1350"/>
      <c r="J31" s="322"/>
      <c r="K31" s="322"/>
      <c r="L31" s="322"/>
    </row>
    <row r="32" spans="2:12" ht="37.5" customHeight="1" x14ac:dyDescent="0.2">
      <c r="B32" s="2526" t="s">
        <v>3852</v>
      </c>
      <c r="C32" s="2526"/>
      <c r="D32" s="2526"/>
      <c r="E32" s="2526"/>
      <c r="F32" s="2526"/>
      <c r="G32" s="2526"/>
      <c r="H32" s="2526"/>
      <c r="I32" s="2526"/>
      <c r="J32" s="2526"/>
      <c r="K32" s="2526"/>
      <c r="L32" s="322"/>
    </row>
    <row r="33" spans="2:12" ht="4.5" customHeight="1" x14ac:dyDescent="0.2">
      <c r="B33" s="1433"/>
      <c r="C33" s="1433"/>
      <c r="D33" s="1381"/>
      <c r="E33" s="1381"/>
      <c r="F33" s="1381"/>
      <c r="G33" s="1382"/>
      <c r="H33" s="1381"/>
      <c r="I33" s="1382"/>
      <c r="J33" s="1381"/>
      <c r="K33" s="1381"/>
      <c r="L33" s="322"/>
    </row>
    <row r="34" spans="2:12" ht="13.5" customHeight="1" x14ac:dyDescent="0.2">
      <c r="B34" s="1351" t="s">
        <v>1298</v>
      </c>
      <c r="C34" s="1351"/>
      <c r="D34" s="322"/>
      <c r="E34" s="322"/>
      <c r="F34" s="322"/>
      <c r="G34" s="1350"/>
      <c r="H34" s="322"/>
      <c r="I34" s="1350"/>
      <c r="J34" s="322"/>
      <c r="K34" s="322"/>
      <c r="L34" s="322"/>
    </row>
    <row r="35" spans="2:12" ht="37.5" customHeight="1" x14ac:dyDescent="0.2">
      <c r="B35" s="2526" t="s">
        <v>3852</v>
      </c>
      <c r="C35" s="2526"/>
      <c r="D35" s="2526"/>
      <c r="E35" s="2526"/>
      <c r="F35" s="2526"/>
      <c r="G35" s="2526"/>
      <c r="H35" s="2526"/>
      <c r="I35" s="2526"/>
      <c r="J35" s="2526"/>
      <c r="K35" s="2526"/>
      <c r="L35" s="322"/>
    </row>
    <row r="36" spans="2:12" ht="4.5" customHeight="1" x14ac:dyDescent="0.2">
      <c r="B36" s="1433"/>
      <c r="C36" s="1433"/>
      <c r="D36" s="1381"/>
      <c r="E36" s="1381"/>
      <c r="F36" s="1381"/>
      <c r="G36" s="1382"/>
      <c r="H36" s="1381"/>
      <c r="I36" s="1382"/>
      <c r="J36" s="1381"/>
      <c r="K36" s="1381"/>
      <c r="L36" s="322"/>
    </row>
    <row r="37" spans="2:12" ht="13.5" customHeight="1" x14ac:dyDescent="0.2">
      <c r="B37" s="1351" t="s">
        <v>1297</v>
      </c>
      <c r="C37" s="1351"/>
      <c r="D37" s="322"/>
      <c r="E37" s="322"/>
      <c r="F37" s="322"/>
      <c r="G37" s="1350"/>
      <c r="H37" s="322"/>
      <c r="I37" s="1350"/>
      <c r="J37" s="322"/>
      <c r="K37" s="322"/>
      <c r="L37" s="322"/>
    </row>
    <row r="38" spans="2:12" ht="35.25" customHeight="1" x14ac:dyDescent="0.2">
      <c r="B38" s="2526" t="s">
        <v>3852</v>
      </c>
      <c r="C38" s="2526"/>
      <c r="D38" s="2526"/>
      <c r="E38" s="2526"/>
      <c r="F38" s="2526"/>
      <c r="G38" s="2526"/>
      <c r="H38" s="2526"/>
      <c r="I38" s="2526"/>
      <c r="J38" s="2526"/>
      <c r="K38" s="2526"/>
      <c r="L38" s="322"/>
    </row>
    <row r="39" spans="2:12" ht="4.5" customHeight="1" x14ac:dyDescent="0.2">
      <c r="B39" s="1369"/>
      <c r="C39" s="1369"/>
      <c r="D39" s="322"/>
      <c r="E39" s="322"/>
      <c r="F39" s="322"/>
      <c r="G39" s="1350"/>
      <c r="H39" s="322"/>
      <c r="I39" s="1350"/>
      <c r="J39" s="322"/>
      <c r="K39" s="322"/>
      <c r="L39" s="322"/>
    </row>
    <row r="40" spans="2:12" s="322" customFormat="1" ht="13.5" customHeight="1" x14ac:dyDescent="0.2">
      <c r="B40" s="1370" t="s">
        <v>1757</v>
      </c>
      <c r="C40" s="1370"/>
      <c r="D40" s="1345"/>
      <c r="E40" s="1346"/>
      <c r="F40" s="1346"/>
      <c r="G40" s="1347"/>
      <c r="H40" s="1346"/>
      <c r="I40" s="1347"/>
      <c r="J40" s="1346"/>
      <c r="K40" s="1346"/>
    </row>
    <row r="41" spans="2:12" s="322" customFormat="1" ht="33.75" customHeight="1" x14ac:dyDescent="0.2">
      <c r="B41" s="2526" t="s">
        <v>3852</v>
      </c>
      <c r="C41" s="2526"/>
      <c r="D41" s="2526"/>
      <c r="E41" s="2526"/>
      <c r="F41" s="2526"/>
      <c r="G41" s="2526"/>
      <c r="H41" s="2526"/>
      <c r="I41" s="2526"/>
      <c r="J41" s="2526"/>
      <c r="K41" s="2526"/>
    </row>
    <row r="42" spans="2:12" s="322" customFormat="1" ht="4.5" customHeight="1" x14ac:dyDescent="0.2">
      <c r="B42" s="1369"/>
      <c r="C42" s="1369"/>
      <c r="G42" s="1350"/>
      <c r="I42" s="1350"/>
    </row>
    <row r="43" spans="2:12" ht="7.5" customHeight="1" x14ac:dyDescent="0.25">
      <c r="B43" s="1436"/>
      <c r="C43" s="1436"/>
      <c r="D43" s="1437"/>
      <c r="E43" s="1437"/>
      <c r="F43" s="1437"/>
      <c r="G43" s="1438"/>
      <c r="H43" s="1437"/>
      <c r="I43" s="1438"/>
      <c r="J43" s="1437"/>
      <c r="K43" s="1437"/>
    </row>
    <row r="44" spans="2:12" ht="13.5" customHeight="1" x14ac:dyDescent="0.2">
      <c r="B44" s="1373" t="s">
        <v>1758</v>
      </c>
      <c r="C44" s="1373"/>
      <c r="D44" s="322"/>
      <c r="E44" s="322"/>
      <c r="F44" s="322"/>
    </row>
    <row r="45" spans="2:12" ht="10.5" customHeight="1" x14ac:dyDescent="0.2">
      <c r="B45" s="1374" t="s">
        <v>1759</v>
      </c>
      <c r="C45" s="1374"/>
      <c r="G45" s="317"/>
      <c r="I45" s="317"/>
    </row>
    <row r="46" spans="2:12" ht="11.1" customHeight="1" x14ac:dyDescent="0.2">
      <c r="B46" s="1374" t="s">
        <v>1760</v>
      </c>
      <c r="C46" s="1374"/>
      <c r="G46" s="317"/>
      <c r="I46" s="317"/>
    </row>
    <row r="47" spans="2:12" ht="11.1" customHeight="1" x14ac:dyDescent="0.2">
      <c r="B47" s="1374" t="s">
        <v>1761</v>
      </c>
      <c r="C47" s="1374"/>
      <c r="G47" s="317"/>
      <c r="I47" s="317"/>
    </row>
    <row r="48" spans="2:12" ht="11.1" customHeight="1" x14ac:dyDescent="0.2">
      <c r="B48" s="1374" t="s">
        <v>1762</v>
      </c>
      <c r="C48" s="137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F172" sqref="F17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9" customFormat="1" ht="12.75" customHeight="1" x14ac:dyDescent="0.2">
      <c r="B1" s="2504" t="str">
        <f>'Single Audit Cover'!A7</f>
        <v>Ottawa ESD 141</v>
      </c>
      <c r="C1" s="2504"/>
      <c r="D1" s="2504"/>
      <c r="E1" s="1439"/>
    </row>
    <row r="2" spans="2:5" s="1249" customFormat="1" ht="12.75" customHeight="1" x14ac:dyDescent="0.2">
      <c r="B2" s="2506">
        <f>'Single Audit Cover'!E7</f>
        <v>35050141002</v>
      </c>
      <c r="C2" s="2506"/>
      <c r="D2" s="2506"/>
      <c r="E2" s="1440"/>
    </row>
    <row r="3" spans="2:5" ht="12.75" customHeight="1" x14ac:dyDescent="0.2">
      <c r="B3" s="2527" t="s">
        <v>1763</v>
      </c>
      <c r="C3" s="2527"/>
      <c r="D3" s="2527"/>
      <c r="E3" s="1241"/>
    </row>
    <row r="4" spans="2:5" s="1249" customFormat="1" ht="12.75" customHeight="1" x14ac:dyDescent="0.2">
      <c r="B4" s="2537" t="str">
        <f>'Single Audit Cover'!A4</f>
        <v>Year Ending June 30, 2019</v>
      </c>
      <c r="C4" s="2537"/>
      <c r="D4" s="2537"/>
      <c r="E4" s="1441"/>
    </row>
    <row r="5" spans="2:5" s="1249" customFormat="1" ht="40.15" customHeight="1" x14ac:dyDescent="0.2">
      <c r="B5" s="1442" t="s">
        <v>1764</v>
      </c>
      <c r="C5" s="328"/>
      <c r="D5" s="328"/>
      <c r="E5" s="328"/>
    </row>
    <row r="6" spans="2:5" s="1249" customFormat="1" ht="13.5" customHeight="1" x14ac:dyDescent="0.2">
      <c r="B6" s="1443" t="s">
        <v>1315</v>
      </c>
      <c r="C6" s="1443" t="s">
        <v>1314</v>
      </c>
      <c r="D6" s="1443" t="s">
        <v>1765</v>
      </c>
    </row>
    <row r="7" spans="2:5" ht="13.5" customHeight="1" x14ac:dyDescent="0.2">
      <c r="B7" s="1444" t="s">
        <v>3898</v>
      </c>
      <c r="C7" s="324" t="s">
        <v>3899</v>
      </c>
      <c r="D7" s="324" t="s">
        <v>3902</v>
      </c>
      <c r="E7" s="324"/>
    </row>
    <row r="8" spans="2:5" ht="13.5" customHeight="1" x14ac:dyDescent="0.2">
      <c r="B8" s="1444"/>
      <c r="C8" s="324" t="s">
        <v>3900</v>
      </c>
      <c r="D8" s="324" t="s">
        <v>3903</v>
      </c>
      <c r="E8" s="324"/>
    </row>
    <row r="9" spans="2:5" ht="13.5" customHeight="1" x14ac:dyDescent="0.2">
      <c r="B9" s="1445"/>
      <c r="C9" s="323" t="s">
        <v>3901</v>
      </c>
      <c r="D9" s="323" t="s">
        <v>3904</v>
      </c>
      <c r="E9" s="323"/>
    </row>
    <row r="10" spans="2:5" ht="13.5" customHeight="1" x14ac:dyDescent="0.2">
      <c r="B10" s="1444"/>
      <c r="C10" s="323"/>
      <c r="D10" s="323"/>
      <c r="E10" s="323"/>
    </row>
    <row r="11" spans="2:5" ht="13.5" customHeight="1" x14ac:dyDescent="0.2">
      <c r="B11" s="1444"/>
      <c r="C11" s="323"/>
      <c r="D11" s="323"/>
      <c r="E11" s="323"/>
    </row>
    <row r="12" spans="2:5" ht="13.5" customHeight="1" x14ac:dyDescent="0.2">
      <c r="B12" s="1444"/>
      <c r="C12" s="323"/>
      <c r="D12" s="323"/>
      <c r="E12" s="323"/>
    </row>
    <row r="13" spans="2:5" ht="13.5" customHeight="1" x14ac:dyDescent="0.2">
      <c r="B13" s="1444"/>
      <c r="C13" s="323"/>
      <c r="D13" s="323"/>
      <c r="E13" s="323"/>
    </row>
    <row r="14" spans="2:5" ht="13.5" customHeight="1" x14ac:dyDescent="0.2">
      <c r="B14" s="1444"/>
      <c r="C14" s="323"/>
      <c r="D14" s="323"/>
      <c r="E14" s="323"/>
    </row>
    <row r="15" spans="2:5" ht="13.5" customHeight="1" x14ac:dyDescent="0.2">
      <c r="B15" s="1444"/>
      <c r="C15" s="323"/>
      <c r="D15" s="323"/>
      <c r="E15" s="323"/>
    </row>
    <row r="16" spans="2:5" ht="13.5" customHeight="1" x14ac:dyDescent="0.2">
      <c r="B16" s="1444"/>
      <c r="C16" s="323"/>
      <c r="D16" s="323"/>
      <c r="E16" s="323"/>
    </row>
    <row r="17" spans="2:5" ht="13.5" customHeight="1" x14ac:dyDescent="0.2">
      <c r="B17" s="1444"/>
      <c r="C17" s="323"/>
      <c r="D17" s="323"/>
      <c r="E17" s="323"/>
    </row>
    <row r="18" spans="2:5" ht="13.5" customHeight="1" x14ac:dyDescent="0.2">
      <c r="B18" s="1444"/>
      <c r="C18" s="323"/>
      <c r="D18" s="323"/>
      <c r="E18" s="323"/>
    </row>
    <row r="19" spans="2:5" ht="13.5" customHeight="1" x14ac:dyDescent="0.2">
      <c r="B19" s="1444"/>
      <c r="C19" s="323"/>
      <c r="D19" s="323"/>
      <c r="E19" s="323"/>
    </row>
    <row r="20" spans="2:5" ht="13.5" customHeight="1" x14ac:dyDescent="0.2">
      <c r="B20" s="1444"/>
      <c r="C20" s="323"/>
      <c r="D20" s="323"/>
      <c r="E20" s="323"/>
    </row>
    <row r="21" spans="2:5" ht="13.5" customHeight="1" x14ac:dyDescent="0.2">
      <c r="B21" s="1444"/>
      <c r="C21" s="323"/>
      <c r="D21" s="323"/>
      <c r="E21" s="323"/>
    </row>
    <row r="22" spans="2:5" ht="13.5" customHeight="1" x14ac:dyDescent="0.2">
      <c r="B22" s="1444"/>
      <c r="C22" s="323"/>
      <c r="D22" s="323"/>
      <c r="E22" s="323"/>
    </row>
    <row r="23" spans="2:5" ht="13.5" customHeight="1" x14ac:dyDescent="0.2">
      <c r="B23" s="1444"/>
      <c r="C23" s="323"/>
      <c r="D23" s="323"/>
      <c r="E23" s="323"/>
    </row>
    <row r="24" spans="2:5" ht="13.5" customHeight="1" x14ac:dyDescent="0.2">
      <c r="B24" s="1444"/>
      <c r="C24" s="323"/>
      <c r="D24" s="323"/>
      <c r="E24" s="323"/>
    </row>
    <row r="25" spans="2:5" ht="13.5" customHeight="1" x14ac:dyDescent="0.2">
      <c r="B25" s="1444"/>
      <c r="C25" s="323"/>
      <c r="D25" s="323"/>
      <c r="E25" s="323"/>
    </row>
    <row r="26" spans="2:5" ht="13.5" customHeight="1" x14ac:dyDescent="0.2">
      <c r="B26" s="1444"/>
      <c r="C26" s="323"/>
      <c r="D26" s="323"/>
      <c r="E26" s="323"/>
    </row>
    <row r="27" spans="2:5" ht="13.5" customHeight="1" x14ac:dyDescent="0.2">
      <c r="B27" s="1444"/>
      <c r="C27" s="323"/>
      <c r="D27" s="323"/>
      <c r="E27" s="323"/>
    </row>
    <row r="28" spans="2:5" ht="13.5" customHeight="1" x14ac:dyDescent="0.2">
      <c r="B28" s="1444"/>
      <c r="C28" s="323"/>
      <c r="D28" s="323"/>
      <c r="E28" s="323"/>
    </row>
    <row r="29" spans="2:5" ht="13.5" customHeight="1" x14ac:dyDescent="0.2">
      <c r="B29" s="1444"/>
      <c r="C29" s="323"/>
      <c r="D29" s="323"/>
      <c r="E29" s="323"/>
    </row>
    <row r="30" spans="2:5" ht="13.5" customHeight="1" x14ac:dyDescent="0.2">
      <c r="B30" s="1444"/>
      <c r="C30" s="323"/>
      <c r="D30" s="323"/>
      <c r="E30" s="323"/>
    </row>
    <row r="31" spans="2:5" ht="13.5" customHeight="1" x14ac:dyDescent="0.2">
      <c r="B31" s="1444"/>
      <c r="C31" s="323"/>
      <c r="D31" s="323"/>
      <c r="E31" s="323"/>
    </row>
    <row r="32" spans="2:5" ht="13.5" customHeight="1" x14ac:dyDescent="0.2">
      <c r="B32" s="1446"/>
      <c r="C32" s="323"/>
      <c r="D32" s="323"/>
      <c r="E32" s="323"/>
    </row>
    <row r="33" spans="2:5" ht="13.5" customHeight="1" x14ac:dyDescent="0.2">
      <c r="B33" s="1447"/>
      <c r="C33" s="323"/>
      <c r="D33" s="323"/>
      <c r="E33" s="323"/>
    </row>
    <row r="34" spans="2:5" ht="13.5" customHeight="1" x14ac:dyDescent="0.2">
      <c r="B34" s="1448"/>
      <c r="C34" s="323"/>
      <c r="D34" s="323"/>
      <c r="E34" s="323"/>
    </row>
    <row r="35" spans="2:5" ht="13.5" customHeight="1" x14ac:dyDescent="0.2">
      <c r="B35" s="1447"/>
      <c r="C35" s="323"/>
      <c r="D35" s="323"/>
      <c r="E35" s="323"/>
    </row>
    <row r="36" spans="2:5" ht="13.5" customHeight="1" x14ac:dyDescent="0.2">
      <c r="B36" s="1448"/>
      <c r="C36" s="323"/>
      <c r="D36" s="323"/>
      <c r="E36" s="323"/>
    </row>
    <row r="37" spans="2:5" ht="13.5" customHeight="1" x14ac:dyDescent="0.2">
      <c r="B37" s="1448"/>
      <c r="C37" s="323"/>
      <c r="D37" s="323"/>
      <c r="E37" s="323"/>
    </row>
    <row r="38" spans="2:5" ht="13.5" customHeight="1" x14ac:dyDescent="0.2">
      <c r="B38" s="1447"/>
      <c r="C38" s="323"/>
      <c r="D38" s="323"/>
      <c r="E38" s="323"/>
    </row>
    <row r="39" spans="2:5" ht="13.5" customHeight="1" x14ac:dyDescent="0.2">
      <c r="B39" s="1448"/>
      <c r="C39" s="323"/>
      <c r="D39" s="323"/>
      <c r="E39" s="323"/>
    </row>
    <row r="40" spans="2:5" ht="13.5" customHeight="1" x14ac:dyDescent="0.2">
      <c r="B40" s="1447"/>
      <c r="C40" s="323"/>
      <c r="D40" s="323"/>
      <c r="E40" s="323"/>
    </row>
    <row r="41" spans="2:5" ht="13.5" customHeight="1" x14ac:dyDescent="0.2">
      <c r="B41" s="1449"/>
      <c r="C41" s="323"/>
      <c r="D41" s="323"/>
      <c r="E41" s="323"/>
    </row>
    <row r="42" spans="2:5" ht="13.5" customHeight="1" x14ac:dyDescent="0.2">
      <c r="B42" s="1450"/>
      <c r="C42" s="323"/>
      <c r="D42" s="323"/>
      <c r="E42" s="323"/>
    </row>
    <row r="43" spans="2:5" ht="12.75" customHeight="1" x14ac:dyDescent="0.2">
      <c r="B43" s="1451"/>
      <c r="C43" s="1452"/>
      <c r="D43" s="1452"/>
      <c r="E43" s="323"/>
    </row>
    <row r="44" spans="2:5" ht="12.2" customHeight="1" x14ac:dyDescent="0.2">
      <c r="B44" s="1224" t="s">
        <v>1313</v>
      </c>
      <c r="C44" s="322"/>
    </row>
    <row r="45" spans="2:5" ht="12.2" customHeight="1" x14ac:dyDescent="0.2">
      <c r="B45" s="1453" t="s">
        <v>1766</v>
      </c>
    </row>
    <row r="46" spans="2:5" ht="12.2" customHeight="1" x14ac:dyDescent="0.2">
      <c r="B46" s="1453" t="s">
        <v>1767</v>
      </c>
    </row>
    <row r="47" spans="2:5" ht="12.2" customHeight="1" x14ac:dyDescent="0.2">
      <c r="B47" s="1454" t="s">
        <v>1312</v>
      </c>
    </row>
    <row r="48" spans="2:5" ht="12.2" customHeight="1" x14ac:dyDescent="0.2">
      <c r="B48" s="1454" t="s">
        <v>1311</v>
      </c>
    </row>
    <row r="49" spans="2:5" ht="12.2" customHeight="1" x14ac:dyDescent="0.2">
      <c r="B49" s="1454" t="s">
        <v>1310</v>
      </c>
    </row>
    <row r="50" spans="2:5" ht="12.2" customHeight="1" x14ac:dyDescent="0.2">
      <c r="B50" s="1454" t="s">
        <v>1309</v>
      </c>
    </row>
    <row r="53" spans="2:5" ht="12.75" customHeight="1" x14ac:dyDescent="0.2"/>
    <row r="54" spans="2:5" ht="12.75" customHeight="1" x14ac:dyDescent="0.2">
      <c r="B54" s="123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3"/>
    </row>
    <row r="68" spans="2:2" x14ac:dyDescent="0.2">
      <c r="B68" s="1267"/>
    </row>
    <row r="69" spans="2:2" x14ac:dyDescent="0.2">
      <c r="B69" s="1267"/>
    </row>
    <row r="70" spans="2:2" x14ac:dyDescent="0.2">
      <c r="B70" s="1374"/>
    </row>
    <row r="71" spans="2:2" x14ac:dyDescent="0.2">
      <c r="B71" s="1374"/>
    </row>
    <row r="72" spans="2:2" x14ac:dyDescent="0.2">
      <c r="B72" s="1374"/>
    </row>
    <row r="73" spans="2:2" x14ac:dyDescent="0.2">
      <c r="B73" s="126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9:L71"/>
  <sheetViews>
    <sheetView showGridLines="0" zoomScale="110" zoomScaleNormal="110" zoomScaleSheetLayoutView="100" workbookViewId="0">
      <selection activeCell="B19" sqref="B19:E19"/>
    </sheetView>
  </sheetViews>
  <sheetFormatPr defaultColWidth="9.140625" defaultRowHeight="12.75" x14ac:dyDescent="0.2"/>
  <cols>
    <col min="1" max="1" width="1.5703125" style="1947" customWidth="1"/>
    <col min="2" max="2" width="11.28515625" style="1947" customWidth="1"/>
    <col min="3" max="3" width="6.42578125" style="1947" customWidth="1"/>
    <col min="4" max="4" width="5.42578125" style="1947" customWidth="1"/>
    <col min="5" max="5" width="74.7109375" style="1947" customWidth="1"/>
    <col min="6" max="6" width="1.5703125" style="1947" customWidth="1"/>
    <col min="7" max="8" width="2.42578125" style="1947" customWidth="1"/>
    <col min="9" max="9" width="9.28515625" style="1947" customWidth="1"/>
    <col min="10" max="10" width="14.42578125" style="1947" customWidth="1"/>
    <col min="11" max="11" width="7.28515625" style="1947" customWidth="1"/>
    <col min="12" max="12" width="3.140625" style="1947" customWidth="1"/>
    <col min="13" max="16384" width="9.140625" style="1947"/>
  </cols>
  <sheetData>
    <row r="9" spans="2:12" ht="13.5" customHeight="1" x14ac:dyDescent="0.2">
      <c r="B9" s="2540" t="str">
        <f>'[1]Single Audit Cover'!A7</f>
        <v>OTTAWA ELEMENTARY SCHOOLS</v>
      </c>
      <c r="C9" s="2540"/>
      <c r="D9" s="2540"/>
      <c r="E9" s="2540"/>
      <c r="F9" s="1946"/>
      <c r="G9" s="1946"/>
      <c r="H9" s="1946"/>
      <c r="I9" s="1946"/>
      <c r="J9" s="1946"/>
      <c r="K9" s="1946"/>
      <c r="L9" s="1946"/>
    </row>
    <row r="10" spans="2:12" ht="13.5" customHeight="1" x14ac:dyDescent="0.2">
      <c r="B10" s="2541">
        <f>COVER!A13</f>
        <v>35050141002</v>
      </c>
      <c r="C10" s="2541"/>
      <c r="D10" s="2541"/>
      <c r="E10" s="2541"/>
      <c r="F10" s="1948"/>
      <c r="G10" s="1948"/>
      <c r="H10" s="1948"/>
      <c r="I10" s="1948"/>
      <c r="J10" s="1948"/>
      <c r="K10" s="1948"/>
      <c r="L10" s="1948"/>
    </row>
    <row r="11" spans="2:12" ht="13.5" customHeight="1" x14ac:dyDescent="0.2">
      <c r="B11" s="2542" t="s">
        <v>3905</v>
      </c>
      <c r="C11" s="2542"/>
      <c r="D11" s="2542"/>
      <c r="E11" s="2542"/>
      <c r="F11" s="1949"/>
      <c r="G11" s="1949"/>
      <c r="H11" s="1949"/>
      <c r="I11" s="1949"/>
      <c r="J11" s="1949"/>
      <c r="K11" s="1949"/>
      <c r="L11" s="1949"/>
    </row>
    <row r="12" spans="2:12" ht="13.5" customHeight="1" x14ac:dyDescent="0.2">
      <c r="B12" s="2543" t="str">
        <f ca="1">"Year Ending "&amp;TEXT(DATE(YEAR(TODAY()),6,30),"mmmm d, yyyy")</f>
        <v>Year Ending June 30, 2019</v>
      </c>
      <c r="C12" s="2543"/>
      <c r="D12" s="2543"/>
      <c r="E12" s="2543"/>
      <c r="F12" s="1950"/>
      <c r="G12" s="1950"/>
      <c r="H12" s="1950"/>
      <c r="I12" s="1950"/>
      <c r="J12" s="1950"/>
      <c r="K12" s="1950"/>
      <c r="L12" s="1950"/>
    </row>
    <row r="13" spans="2:12" ht="29.85" customHeight="1" x14ac:dyDescent="0.2">
      <c r="B13" s="1951"/>
      <c r="C13" s="1951"/>
      <c r="D13" s="1951"/>
      <c r="E13" s="1951"/>
      <c r="F13" s="1951"/>
      <c r="G13" s="1951"/>
      <c r="H13" s="1951"/>
      <c r="I13" s="1951"/>
    </row>
    <row r="14" spans="2:12" ht="13.5" customHeight="1" x14ac:dyDescent="0.2">
      <c r="B14" s="1952" t="s">
        <v>3906</v>
      </c>
      <c r="C14" s="1952"/>
      <c r="D14" s="1953"/>
      <c r="E14" s="1954"/>
      <c r="F14" s="1954"/>
      <c r="G14" s="1955"/>
      <c r="H14" s="1955"/>
      <c r="I14" s="1955"/>
    </row>
    <row r="15" spans="2:12" ht="13.5" customHeight="1" x14ac:dyDescent="0.2">
      <c r="B15" s="1951" t="s">
        <v>1169</v>
      </c>
      <c r="C15" s="1951"/>
      <c r="D15" s="1951"/>
      <c r="E15" s="1951"/>
      <c r="F15" s="1951"/>
      <c r="G15" s="1951"/>
      <c r="H15" s="1951"/>
      <c r="I15" s="1951"/>
    </row>
    <row r="16" spans="2:12" ht="13.5" customHeight="1" x14ac:dyDescent="0.2">
      <c r="B16" s="1956" t="s">
        <v>3907</v>
      </c>
      <c r="C16" s="1957" t="str">
        <f ca="1">TEXT(DATE(YEAR(TODAY()),6,30),"yyyy-")</f>
        <v>2019-</v>
      </c>
      <c r="D16" s="1958">
        <v>1</v>
      </c>
      <c r="E16" s="1951"/>
      <c r="F16" s="1951"/>
      <c r="G16" s="1951"/>
      <c r="H16" s="1951"/>
      <c r="I16" s="1951"/>
    </row>
    <row r="17" spans="2:5" ht="13.5" customHeight="1" x14ac:dyDescent="0.2">
      <c r="B17" s="1959"/>
      <c r="C17" s="1959"/>
      <c r="D17" s="1959"/>
    </row>
    <row r="18" spans="2:5" ht="13.5" customHeight="1" x14ac:dyDescent="0.2">
      <c r="B18" s="1956" t="s">
        <v>3908</v>
      </c>
      <c r="C18" s="1956"/>
      <c r="D18" s="1951"/>
    </row>
    <row r="19" spans="2:5" ht="66.75" customHeight="1" x14ac:dyDescent="0.2">
      <c r="B19" s="2538" t="s">
        <v>3909</v>
      </c>
      <c r="C19" s="2538"/>
      <c r="D19" s="2539"/>
      <c r="E19" s="2539"/>
    </row>
    <row r="20" spans="2:5" ht="13.5" customHeight="1" x14ac:dyDescent="0.2">
      <c r="B20" s="1951"/>
      <c r="C20" s="1951"/>
      <c r="D20" s="1951"/>
    </row>
    <row r="21" spans="2:5" ht="13.5" customHeight="1" x14ac:dyDescent="0.2">
      <c r="B21" s="1956" t="s">
        <v>3910</v>
      </c>
      <c r="C21" s="1956"/>
      <c r="D21" s="1951"/>
    </row>
    <row r="22" spans="2:5" ht="76.5" customHeight="1" x14ac:dyDescent="0.2">
      <c r="B22" s="2538" t="s">
        <v>3911</v>
      </c>
      <c r="C22" s="2538"/>
      <c r="D22" s="2539"/>
      <c r="E22" s="2539"/>
    </row>
    <row r="23" spans="2:5" ht="13.5" customHeight="1" x14ac:dyDescent="0.2">
      <c r="B23" s="1951"/>
      <c r="C23" s="1951"/>
      <c r="D23" s="1951"/>
    </row>
    <row r="24" spans="2:5" ht="13.5" customHeight="1" x14ac:dyDescent="0.2">
      <c r="B24" s="1956" t="s">
        <v>3912</v>
      </c>
      <c r="C24" s="1956"/>
      <c r="D24" s="1951"/>
      <c r="E24" s="1960" t="s">
        <v>3913</v>
      </c>
    </row>
    <row r="25" spans="2:5" ht="13.5" customHeight="1" x14ac:dyDescent="0.2">
      <c r="B25" s="1951"/>
      <c r="C25" s="1951"/>
      <c r="D25" s="1951"/>
    </row>
    <row r="26" spans="2:5" ht="13.5" customHeight="1" x14ac:dyDescent="0.2">
      <c r="B26" s="1956" t="s">
        <v>3914</v>
      </c>
      <c r="C26" s="1956"/>
      <c r="D26" s="1951"/>
      <c r="E26" s="1961" t="s">
        <v>3915</v>
      </c>
    </row>
    <row r="27" spans="2:5" ht="13.5" customHeight="1" x14ac:dyDescent="0.2">
      <c r="B27" s="1951"/>
      <c r="C27" s="1951"/>
      <c r="D27" s="1951"/>
    </row>
    <row r="28" spans="2:5" ht="13.5" customHeight="1" x14ac:dyDescent="0.2">
      <c r="B28" s="1956" t="s">
        <v>3916</v>
      </c>
      <c r="C28" s="1956"/>
      <c r="D28" s="1951"/>
      <c r="E28" s="1961" t="s">
        <v>3897</v>
      </c>
    </row>
    <row r="29" spans="2:5" ht="13.5" customHeight="1" x14ac:dyDescent="0.2">
      <c r="B29" s="1951"/>
      <c r="C29" s="1951"/>
      <c r="D29" s="1951"/>
      <c r="E29" s="1962"/>
    </row>
    <row r="30" spans="2:5" ht="13.5" customHeight="1" x14ac:dyDescent="0.2">
      <c r="B30" s="1951"/>
      <c r="C30" s="1951"/>
      <c r="D30" s="1951"/>
      <c r="E30" s="1962"/>
    </row>
    <row r="31" spans="2:5" ht="13.5" customHeight="1" x14ac:dyDescent="0.2">
      <c r="B31" s="1951"/>
      <c r="C31" s="1951"/>
      <c r="D31" s="1951"/>
    </row>
    <row r="32" spans="2:5" ht="13.5" customHeight="1" x14ac:dyDescent="0.2">
      <c r="B32" s="1951"/>
      <c r="C32" s="1951"/>
      <c r="D32" s="1951"/>
    </row>
    <row r="33" spans="2:4" ht="13.5" customHeight="1" x14ac:dyDescent="0.2">
      <c r="B33" s="1963"/>
      <c r="C33" s="1963"/>
      <c r="D33" s="1963"/>
    </row>
    <row r="34" spans="2:4" ht="13.5" customHeight="1" x14ac:dyDescent="0.2">
      <c r="B34" s="1963"/>
      <c r="C34" s="1963"/>
      <c r="D34" s="1963"/>
    </row>
    <row r="35" spans="2:4" ht="13.5" customHeight="1" x14ac:dyDescent="0.2">
      <c r="B35" s="1963"/>
      <c r="C35" s="1963"/>
      <c r="D35" s="1963"/>
    </row>
    <row r="36" spans="2:4" ht="13.5" customHeight="1" x14ac:dyDescent="0.2"/>
    <row r="37" spans="2:4" ht="13.5" customHeight="1" x14ac:dyDescent="0.2"/>
    <row r="38" spans="2:4" ht="13.5" customHeight="1" x14ac:dyDescent="0.2"/>
    <row r="39" spans="2:4" ht="13.5" customHeight="1" x14ac:dyDescent="0.2"/>
    <row r="40" spans="2:4" ht="13.5" customHeight="1" x14ac:dyDescent="0.2"/>
    <row r="41" spans="2:4" ht="13.5" customHeight="1" x14ac:dyDescent="0.2"/>
    <row r="42" spans="2:4" ht="13.5" customHeight="1" x14ac:dyDescent="0.2"/>
    <row r="43" spans="2:4" ht="12.2" customHeight="1" x14ac:dyDescent="0.2">
      <c r="B43" s="1964" t="s">
        <v>3917</v>
      </c>
      <c r="C43" s="1964"/>
      <c r="D43" s="1964"/>
    </row>
    <row r="44" spans="2:4" ht="12.2" customHeight="1" x14ac:dyDescent="0.2">
      <c r="B44" s="1965"/>
      <c r="C44" s="1965"/>
      <c r="D44" s="1965"/>
    </row>
    <row r="45" spans="2:4" ht="12.75" customHeight="1" x14ac:dyDescent="0.2">
      <c r="B45" s="1966"/>
      <c r="C45" s="1966"/>
      <c r="D45" s="1966"/>
    </row>
    <row r="46" spans="2:4" ht="12.75" customHeight="1" x14ac:dyDescent="0.2">
      <c r="B46" s="1966"/>
      <c r="C46" s="1966"/>
      <c r="D46" s="1966"/>
    </row>
    <row r="47" spans="2:4" x14ac:dyDescent="0.2">
      <c r="B47" s="1966"/>
      <c r="C47" s="1966"/>
      <c r="D47" s="1966"/>
    </row>
    <row r="48" spans="2:4" x14ac:dyDescent="0.2">
      <c r="B48" s="1966"/>
      <c r="C48" s="1966"/>
      <c r="D48" s="1966"/>
    </row>
    <row r="52" spans="2:9" x14ac:dyDescent="0.2">
      <c r="B52" s="1967"/>
      <c r="C52" s="1967"/>
      <c r="D52" s="1967"/>
    </row>
    <row r="53" spans="2:9" ht="12.75" customHeight="1" x14ac:dyDescent="0.2"/>
    <row r="54" spans="2:9" ht="12.75" customHeight="1" x14ac:dyDescent="0.2">
      <c r="B54" s="1951"/>
      <c r="C54" s="1951"/>
      <c r="D54" s="1951"/>
      <c r="E54" s="1951"/>
      <c r="F54" s="1951"/>
      <c r="G54" s="1951"/>
      <c r="H54" s="1951"/>
      <c r="I54" s="1951"/>
    </row>
    <row r="55" spans="2:9" ht="12.75" customHeight="1" x14ac:dyDescent="0.2">
      <c r="B55" s="1951"/>
      <c r="C55" s="1951"/>
      <c r="D55" s="1951"/>
      <c r="E55" s="1951"/>
      <c r="F55" s="1951"/>
      <c r="G55" s="1951"/>
      <c r="H55" s="1951"/>
      <c r="I55" s="1951"/>
    </row>
    <row r="56" spans="2:9" ht="12.75" customHeight="1" x14ac:dyDescent="0.2">
      <c r="B56" s="1951"/>
      <c r="C56" s="1951"/>
      <c r="D56" s="1951"/>
      <c r="E56" s="1951"/>
      <c r="F56" s="1951"/>
      <c r="G56" s="1951"/>
      <c r="H56" s="1951"/>
      <c r="I56" s="1951"/>
    </row>
    <row r="57" spans="2:9" ht="12.75" customHeight="1" x14ac:dyDescent="0.2">
      <c r="B57" s="1951"/>
      <c r="C57" s="1951"/>
      <c r="D57" s="1951"/>
      <c r="E57" s="1951"/>
      <c r="F57" s="1951"/>
      <c r="G57" s="1951"/>
      <c r="H57" s="1951"/>
      <c r="I57" s="1951"/>
    </row>
    <row r="58" spans="2:9" ht="12.75" customHeight="1" x14ac:dyDescent="0.2">
      <c r="B58" s="1951"/>
      <c r="C58" s="1951"/>
      <c r="D58" s="1951"/>
      <c r="E58" s="1951"/>
      <c r="F58" s="1951"/>
      <c r="G58" s="1951"/>
      <c r="H58" s="1951"/>
      <c r="I58" s="1951"/>
    </row>
    <row r="59" spans="2:9" ht="12.75" customHeight="1" x14ac:dyDescent="0.2">
      <c r="B59" s="1951"/>
      <c r="C59" s="1951"/>
      <c r="D59" s="1951"/>
      <c r="E59" s="1951"/>
      <c r="F59" s="1951"/>
      <c r="G59" s="1951"/>
      <c r="H59" s="1951"/>
      <c r="I59" s="1951"/>
    </row>
    <row r="60" spans="2:9" ht="12.75" customHeight="1" x14ac:dyDescent="0.2">
      <c r="B60" s="1951"/>
      <c r="C60" s="1951"/>
      <c r="D60" s="1951"/>
      <c r="E60" s="1951"/>
      <c r="F60" s="1951"/>
    </row>
    <row r="61" spans="2:9" ht="12.75" customHeight="1" x14ac:dyDescent="0.2">
      <c r="B61" s="1951"/>
      <c r="C61" s="1951"/>
      <c r="D61" s="1951"/>
      <c r="E61" s="1951"/>
      <c r="F61" s="1951"/>
      <c r="G61" s="1951"/>
      <c r="H61" s="1951"/>
      <c r="I61" s="1951"/>
    </row>
    <row r="65" spans="2:4" x14ac:dyDescent="0.2">
      <c r="B65" s="1968"/>
      <c r="C65" s="1968"/>
      <c r="D65" s="1968"/>
    </row>
    <row r="66" spans="2:4" x14ac:dyDescent="0.2">
      <c r="B66" s="1966"/>
      <c r="C66" s="1966"/>
      <c r="D66" s="1966"/>
    </row>
    <row r="67" spans="2:4" x14ac:dyDescent="0.2">
      <c r="B67" s="1966"/>
      <c r="C67" s="1966"/>
      <c r="D67" s="1966"/>
    </row>
    <row r="68" spans="2:4" x14ac:dyDescent="0.2">
      <c r="B68" s="1969"/>
      <c r="C68" s="1969"/>
      <c r="D68" s="1969"/>
    </row>
    <row r="69" spans="2:4" x14ac:dyDescent="0.2">
      <c r="B69" s="1969"/>
      <c r="C69" s="1969"/>
      <c r="D69" s="1969"/>
    </row>
    <row r="70" spans="2:4" x14ac:dyDescent="0.2">
      <c r="B70" s="1969"/>
      <c r="C70" s="1969"/>
      <c r="D70" s="1969"/>
    </row>
    <row r="71" spans="2:4" x14ac:dyDescent="0.2">
      <c r="B71" s="1966"/>
      <c r="C71" s="1966"/>
      <c r="D71" s="1966"/>
    </row>
  </sheetData>
  <mergeCells count="6">
    <mergeCell ref="B22:E22"/>
    <mergeCell ref="B9:E9"/>
    <mergeCell ref="B10:E10"/>
    <mergeCell ref="B11:E11"/>
    <mergeCell ref="B12:E12"/>
    <mergeCell ref="B19:E19"/>
  </mergeCells>
  <pageMargins left="0.25" right="0.27" top="0.68" bottom="0.53" header="0.26" footer="0.27"/>
  <pageSetup firstPageNumber="44" orientation="portrait" useFirstPageNumber="1" r:id="rId1"/>
  <headerFooter alignWithMargins="0">
    <oddHeader xml:space="preserve">&amp;C&amp;G&amp;R&amp;8
</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I1702"/>
  <sheetViews>
    <sheetView workbookViewId="0">
      <pane ySplit="1" topLeftCell="A1655" activePane="bottomLeft" state="frozen"/>
      <selection pane="bottomLeft" activeCell="A1669" sqref="A1669"/>
    </sheetView>
  </sheetViews>
  <sheetFormatPr defaultColWidth="9.140625" defaultRowHeight="15" x14ac:dyDescent="0.25"/>
  <cols>
    <col min="1" max="1" width="35.85546875" style="1945" bestFit="1" customWidth="1"/>
    <col min="2" max="2" width="55.85546875" style="1903" bestFit="1" customWidth="1"/>
    <col min="3" max="4" width="12.7109375" style="1903" bestFit="1" customWidth="1"/>
    <col min="5" max="5" width="15.140625" style="1903" bestFit="1" customWidth="1"/>
    <col min="6" max="6" width="14.140625" style="1915" bestFit="1" customWidth="1"/>
    <col min="7" max="7" width="13.42578125" style="1903" bestFit="1" customWidth="1"/>
    <col min="8" max="8" width="12.42578125" style="1903" bestFit="1" customWidth="1"/>
    <col min="9" max="9" width="18.5703125" style="1903" bestFit="1" customWidth="1"/>
    <col min="10" max="16384" width="9.140625" style="1903"/>
  </cols>
  <sheetData>
    <row r="1" spans="1:8" s="1908" customFormat="1" ht="72" customHeight="1" x14ac:dyDescent="0.25">
      <c r="A1" s="1943" t="s">
        <v>2080</v>
      </c>
      <c r="C1" s="1909"/>
      <c r="D1" s="1909"/>
      <c r="E1" s="1923" t="s">
        <v>2079</v>
      </c>
      <c r="F1" s="1923" t="s">
        <v>2078</v>
      </c>
      <c r="G1" s="1923" t="s">
        <v>30</v>
      </c>
    </row>
    <row r="2" spans="1:8" x14ac:dyDescent="0.25">
      <c r="A2" s="1939" t="s">
        <v>3220</v>
      </c>
      <c r="B2" s="1901" t="s">
        <v>2085</v>
      </c>
      <c r="C2" s="1906"/>
      <c r="D2" s="1906"/>
      <c r="E2" s="1925">
        <v>6328279.9400000004</v>
      </c>
      <c r="F2" s="1916"/>
      <c r="G2" s="1907"/>
      <c r="H2" s="1926"/>
    </row>
    <row r="3" spans="1:8" x14ac:dyDescent="0.25">
      <c r="A3" s="1939" t="s">
        <v>3187</v>
      </c>
      <c r="B3" s="1901" t="s">
        <v>1169</v>
      </c>
      <c r="C3" s="1906"/>
      <c r="D3" s="1906"/>
      <c r="E3" s="1925">
        <v>6328279.9400000004</v>
      </c>
      <c r="F3" s="1916"/>
      <c r="G3" s="1907"/>
      <c r="H3" s="1926"/>
    </row>
    <row r="4" spans="1:8" x14ac:dyDescent="0.25">
      <c r="A4" s="1939" t="s">
        <v>3187</v>
      </c>
      <c r="B4" s="1901" t="s">
        <v>1169</v>
      </c>
      <c r="C4" s="1905"/>
      <c r="D4" s="1905"/>
      <c r="E4" s="1925">
        <v>6328279.9400000004</v>
      </c>
      <c r="F4" s="1916"/>
      <c r="G4" s="1907"/>
      <c r="H4" s="1926"/>
    </row>
    <row r="5" spans="1:8" x14ac:dyDescent="0.25">
      <c r="A5" s="1939" t="s">
        <v>3325</v>
      </c>
      <c r="B5" s="1901" t="s">
        <v>2086</v>
      </c>
      <c r="C5" s="1905"/>
      <c r="D5" s="1905"/>
      <c r="E5" s="1925">
        <v>0</v>
      </c>
      <c r="F5" s="1916"/>
      <c r="G5" s="1907"/>
      <c r="H5" s="1926"/>
    </row>
    <row r="6" spans="1:8" x14ac:dyDescent="0.25">
      <c r="A6" s="1939" t="s">
        <v>3188</v>
      </c>
      <c r="B6" s="1901" t="s">
        <v>194</v>
      </c>
      <c r="C6" s="1905"/>
      <c r="D6" s="1905"/>
      <c r="E6" s="1925">
        <v>0</v>
      </c>
      <c r="F6" s="1917"/>
      <c r="G6" s="1907"/>
      <c r="H6" s="1926"/>
    </row>
    <row r="7" spans="1:8" x14ac:dyDescent="0.25">
      <c r="A7" s="1939" t="s">
        <v>3189</v>
      </c>
      <c r="B7" s="1901" t="s">
        <v>961</v>
      </c>
      <c r="C7" s="1906"/>
      <c r="D7" s="1906"/>
      <c r="E7" s="1925">
        <v>0</v>
      </c>
      <c r="F7" s="1916"/>
      <c r="G7" s="1907"/>
      <c r="H7" s="1926"/>
    </row>
    <row r="8" spans="1:8" x14ac:dyDescent="0.25">
      <c r="A8" s="1939" t="s">
        <v>3221</v>
      </c>
      <c r="B8" s="1901" t="s">
        <v>2088</v>
      </c>
      <c r="C8" s="1906"/>
      <c r="D8" s="1906"/>
      <c r="E8" s="1925">
        <v>141133.43</v>
      </c>
      <c r="F8" s="1916"/>
      <c r="G8" s="1907"/>
      <c r="H8" s="1926"/>
    </row>
    <row r="9" spans="1:8" x14ac:dyDescent="0.25">
      <c r="A9" s="1939" t="s">
        <v>3222</v>
      </c>
      <c r="B9" s="1901" t="s">
        <v>2089</v>
      </c>
      <c r="C9" s="1905"/>
      <c r="D9" s="1905"/>
      <c r="E9" s="1925">
        <v>56214.16</v>
      </c>
      <c r="F9" s="1917"/>
      <c r="G9" s="1907"/>
      <c r="H9" s="1926"/>
    </row>
    <row r="10" spans="1:8" x14ac:dyDescent="0.25">
      <c r="A10" s="1939" t="s">
        <v>3187</v>
      </c>
      <c r="B10" s="1901" t="s">
        <v>1169</v>
      </c>
      <c r="C10" s="1906"/>
      <c r="D10" s="1906"/>
      <c r="E10" s="1925">
        <v>197347.59</v>
      </c>
      <c r="F10" s="1916"/>
      <c r="G10" s="1907"/>
      <c r="H10" s="1926"/>
    </row>
    <row r="11" spans="1:8" x14ac:dyDescent="0.25">
      <c r="A11" s="1939" t="s">
        <v>3288</v>
      </c>
      <c r="B11" s="1901" t="s">
        <v>163</v>
      </c>
      <c r="C11" s="1905"/>
      <c r="D11" s="1905"/>
      <c r="E11" s="1925">
        <v>197347.59</v>
      </c>
      <c r="F11" s="1916"/>
      <c r="G11" s="1907"/>
      <c r="H11" s="1926"/>
    </row>
    <row r="12" spans="1:8" x14ac:dyDescent="0.25">
      <c r="A12" s="1939" t="s">
        <v>3223</v>
      </c>
      <c r="B12" s="1901" t="s">
        <v>2090</v>
      </c>
      <c r="C12" s="1906"/>
      <c r="D12" s="1905"/>
      <c r="E12" s="1925">
        <v>1007036.17</v>
      </c>
      <c r="F12" s="1916"/>
      <c r="G12" s="1907"/>
      <c r="H12" s="1926"/>
    </row>
    <row r="13" spans="1:8" x14ac:dyDescent="0.25">
      <c r="A13" s="1939" t="s">
        <v>3187</v>
      </c>
      <c r="B13" s="1901" t="s">
        <v>1169</v>
      </c>
      <c r="C13" s="1906"/>
      <c r="D13" s="1906"/>
      <c r="E13" s="1925">
        <v>1007036.17</v>
      </c>
      <c r="F13" s="1917"/>
      <c r="G13" s="1907"/>
      <c r="H13" s="1926"/>
    </row>
    <row r="14" spans="1:8" x14ac:dyDescent="0.25">
      <c r="A14" s="1939" t="s">
        <v>3301</v>
      </c>
      <c r="B14" s="1901" t="s">
        <v>2091</v>
      </c>
      <c r="C14" s="1906"/>
      <c r="D14" s="1906"/>
      <c r="E14" s="1925">
        <v>1007036.17</v>
      </c>
      <c r="F14" s="1917"/>
      <c r="G14" s="1907"/>
      <c r="H14" s="1926"/>
    </row>
    <row r="15" spans="1:8" x14ac:dyDescent="0.25">
      <c r="A15" s="1939" t="s">
        <v>3224</v>
      </c>
      <c r="B15" s="1901" t="s">
        <v>2092</v>
      </c>
      <c r="C15" s="1906"/>
      <c r="D15" s="1906"/>
      <c r="E15" s="1925">
        <v>0</v>
      </c>
      <c r="F15" s="1917"/>
      <c r="G15" s="1907"/>
      <c r="H15" s="1926"/>
    </row>
    <row r="16" spans="1:8" x14ac:dyDescent="0.25">
      <c r="A16" s="1939" t="s">
        <v>3187</v>
      </c>
      <c r="B16" s="1901" t="s">
        <v>1169</v>
      </c>
      <c r="C16" s="1906"/>
      <c r="D16" s="1906"/>
      <c r="E16" s="1925">
        <v>0</v>
      </c>
      <c r="F16" s="1917"/>
      <c r="H16" s="1926"/>
    </row>
    <row r="17" spans="1:8" x14ac:dyDescent="0.25">
      <c r="A17" s="1939" t="s">
        <v>3190</v>
      </c>
      <c r="B17" s="1901" t="s">
        <v>2093</v>
      </c>
      <c r="C17" s="1906"/>
      <c r="D17" s="1906"/>
      <c r="E17" s="1925">
        <v>0</v>
      </c>
      <c r="F17" s="1917"/>
      <c r="H17" s="1926"/>
    </row>
    <row r="18" spans="1:8" x14ac:dyDescent="0.25">
      <c r="A18" s="1939" t="s">
        <v>3252</v>
      </c>
      <c r="B18" s="1901" t="s">
        <v>2094</v>
      </c>
      <c r="C18" s="1906"/>
      <c r="D18" s="1906"/>
      <c r="E18" s="1925">
        <v>259828.47</v>
      </c>
      <c r="F18" s="1917"/>
      <c r="H18" s="1926"/>
    </row>
    <row r="19" spans="1:8" x14ac:dyDescent="0.25">
      <c r="A19" s="1939" t="s">
        <v>3187</v>
      </c>
      <c r="B19" s="1901" t="s">
        <v>1169</v>
      </c>
      <c r="C19" s="1906"/>
      <c r="D19" s="1906"/>
      <c r="E19" s="1925">
        <v>259828.47</v>
      </c>
      <c r="F19" s="1917"/>
      <c r="H19" s="1926"/>
    </row>
    <row r="20" spans="1:8" x14ac:dyDescent="0.25">
      <c r="A20" s="1939" t="s">
        <v>3191</v>
      </c>
      <c r="B20" s="1901" t="s">
        <v>2095</v>
      </c>
      <c r="C20" s="1906"/>
      <c r="D20" s="1906"/>
      <c r="E20" s="1925">
        <v>259828.47</v>
      </c>
      <c r="F20" s="1917"/>
      <c r="H20" s="1926"/>
    </row>
    <row r="21" spans="1:8" x14ac:dyDescent="0.25">
      <c r="A21" s="1939" t="s">
        <v>3225</v>
      </c>
      <c r="B21" s="1901" t="s">
        <v>2096</v>
      </c>
      <c r="C21" s="1906"/>
      <c r="D21" s="1906"/>
      <c r="E21" s="1925">
        <v>46254.400000000001</v>
      </c>
      <c r="F21" s="1917"/>
      <c r="H21" s="1926"/>
    </row>
    <row r="22" spans="1:8" x14ac:dyDescent="0.25">
      <c r="A22" s="1939" t="s">
        <v>3187</v>
      </c>
      <c r="B22" s="1901" t="s">
        <v>1169</v>
      </c>
      <c r="C22" s="1906"/>
      <c r="D22" s="1906"/>
      <c r="E22" s="1925">
        <v>46254.400000000001</v>
      </c>
      <c r="F22" s="1917"/>
      <c r="H22" s="1926"/>
    </row>
    <row r="23" spans="1:8" x14ac:dyDescent="0.25">
      <c r="A23" s="1939" t="s">
        <v>3192</v>
      </c>
      <c r="B23" s="1901" t="s">
        <v>2097</v>
      </c>
      <c r="C23" s="1906"/>
      <c r="D23" s="1906"/>
      <c r="E23" s="1925">
        <v>46254.400000000001</v>
      </c>
      <c r="F23" s="1917"/>
      <c r="H23" s="1926"/>
    </row>
    <row r="24" spans="1:8" x14ac:dyDescent="0.25">
      <c r="A24" s="1939" t="s">
        <v>3226</v>
      </c>
      <c r="B24" s="1901" t="s">
        <v>2098</v>
      </c>
      <c r="C24" s="1906"/>
      <c r="D24" s="1906"/>
      <c r="E24" s="1925">
        <v>160857.63</v>
      </c>
      <c r="F24" s="1917"/>
      <c r="H24" s="1926"/>
    </row>
    <row r="25" spans="1:8" x14ac:dyDescent="0.25">
      <c r="A25" s="1939" t="s">
        <v>3253</v>
      </c>
      <c r="B25" s="1901" t="s">
        <v>2099</v>
      </c>
      <c r="C25" s="1905"/>
      <c r="D25" s="1905"/>
      <c r="E25" s="1925">
        <v>6473.2</v>
      </c>
      <c r="F25" s="1918"/>
      <c r="H25" s="1926"/>
    </row>
    <row r="26" spans="1:8" x14ac:dyDescent="0.25">
      <c r="A26" s="1939" t="s">
        <v>3270</v>
      </c>
      <c r="B26" s="1901" t="s">
        <v>2100</v>
      </c>
      <c r="C26" s="1906"/>
      <c r="D26" s="1906"/>
      <c r="E26" s="1925">
        <v>26369.8</v>
      </c>
      <c r="F26" s="1917"/>
      <c r="H26" s="1926"/>
    </row>
    <row r="27" spans="1:8" x14ac:dyDescent="0.25">
      <c r="A27" s="1939" t="s">
        <v>3276</v>
      </c>
      <c r="B27" s="1901" t="s">
        <v>2101</v>
      </c>
      <c r="C27" s="1906"/>
      <c r="D27" s="1906"/>
      <c r="E27" s="1925">
        <v>0</v>
      </c>
      <c r="F27" s="1917"/>
      <c r="H27" s="1926"/>
    </row>
    <row r="28" spans="1:8" x14ac:dyDescent="0.25">
      <c r="A28" s="1939" t="s">
        <v>3336</v>
      </c>
      <c r="B28" s="1901" t="s">
        <v>2102</v>
      </c>
      <c r="C28" s="1906"/>
      <c r="D28" s="1906"/>
      <c r="E28" s="1925">
        <v>11519.65</v>
      </c>
      <c r="F28" s="1916"/>
      <c r="H28" s="1926"/>
    </row>
    <row r="29" spans="1:8" x14ac:dyDescent="0.25">
      <c r="A29" s="1939" t="s">
        <v>3336</v>
      </c>
      <c r="B29" s="1901" t="s">
        <v>2103</v>
      </c>
      <c r="C29" s="1905"/>
      <c r="D29" s="1905"/>
      <c r="E29" s="1925">
        <v>518.25</v>
      </c>
      <c r="F29" s="1917"/>
      <c r="H29" s="1926"/>
    </row>
    <row r="30" spans="1:8" x14ac:dyDescent="0.25">
      <c r="A30" s="1939" t="s">
        <v>3187</v>
      </c>
      <c r="B30" s="1901" t="s">
        <v>1169</v>
      </c>
      <c r="C30" s="1906"/>
      <c r="D30" s="1906"/>
      <c r="E30" s="1925">
        <v>205738.53</v>
      </c>
      <c r="F30" s="1917"/>
      <c r="H30" s="1926"/>
    </row>
    <row r="31" spans="1:8" x14ac:dyDescent="0.25">
      <c r="A31" s="1939" t="s">
        <v>3193</v>
      </c>
      <c r="B31" s="1901" t="s">
        <v>964</v>
      </c>
      <c r="C31" s="1906"/>
      <c r="D31" s="1906"/>
      <c r="E31" s="1925">
        <v>205738.53</v>
      </c>
      <c r="F31" s="1919"/>
      <c r="H31" s="1926"/>
    </row>
    <row r="32" spans="1:8" x14ac:dyDescent="0.25">
      <c r="A32" s="1939" t="s">
        <v>3227</v>
      </c>
      <c r="B32" s="1901" t="s">
        <v>2104</v>
      </c>
      <c r="C32" s="1901"/>
      <c r="D32" s="1901"/>
      <c r="E32" s="1925">
        <v>1180.9000000000001</v>
      </c>
      <c r="F32" s="1920"/>
      <c r="H32" s="1926"/>
    </row>
    <row r="33" spans="1:8" x14ac:dyDescent="0.25">
      <c r="A33" s="1939" t="s">
        <v>3187</v>
      </c>
      <c r="B33" s="1901" t="s">
        <v>1169</v>
      </c>
      <c r="C33" s="1906"/>
      <c r="D33" s="1906"/>
      <c r="E33" s="1925">
        <v>1180.9000000000001</v>
      </c>
      <c r="F33" s="1917"/>
      <c r="H33" s="1926"/>
    </row>
    <row r="34" spans="1:8" x14ac:dyDescent="0.25">
      <c r="A34" s="1939" t="s">
        <v>3194</v>
      </c>
      <c r="B34" s="1901" t="s">
        <v>987</v>
      </c>
      <c r="C34" s="1901"/>
      <c r="D34" s="1901"/>
      <c r="E34" s="1925">
        <v>1180.9000000000001</v>
      </c>
      <c r="F34" s="1920"/>
      <c r="H34" s="1926"/>
    </row>
    <row r="35" spans="1:8" x14ac:dyDescent="0.25">
      <c r="A35" s="1939" t="s">
        <v>3228</v>
      </c>
      <c r="B35" s="1901" t="s">
        <v>2105</v>
      </c>
      <c r="C35" s="1906"/>
      <c r="D35" s="1906"/>
      <c r="E35" s="1925">
        <v>18738.830000000002</v>
      </c>
      <c r="F35" s="1920"/>
      <c r="H35" s="1926"/>
    </row>
    <row r="36" spans="1:8" x14ac:dyDescent="0.25">
      <c r="A36" s="1939" t="s">
        <v>3187</v>
      </c>
      <c r="B36" s="1901" t="s">
        <v>1169</v>
      </c>
      <c r="C36" s="1905"/>
      <c r="D36" s="1906"/>
      <c r="E36" s="1925">
        <v>18738.830000000002</v>
      </c>
      <c r="F36" s="1920"/>
      <c r="H36" s="1926"/>
    </row>
    <row r="37" spans="1:8" x14ac:dyDescent="0.25">
      <c r="A37" s="1939" t="s">
        <v>3195</v>
      </c>
      <c r="B37" s="1901" t="s">
        <v>2106</v>
      </c>
      <c r="C37" s="1905"/>
      <c r="D37" s="1906"/>
      <c r="E37" s="1925">
        <v>18738.830000000002</v>
      </c>
      <c r="F37" s="1920"/>
      <c r="H37" s="1926"/>
    </row>
    <row r="38" spans="1:8" x14ac:dyDescent="0.25">
      <c r="A38" s="1939" t="s">
        <v>3254</v>
      </c>
      <c r="B38" s="1901" t="s">
        <v>2107</v>
      </c>
      <c r="C38" s="1905"/>
      <c r="D38" s="1906"/>
      <c r="E38" s="1925">
        <v>7845</v>
      </c>
      <c r="F38" s="1920"/>
      <c r="H38" s="1926"/>
    </row>
    <row r="39" spans="1:8" x14ac:dyDescent="0.25">
      <c r="A39" s="1939" t="s">
        <v>3277</v>
      </c>
      <c r="B39" s="1901" t="s">
        <v>2108</v>
      </c>
      <c r="C39" s="1905"/>
      <c r="D39" s="1906"/>
      <c r="E39" s="1925">
        <v>1639</v>
      </c>
      <c r="F39" s="1920"/>
      <c r="H39" s="1926"/>
    </row>
    <row r="40" spans="1:8" x14ac:dyDescent="0.25">
      <c r="A40" s="1939" t="s">
        <v>3289</v>
      </c>
      <c r="B40" s="1901" t="s">
        <v>2109</v>
      </c>
      <c r="C40" s="1905"/>
      <c r="D40" s="1906"/>
      <c r="E40" s="1925">
        <v>8309</v>
      </c>
      <c r="F40" s="1920"/>
      <c r="H40" s="1926"/>
    </row>
    <row r="41" spans="1:8" x14ac:dyDescent="0.25">
      <c r="A41" s="1939" t="s">
        <v>3302</v>
      </c>
      <c r="B41" s="1901" t="s">
        <v>2110</v>
      </c>
      <c r="C41" s="1906"/>
      <c r="D41" s="1906"/>
      <c r="E41" s="1925">
        <v>4058</v>
      </c>
      <c r="F41" s="1920"/>
      <c r="H41" s="1926"/>
    </row>
    <row r="42" spans="1:8" x14ac:dyDescent="0.25">
      <c r="A42" s="1939" t="s">
        <v>3311</v>
      </c>
      <c r="B42" s="1901" t="s">
        <v>2111</v>
      </c>
      <c r="C42" s="1905"/>
      <c r="D42" s="1905"/>
      <c r="E42" s="1925">
        <v>78077.72</v>
      </c>
      <c r="F42" s="1920"/>
      <c r="H42" s="1926"/>
    </row>
    <row r="43" spans="1:8" x14ac:dyDescent="0.25">
      <c r="A43" s="1939" t="s">
        <v>3320</v>
      </c>
      <c r="B43" s="1901" t="s">
        <v>2112</v>
      </c>
      <c r="C43" s="1905"/>
      <c r="D43" s="1906"/>
      <c r="E43" s="1925">
        <v>319.89</v>
      </c>
      <c r="F43" s="1920"/>
      <c r="H43" s="1926"/>
    </row>
    <row r="44" spans="1:8" x14ac:dyDescent="0.25">
      <c r="A44" s="1939" t="s">
        <v>3326</v>
      </c>
      <c r="B44" s="1901" t="s">
        <v>2113</v>
      </c>
      <c r="C44" s="1905"/>
      <c r="D44" s="1906"/>
      <c r="E44" s="1925">
        <v>6004.5</v>
      </c>
      <c r="F44" s="1920"/>
      <c r="H44" s="1926"/>
    </row>
    <row r="45" spans="1:8" x14ac:dyDescent="0.25">
      <c r="A45" s="1939" t="s">
        <v>3229</v>
      </c>
      <c r="B45" s="1901" t="s">
        <v>2114</v>
      </c>
      <c r="C45" s="1905"/>
      <c r="D45" s="1906"/>
      <c r="E45" s="1925">
        <v>23252</v>
      </c>
      <c r="F45" s="1920"/>
      <c r="H45" s="1926"/>
    </row>
    <row r="46" spans="1:8" x14ac:dyDescent="0.25">
      <c r="A46" s="1939" t="s">
        <v>3187</v>
      </c>
      <c r="B46" s="1901" t="s">
        <v>1169</v>
      </c>
      <c r="C46" s="1905"/>
      <c r="D46" s="1906"/>
      <c r="E46" s="1925">
        <v>129505.11</v>
      </c>
      <c r="F46" s="1920"/>
      <c r="H46" s="1926"/>
    </row>
    <row r="47" spans="1:8" x14ac:dyDescent="0.25">
      <c r="A47" s="1939" t="s">
        <v>3196</v>
      </c>
      <c r="B47" s="1901" t="s">
        <v>2115</v>
      </c>
      <c r="C47" s="1905"/>
      <c r="D47" s="1906"/>
      <c r="E47" s="1925">
        <v>129505.11</v>
      </c>
      <c r="F47" s="1920"/>
      <c r="H47" s="1926"/>
    </row>
    <row r="48" spans="1:8" x14ac:dyDescent="0.25">
      <c r="A48" s="1939" t="s">
        <v>3230</v>
      </c>
      <c r="B48" s="1901" t="s">
        <v>2116</v>
      </c>
      <c r="C48" s="1905"/>
      <c r="D48" s="1906"/>
      <c r="E48" s="1925">
        <v>966</v>
      </c>
      <c r="F48" s="1920"/>
      <c r="H48" s="1926"/>
    </row>
    <row r="49" spans="1:8" x14ac:dyDescent="0.25">
      <c r="A49" s="1939" t="s">
        <v>3187</v>
      </c>
      <c r="B49" s="1901" t="s">
        <v>1169</v>
      </c>
      <c r="C49" s="1905"/>
      <c r="D49" s="1906"/>
      <c r="E49" s="1925">
        <v>966</v>
      </c>
      <c r="F49" s="1920"/>
      <c r="H49" s="1926"/>
    </row>
    <row r="50" spans="1:8" x14ac:dyDescent="0.25">
      <c r="A50" s="1939" t="s">
        <v>3197</v>
      </c>
      <c r="B50" s="1901" t="s">
        <v>152</v>
      </c>
      <c r="C50" s="1905"/>
      <c r="D50" s="1906"/>
      <c r="E50" s="1925">
        <v>966</v>
      </c>
      <c r="F50" s="1920"/>
      <c r="H50" s="1926"/>
    </row>
    <row r="51" spans="1:8" x14ac:dyDescent="0.25">
      <c r="A51" s="1939" t="s">
        <v>3231</v>
      </c>
      <c r="B51" s="1901" t="s">
        <v>2117</v>
      </c>
      <c r="C51" s="1905"/>
      <c r="D51" s="1906"/>
      <c r="E51" s="1925">
        <v>7940.44</v>
      </c>
      <c r="F51" s="1920"/>
      <c r="H51" s="1926"/>
    </row>
    <row r="52" spans="1:8" x14ac:dyDescent="0.25">
      <c r="A52" s="1939" t="s">
        <v>3232</v>
      </c>
      <c r="B52" s="1901" t="s">
        <v>2118</v>
      </c>
      <c r="C52" s="1905"/>
      <c r="D52" s="1906"/>
      <c r="E52" s="1925">
        <v>0</v>
      </c>
      <c r="F52" s="1920"/>
      <c r="H52" s="1926"/>
    </row>
    <row r="53" spans="1:8" x14ac:dyDescent="0.25">
      <c r="A53" s="1939" t="s">
        <v>3233</v>
      </c>
      <c r="B53" s="1901" t="s">
        <v>2119</v>
      </c>
      <c r="C53" s="1905"/>
      <c r="D53" s="1906"/>
      <c r="E53" s="1925">
        <v>123134.85</v>
      </c>
      <c r="F53" s="1920"/>
      <c r="H53" s="1926"/>
    </row>
    <row r="54" spans="1:8" x14ac:dyDescent="0.25">
      <c r="A54" s="1939" t="s">
        <v>3327</v>
      </c>
      <c r="B54" s="1901" t="s">
        <v>2120</v>
      </c>
      <c r="C54" s="1905"/>
      <c r="D54" s="1906"/>
      <c r="E54" s="1925">
        <v>3387.19</v>
      </c>
      <c r="F54" s="1920"/>
      <c r="H54" s="1926"/>
    </row>
    <row r="55" spans="1:8" x14ac:dyDescent="0.25">
      <c r="A55" s="1939" t="s">
        <v>3187</v>
      </c>
      <c r="B55" s="1901" t="s">
        <v>1169</v>
      </c>
      <c r="C55" s="1905"/>
      <c r="D55" s="1905"/>
      <c r="E55" s="1925">
        <v>134462.48000000001</v>
      </c>
      <c r="F55" s="1920"/>
      <c r="H55" s="1926"/>
    </row>
    <row r="56" spans="1:8" x14ac:dyDescent="0.25">
      <c r="A56" s="1939" t="s">
        <v>3255</v>
      </c>
      <c r="B56" s="1901" t="s">
        <v>2121</v>
      </c>
      <c r="C56" s="1906"/>
      <c r="D56" s="1906"/>
      <c r="E56" s="1925">
        <v>134462.48000000001</v>
      </c>
      <c r="F56" s="1920"/>
      <c r="H56" s="1926"/>
    </row>
    <row r="57" spans="1:8" x14ac:dyDescent="0.25">
      <c r="A57" s="1939" t="s">
        <v>3198</v>
      </c>
      <c r="B57" s="1901" t="s">
        <v>456</v>
      </c>
      <c r="C57" s="1905"/>
      <c r="D57" s="1906"/>
      <c r="E57" s="1925">
        <v>8329338.4199999999</v>
      </c>
      <c r="F57" s="1920"/>
      <c r="H57" s="1926"/>
    </row>
    <row r="58" spans="1:8" x14ac:dyDescent="0.25">
      <c r="A58" s="1939" t="s">
        <v>3234</v>
      </c>
      <c r="B58" s="1901" t="s">
        <v>2122</v>
      </c>
      <c r="C58" s="1905"/>
      <c r="D58" s="1906"/>
      <c r="E58" s="1925">
        <v>6452075.6699999999</v>
      </c>
      <c r="F58" s="1920"/>
      <c r="H58" s="1926"/>
    </row>
    <row r="59" spans="1:8" x14ac:dyDescent="0.25">
      <c r="A59" s="1939" t="s">
        <v>3187</v>
      </c>
      <c r="B59" s="1901" t="s">
        <v>1169</v>
      </c>
      <c r="C59" s="1905"/>
      <c r="D59" s="1906"/>
      <c r="E59" s="1925">
        <v>6452075.6699999999</v>
      </c>
      <c r="F59" s="1920"/>
      <c r="H59" s="1926"/>
    </row>
    <row r="60" spans="1:8" x14ac:dyDescent="0.25">
      <c r="A60" s="1939" t="s">
        <v>3199</v>
      </c>
      <c r="B60" s="1901" t="s">
        <v>449</v>
      </c>
      <c r="C60" s="1905"/>
      <c r="D60" s="1906"/>
      <c r="E60" s="1925">
        <v>6452075.6699999999</v>
      </c>
      <c r="F60" s="1920"/>
      <c r="H60" s="1926"/>
    </row>
    <row r="61" spans="1:8" x14ac:dyDescent="0.25">
      <c r="A61" s="1939" t="s">
        <v>3235</v>
      </c>
      <c r="B61" s="1901" t="s">
        <v>2123</v>
      </c>
      <c r="C61" s="1905"/>
      <c r="D61" s="1906"/>
      <c r="E61" s="1925">
        <v>166879.25</v>
      </c>
      <c r="F61" s="1920"/>
      <c r="H61" s="1926"/>
    </row>
    <row r="62" spans="1:8" x14ac:dyDescent="0.25">
      <c r="A62" s="1939" t="s">
        <v>3290</v>
      </c>
      <c r="B62" s="1901" t="s">
        <v>2124</v>
      </c>
      <c r="C62" s="1906"/>
      <c r="D62" s="1906"/>
      <c r="E62" s="1925">
        <v>0</v>
      </c>
      <c r="F62" s="1920"/>
      <c r="H62" s="1926"/>
    </row>
    <row r="63" spans="1:8" x14ac:dyDescent="0.25">
      <c r="A63" s="1939" t="s">
        <v>3236</v>
      </c>
      <c r="B63" s="1901" t="s">
        <v>2125</v>
      </c>
      <c r="C63" s="1905"/>
      <c r="D63" s="1906"/>
      <c r="E63" s="1925">
        <v>0</v>
      </c>
      <c r="F63" s="1920"/>
      <c r="H63" s="1926"/>
    </row>
    <row r="64" spans="1:8" x14ac:dyDescent="0.25">
      <c r="A64" s="1939" t="s">
        <v>3237</v>
      </c>
      <c r="B64" s="1901" t="s">
        <v>2126</v>
      </c>
      <c r="C64" s="1905"/>
      <c r="D64" s="1906"/>
      <c r="E64" s="1925">
        <v>0</v>
      </c>
      <c r="F64" s="1920"/>
      <c r="H64" s="1926"/>
    </row>
    <row r="65" spans="1:8" x14ac:dyDescent="0.25">
      <c r="A65" s="1939" t="s">
        <v>3291</v>
      </c>
      <c r="B65" s="1901" t="s">
        <v>2127</v>
      </c>
      <c r="C65" s="1905"/>
      <c r="D65" s="1906"/>
      <c r="E65" s="1925">
        <v>0</v>
      </c>
      <c r="F65" s="1920"/>
      <c r="H65" s="1926"/>
    </row>
    <row r="66" spans="1:8" x14ac:dyDescent="0.25">
      <c r="A66" s="1939" t="s">
        <v>3187</v>
      </c>
      <c r="B66" s="1901" t="s">
        <v>1169</v>
      </c>
      <c r="C66" s="1905"/>
      <c r="D66" s="1906"/>
      <c r="E66" s="1925">
        <v>166879.25</v>
      </c>
      <c r="F66" s="1920"/>
      <c r="H66" s="1926"/>
    </row>
    <row r="67" spans="1:8" x14ac:dyDescent="0.25">
      <c r="A67" s="1939" t="s">
        <v>3200</v>
      </c>
      <c r="B67" s="1901" t="s">
        <v>2128</v>
      </c>
      <c r="C67" s="1905"/>
      <c r="D67" s="1906"/>
      <c r="E67" s="1925">
        <v>166879.25</v>
      </c>
      <c r="F67" s="1920"/>
      <c r="H67" s="1926"/>
    </row>
    <row r="68" spans="1:8" x14ac:dyDescent="0.25">
      <c r="A68" s="1939" t="s">
        <v>3238</v>
      </c>
      <c r="B68" s="1901" t="s">
        <v>2129</v>
      </c>
      <c r="C68" s="1905"/>
      <c r="D68" s="1906"/>
      <c r="E68" s="1925">
        <v>9092.4500000000007</v>
      </c>
      <c r="F68" s="1920"/>
      <c r="H68" s="1926"/>
    </row>
    <row r="69" spans="1:8" x14ac:dyDescent="0.25">
      <c r="A69" s="1939" t="s">
        <v>3187</v>
      </c>
      <c r="B69" s="1901" t="s">
        <v>1169</v>
      </c>
      <c r="C69" s="1905"/>
      <c r="D69" s="1906"/>
      <c r="E69" s="1925">
        <v>9092.4500000000007</v>
      </c>
      <c r="F69" s="1920"/>
      <c r="H69" s="1926"/>
    </row>
    <row r="70" spans="1:8" x14ac:dyDescent="0.25">
      <c r="A70" s="1939" t="s">
        <v>3201</v>
      </c>
      <c r="B70" s="1901" t="s">
        <v>2130</v>
      </c>
      <c r="C70" s="1905"/>
      <c r="D70" s="1906"/>
      <c r="E70" s="1925">
        <v>9092.4500000000007</v>
      </c>
      <c r="F70" s="1920"/>
      <c r="H70" s="1926"/>
    </row>
    <row r="71" spans="1:8" x14ac:dyDescent="0.25">
      <c r="A71" s="1939" t="s">
        <v>3239</v>
      </c>
      <c r="B71" s="1901" t="s">
        <v>2092</v>
      </c>
      <c r="C71" s="1905"/>
      <c r="D71" s="1906"/>
      <c r="E71" s="1925">
        <v>0</v>
      </c>
      <c r="F71" s="1920"/>
      <c r="H71" s="1926"/>
    </row>
    <row r="72" spans="1:8" x14ac:dyDescent="0.25">
      <c r="A72" s="1939" t="s">
        <v>3187</v>
      </c>
      <c r="B72" s="1901" t="s">
        <v>1169</v>
      </c>
      <c r="C72" s="1905"/>
      <c r="D72" s="1906"/>
      <c r="E72" s="1925">
        <v>0</v>
      </c>
      <c r="F72" s="1920"/>
      <c r="H72" s="1926"/>
    </row>
    <row r="73" spans="1:8" x14ac:dyDescent="0.25">
      <c r="A73" s="1939" t="s">
        <v>3202</v>
      </c>
      <c r="B73" s="1901" t="s">
        <v>2131</v>
      </c>
      <c r="C73" s="1905"/>
      <c r="D73" s="1906"/>
      <c r="E73" s="1925">
        <v>0</v>
      </c>
      <c r="F73" s="1920"/>
      <c r="H73" s="1926"/>
    </row>
    <row r="74" spans="1:8" x14ac:dyDescent="0.25">
      <c r="A74" s="1939" t="s">
        <v>3292</v>
      </c>
      <c r="B74" s="1901" t="s">
        <v>2132</v>
      </c>
      <c r="C74" s="1905"/>
      <c r="D74" s="1905"/>
      <c r="E74" s="1925">
        <v>628272</v>
      </c>
      <c r="F74" s="1920"/>
      <c r="H74" s="1926"/>
    </row>
    <row r="75" spans="1:8" x14ac:dyDescent="0.25">
      <c r="A75" s="1939" t="s">
        <v>3293</v>
      </c>
      <c r="B75" s="1901" t="s">
        <v>2133</v>
      </c>
      <c r="C75" s="1905"/>
      <c r="D75" s="1906"/>
      <c r="E75" s="1925">
        <v>148229</v>
      </c>
      <c r="F75" s="1920"/>
      <c r="H75" s="1926"/>
    </row>
    <row r="76" spans="1:8" x14ac:dyDescent="0.25">
      <c r="A76" s="1939" t="s">
        <v>3187</v>
      </c>
      <c r="B76" s="1901" t="s">
        <v>1169</v>
      </c>
      <c r="C76" s="1905"/>
      <c r="D76" s="1906"/>
      <c r="E76" s="1925">
        <v>776501</v>
      </c>
      <c r="F76" s="1920"/>
      <c r="H76" s="1926"/>
    </row>
    <row r="77" spans="1:8" x14ac:dyDescent="0.25">
      <c r="A77" s="1939" t="s">
        <v>3199</v>
      </c>
      <c r="B77" s="1901" t="s">
        <v>2134</v>
      </c>
      <c r="C77" s="1905"/>
      <c r="D77" s="1906"/>
      <c r="E77" s="1925">
        <v>776501</v>
      </c>
      <c r="F77" s="1920"/>
      <c r="H77" s="1926"/>
    </row>
    <row r="78" spans="1:8" x14ac:dyDescent="0.25">
      <c r="A78" s="1939" t="s">
        <v>3241</v>
      </c>
      <c r="B78" s="1901" t="s">
        <v>2135</v>
      </c>
      <c r="C78" s="1905"/>
      <c r="D78" s="1906"/>
      <c r="E78" s="1925">
        <v>1378.5</v>
      </c>
      <c r="F78" s="1920"/>
      <c r="H78" s="1926"/>
    </row>
    <row r="79" spans="1:8" x14ac:dyDescent="0.25">
      <c r="A79" s="1939" t="s">
        <v>3240</v>
      </c>
      <c r="B79" s="1901" t="s">
        <v>2136</v>
      </c>
      <c r="C79" s="1905"/>
      <c r="D79" s="1906"/>
      <c r="E79" s="1925">
        <v>0</v>
      </c>
      <c r="F79" s="1920"/>
      <c r="H79" s="1926"/>
    </row>
    <row r="80" spans="1:8" x14ac:dyDescent="0.25">
      <c r="A80" s="1939" t="s">
        <v>3187</v>
      </c>
      <c r="B80" s="1901" t="s">
        <v>1169</v>
      </c>
      <c r="C80" s="1905"/>
      <c r="D80" s="1906"/>
      <c r="E80" s="1925">
        <v>1378.5</v>
      </c>
      <c r="F80" s="1920"/>
      <c r="H80" s="1926"/>
    </row>
    <row r="81" spans="1:8" x14ac:dyDescent="0.25">
      <c r="A81" s="1939" t="s">
        <v>3203</v>
      </c>
      <c r="B81" s="1901" t="s">
        <v>2137</v>
      </c>
      <c r="C81" s="1902"/>
      <c r="D81" s="1902"/>
      <c r="E81" s="1925">
        <v>1378.5</v>
      </c>
      <c r="F81" s="1920"/>
      <c r="H81" s="1926"/>
    </row>
    <row r="82" spans="1:8" x14ac:dyDescent="0.25">
      <c r="A82" s="1939" t="s">
        <v>3328</v>
      </c>
      <c r="B82" s="1901" t="s">
        <v>2092</v>
      </c>
      <c r="C82" s="1906"/>
      <c r="D82" s="1906"/>
      <c r="E82" s="1925">
        <v>0</v>
      </c>
      <c r="F82" s="1920"/>
      <c r="H82" s="1926"/>
    </row>
    <row r="83" spans="1:8" x14ac:dyDescent="0.25">
      <c r="A83" s="1939" t="s">
        <v>3187</v>
      </c>
      <c r="B83" s="1901" t="s">
        <v>1169</v>
      </c>
      <c r="C83" s="1901"/>
      <c r="D83" s="1902"/>
      <c r="E83" s="1925">
        <v>0</v>
      </c>
      <c r="F83" s="1920"/>
      <c r="H83" s="1926"/>
    </row>
    <row r="84" spans="1:8" x14ac:dyDescent="0.25">
      <c r="A84" s="1939" t="s">
        <v>3204</v>
      </c>
      <c r="B84" s="1901" t="s">
        <v>2138</v>
      </c>
      <c r="C84" s="1906"/>
      <c r="D84" s="1905"/>
      <c r="E84" s="1925">
        <v>0</v>
      </c>
      <c r="F84" s="1920"/>
      <c r="H84" s="1926"/>
    </row>
    <row r="85" spans="1:8" x14ac:dyDescent="0.25">
      <c r="A85" s="1939" t="s">
        <v>3199</v>
      </c>
      <c r="B85" s="1901" t="s">
        <v>449</v>
      </c>
      <c r="C85" s="1906"/>
      <c r="D85" s="1905"/>
      <c r="E85" s="1925">
        <v>7405926.8700000001</v>
      </c>
      <c r="F85" s="1920"/>
      <c r="H85" s="1926"/>
    </row>
    <row r="86" spans="1:8" x14ac:dyDescent="0.25">
      <c r="A86" s="1939" t="s">
        <v>3312</v>
      </c>
      <c r="B86" s="1901" t="s">
        <v>2139</v>
      </c>
      <c r="C86" s="1905"/>
      <c r="D86" s="1905"/>
      <c r="E86" s="1925">
        <v>35842</v>
      </c>
      <c r="F86" s="1920"/>
      <c r="H86" s="1926"/>
    </row>
    <row r="87" spans="1:8" x14ac:dyDescent="0.25">
      <c r="A87" s="1939" t="s">
        <v>3187</v>
      </c>
      <c r="B87" s="1901" t="s">
        <v>1169</v>
      </c>
      <c r="C87" s="1906"/>
      <c r="D87" s="1905"/>
      <c r="E87" s="1925">
        <v>35842</v>
      </c>
      <c r="F87" s="1920"/>
      <c r="H87" s="1926"/>
    </row>
    <row r="88" spans="1:8" x14ac:dyDescent="0.25">
      <c r="A88" s="1939" t="s">
        <v>3205</v>
      </c>
      <c r="B88" s="1901" t="s">
        <v>2140</v>
      </c>
      <c r="C88" s="1906"/>
      <c r="D88" s="1905"/>
      <c r="E88" s="1925">
        <v>35842</v>
      </c>
      <c r="F88" s="1920"/>
      <c r="H88" s="1926"/>
    </row>
    <row r="89" spans="1:8" x14ac:dyDescent="0.25">
      <c r="A89" s="1939" t="s">
        <v>3242</v>
      </c>
      <c r="B89" s="1901" t="s">
        <v>2141</v>
      </c>
      <c r="C89" s="1906"/>
      <c r="D89" s="1905"/>
      <c r="E89" s="1925">
        <v>395713.92</v>
      </c>
      <c r="F89" s="1920"/>
      <c r="H89" s="1926"/>
    </row>
    <row r="90" spans="1:8" x14ac:dyDescent="0.25">
      <c r="A90" s="1939" t="s">
        <v>3187</v>
      </c>
      <c r="B90" s="1901" t="s">
        <v>1169</v>
      </c>
      <c r="C90" s="1906"/>
      <c r="D90" s="1905"/>
      <c r="E90" s="1925">
        <v>395713.92</v>
      </c>
      <c r="F90" s="1920"/>
      <c r="H90" s="1926"/>
    </row>
    <row r="91" spans="1:8" x14ac:dyDescent="0.25">
      <c r="A91" s="1939" t="s">
        <v>3206</v>
      </c>
      <c r="B91" s="1901" t="s">
        <v>255</v>
      </c>
      <c r="C91" s="1906"/>
      <c r="D91" s="1906"/>
      <c r="E91" s="1925">
        <v>395713.92</v>
      </c>
      <c r="F91" s="1920"/>
      <c r="H91" s="1926"/>
    </row>
    <row r="92" spans="1:8" x14ac:dyDescent="0.25">
      <c r="A92" s="1939" t="s">
        <v>3243</v>
      </c>
      <c r="B92" s="1901" t="s">
        <v>2142</v>
      </c>
      <c r="C92" s="1905"/>
      <c r="D92" s="1905"/>
      <c r="E92" s="1925">
        <v>94747.86</v>
      </c>
      <c r="F92" s="1920"/>
      <c r="H92" s="1926"/>
    </row>
    <row r="93" spans="1:8" x14ac:dyDescent="0.25">
      <c r="A93" s="1939" t="s">
        <v>3187</v>
      </c>
      <c r="B93" s="1901" t="s">
        <v>1169</v>
      </c>
      <c r="C93" s="1906"/>
      <c r="D93" s="1905"/>
      <c r="E93" s="1925">
        <v>94747.86</v>
      </c>
      <c r="F93" s="1920"/>
      <c r="H93" s="1926"/>
    </row>
    <row r="94" spans="1:8" x14ac:dyDescent="0.25">
      <c r="A94" s="1939" t="s">
        <v>3207</v>
      </c>
      <c r="B94" s="1901" t="s">
        <v>699</v>
      </c>
      <c r="C94" s="1905"/>
      <c r="D94" s="1905"/>
      <c r="E94" s="1925">
        <v>94747.86</v>
      </c>
      <c r="F94" s="1920"/>
      <c r="H94" s="1926"/>
    </row>
    <row r="95" spans="1:8" x14ac:dyDescent="0.25">
      <c r="A95" s="1939" t="s">
        <v>3244</v>
      </c>
      <c r="B95" s="1901" t="s">
        <v>2143</v>
      </c>
      <c r="C95" s="1906"/>
      <c r="D95" s="1905"/>
      <c r="E95" s="1925">
        <f>465279+250</f>
        <v>465529</v>
      </c>
      <c r="F95" s="1920"/>
      <c r="H95" s="1926"/>
    </row>
    <row r="96" spans="1:8" x14ac:dyDescent="0.25">
      <c r="A96" s="1939" t="s">
        <v>3811</v>
      </c>
      <c r="B96" s="1901" t="s">
        <v>2144</v>
      </c>
      <c r="C96" s="1905"/>
      <c r="D96" s="1905"/>
      <c r="E96" s="1925">
        <v>61110</v>
      </c>
      <c r="F96" s="1920"/>
      <c r="H96" s="1926"/>
    </row>
    <row r="97" spans="1:8" x14ac:dyDescent="0.25">
      <c r="A97" s="1939" t="s">
        <v>3187</v>
      </c>
      <c r="B97" s="1901" t="s">
        <v>1169</v>
      </c>
      <c r="C97" s="1905"/>
      <c r="D97" s="1905"/>
      <c r="E97" s="1925">
        <v>526389</v>
      </c>
      <c r="F97" s="1920"/>
      <c r="H97" s="1926"/>
    </row>
    <row r="98" spans="1:8" x14ac:dyDescent="0.25">
      <c r="A98" s="1939" t="s">
        <v>3208</v>
      </c>
      <c r="B98" s="1901" t="s">
        <v>2145</v>
      </c>
      <c r="C98" s="1905"/>
      <c r="D98" s="1905"/>
      <c r="E98" s="1925">
        <v>526389</v>
      </c>
      <c r="F98" s="1920"/>
      <c r="H98" s="1926"/>
    </row>
    <row r="99" spans="1:8" x14ac:dyDescent="0.25">
      <c r="A99" s="1939" t="s">
        <v>3245</v>
      </c>
      <c r="B99" s="1901" t="s">
        <v>2146</v>
      </c>
      <c r="C99" s="1906"/>
      <c r="D99" s="1905"/>
      <c r="E99" s="1925">
        <v>1072</v>
      </c>
      <c r="F99" s="1920"/>
      <c r="H99" s="1926"/>
    </row>
    <row r="100" spans="1:8" x14ac:dyDescent="0.25">
      <c r="A100" s="1939" t="s">
        <v>3246</v>
      </c>
      <c r="B100" s="1901" t="s">
        <v>2147</v>
      </c>
      <c r="C100" s="1906"/>
      <c r="D100" s="1905"/>
      <c r="E100" s="1925">
        <f>420265.85-1072</f>
        <v>419193.85</v>
      </c>
      <c r="F100" s="1920"/>
      <c r="H100" s="1926"/>
    </row>
    <row r="101" spans="1:8" x14ac:dyDescent="0.25">
      <c r="A101" s="1939" t="s">
        <v>3294</v>
      </c>
      <c r="B101" s="1901" t="s">
        <v>2148</v>
      </c>
      <c r="C101" s="1906"/>
      <c r="D101" s="1906"/>
      <c r="E101" s="1925">
        <v>2589.4499999999998</v>
      </c>
      <c r="F101" s="1920"/>
      <c r="H101" s="1926"/>
    </row>
    <row r="102" spans="1:8" x14ac:dyDescent="0.25">
      <c r="A102" s="1939" t="s">
        <v>3313</v>
      </c>
      <c r="B102" s="1901" t="s">
        <v>2092</v>
      </c>
      <c r="C102" s="1906"/>
      <c r="D102" s="1905"/>
      <c r="E102" s="1925">
        <v>0</v>
      </c>
      <c r="F102" s="1920"/>
      <c r="H102" s="1926"/>
    </row>
    <row r="103" spans="1:8" x14ac:dyDescent="0.25">
      <c r="A103" s="1939" t="s">
        <v>3247</v>
      </c>
      <c r="B103" s="1901" t="s">
        <v>2092</v>
      </c>
      <c r="C103" s="1906"/>
      <c r="D103" s="1906"/>
      <c r="E103" s="1925">
        <v>0</v>
      </c>
      <c r="F103" s="1920"/>
      <c r="H103" s="1926"/>
    </row>
    <row r="104" spans="1:8" x14ac:dyDescent="0.25">
      <c r="A104" s="1939" t="s">
        <v>3338</v>
      </c>
      <c r="B104" s="1901" t="s">
        <v>2149</v>
      </c>
      <c r="C104" s="1906"/>
      <c r="D104" s="1906"/>
      <c r="E104" s="1925">
        <v>76251.09</v>
      </c>
      <c r="F104" s="1920"/>
      <c r="H104" s="1926"/>
    </row>
    <row r="105" spans="1:8" x14ac:dyDescent="0.25">
      <c r="A105" s="1939" t="s">
        <v>3814</v>
      </c>
      <c r="B105" s="1901" t="s">
        <v>2150</v>
      </c>
      <c r="C105" s="1906"/>
      <c r="D105" s="1906"/>
      <c r="E105" s="1925">
        <v>47403</v>
      </c>
      <c r="F105" s="1920"/>
      <c r="H105" s="1926"/>
    </row>
    <row r="106" spans="1:8" x14ac:dyDescent="0.25">
      <c r="A106" s="1939" t="s">
        <v>3256</v>
      </c>
      <c r="B106" s="1901" t="s">
        <v>2151</v>
      </c>
      <c r="C106" s="1906"/>
      <c r="D106" s="1905"/>
      <c r="E106" s="1925">
        <v>118943.9</v>
      </c>
      <c r="F106" s="1920"/>
      <c r="H106" s="1926"/>
    </row>
    <row r="107" spans="1:8" x14ac:dyDescent="0.25">
      <c r="A107" s="1939" t="s">
        <v>3248</v>
      </c>
      <c r="B107" s="1901" t="s">
        <v>2152</v>
      </c>
      <c r="C107" s="1906"/>
      <c r="D107" s="1905"/>
      <c r="E107" s="1925">
        <v>21385</v>
      </c>
      <c r="F107" s="1920"/>
      <c r="H107" s="1926"/>
    </row>
    <row r="108" spans="1:8" x14ac:dyDescent="0.25">
      <c r="A108" s="1939" t="s">
        <v>3187</v>
      </c>
      <c r="B108" s="1901" t="s">
        <v>1169</v>
      </c>
      <c r="C108" s="1906"/>
      <c r="D108" s="1906"/>
      <c r="E108" s="1925">
        <v>686838.29</v>
      </c>
      <c r="F108" s="1920"/>
      <c r="H108" s="1926"/>
    </row>
    <row r="109" spans="1:8" x14ac:dyDescent="0.25">
      <c r="A109" s="1939" t="s">
        <v>3209</v>
      </c>
      <c r="B109" s="1901" t="s">
        <v>2153</v>
      </c>
      <c r="C109" s="1905"/>
      <c r="D109" s="1905"/>
      <c r="E109" s="1925">
        <v>686838.29</v>
      </c>
      <c r="F109" s="1920"/>
      <c r="H109" s="1926"/>
    </row>
    <row r="110" spans="1:8" x14ac:dyDescent="0.25">
      <c r="A110" s="1939" t="s">
        <v>3210</v>
      </c>
      <c r="B110" s="1901" t="s">
        <v>2154</v>
      </c>
      <c r="C110" s="1905"/>
      <c r="D110" s="1905"/>
      <c r="E110" s="1925">
        <v>1739531.07</v>
      </c>
      <c r="F110" s="1920"/>
      <c r="H110" s="1926"/>
    </row>
    <row r="111" spans="1:8" x14ac:dyDescent="0.25">
      <c r="A111" s="1939" t="s">
        <v>3249</v>
      </c>
      <c r="B111" s="1901" t="s">
        <v>2155</v>
      </c>
      <c r="C111" s="1905"/>
      <c r="D111" s="1905"/>
      <c r="E111" s="1925">
        <v>0</v>
      </c>
      <c r="F111" s="1920"/>
      <c r="H111" s="1926"/>
    </row>
    <row r="112" spans="1:8" x14ac:dyDescent="0.25">
      <c r="A112" s="1939" t="s">
        <v>3187</v>
      </c>
      <c r="B112" s="1901" t="s">
        <v>1169</v>
      </c>
      <c r="C112" s="1905"/>
      <c r="D112" s="1905"/>
      <c r="E112" s="1925">
        <v>0</v>
      </c>
      <c r="F112" s="1920"/>
      <c r="H112" s="1926"/>
    </row>
    <row r="113" spans="1:8" x14ac:dyDescent="0.25">
      <c r="A113" s="1939" t="s">
        <v>3211</v>
      </c>
      <c r="B113" s="1901" t="s">
        <v>2156</v>
      </c>
      <c r="C113" s="1906"/>
      <c r="D113" s="1906"/>
      <c r="E113" s="1925">
        <v>0</v>
      </c>
      <c r="F113" s="1920"/>
      <c r="H113" s="1926"/>
    </row>
    <row r="114" spans="1:8" x14ac:dyDescent="0.25">
      <c r="A114" s="1939" t="s">
        <v>3212</v>
      </c>
      <c r="B114" s="1901" t="s">
        <v>2157</v>
      </c>
      <c r="C114" s="1906"/>
      <c r="D114" s="1905"/>
      <c r="E114" s="1925">
        <v>0</v>
      </c>
      <c r="F114" s="1920"/>
      <c r="H114" s="1926"/>
    </row>
    <row r="115" spans="1:8" x14ac:dyDescent="0.25">
      <c r="A115" s="1939" t="s">
        <v>3250</v>
      </c>
      <c r="B115" s="1901" t="s">
        <v>2159</v>
      </c>
      <c r="C115" s="1906"/>
      <c r="D115" s="1905"/>
      <c r="E115" s="1925">
        <v>17474796.359999999</v>
      </c>
      <c r="F115" s="1920"/>
      <c r="H115" s="1926"/>
    </row>
    <row r="116" spans="1:8" x14ac:dyDescent="0.25">
      <c r="A116" s="1939" t="s">
        <v>3257</v>
      </c>
      <c r="B116" s="1901" t="s">
        <v>2092</v>
      </c>
      <c r="C116" s="1906"/>
      <c r="D116" s="1905"/>
      <c r="E116" s="1925">
        <v>0</v>
      </c>
      <c r="F116" s="1920"/>
      <c r="H116" s="1926"/>
    </row>
    <row r="117" spans="1:8" x14ac:dyDescent="0.25">
      <c r="A117" s="1939" t="s">
        <v>3187</v>
      </c>
      <c r="B117" s="1901" t="s">
        <v>1169</v>
      </c>
      <c r="C117" s="1906"/>
      <c r="D117" s="1905"/>
      <c r="E117" s="1925">
        <v>0</v>
      </c>
      <c r="F117" s="1920"/>
      <c r="H117" s="1926"/>
    </row>
    <row r="118" spans="1:8" x14ac:dyDescent="0.25">
      <c r="A118" s="1939" t="s">
        <v>3187</v>
      </c>
      <c r="B118" s="1901" t="s">
        <v>1169</v>
      </c>
      <c r="C118" s="1906"/>
      <c r="D118" s="1905"/>
      <c r="E118" s="1925">
        <v>0</v>
      </c>
      <c r="F118" s="1920"/>
      <c r="H118" s="1926"/>
    </row>
    <row r="119" spans="1:8" x14ac:dyDescent="0.25">
      <c r="A119" s="1939" t="s">
        <v>3187</v>
      </c>
      <c r="B119" s="1901" t="s">
        <v>1169</v>
      </c>
      <c r="C119" s="1905"/>
      <c r="D119" s="1905"/>
      <c r="E119" s="1925">
        <v>0</v>
      </c>
      <c r="F119" s="1920"/>
      <c r="H119" s="1926"/>
    </row>
    <row r="120" spans="1:8" x14ac:dyDescent="0.25">
      <c r="A120" s="1939" t="s">
        <v>3258</v>
      </c>
      <c r="B120" s="1901" t="s">
        <v>2085</v>
      </c>
      <c r="C120" s="1905"/>
      <c r="D120" s="1905"/>
      <c r="E120" s="1925">
        <v>706863.24</v>
      </c>
      <c r="F120" s="1920"/>
      <c r="H120" s="1926"/>
    </row>
    <row r="121" spans="1:8" x14ac:dyDescent="0.25">
      <c r="A121" s="1939" t="s">
        <v>3187</v>
      </c>
      <c r="B121" s="1901" t="s">
        <v>1169</v>
      </c>
      <c r="C121" s="1905"/>
      <c r="D121" s="1905"/>
      <c r="E121" s="1925">
        <v>706863.24</v>
      </c>
      <c r="F121" s="1920"/>
      <c r="H121" s="1926"/>
    </row>
    <row r="122" spans="1:8" x14ac:dyDescent="0.25">
      <c r="A122" s="1939" t="s">
        <v>3189</v>
      </c>
      <c r="B122" s="1901" t="s">
        <v>961</v>
      </c>
      <c r="C122" s="1905"/>
      <c r="D122" s="1905"/>
      <c r="E122" s="1925">
        <v>706863.24</v>
      </c>
      <c r="F122" s="1920"/>
      <c r="H122" s="1926"/>
    </row>
    <row r="123" spans="1:8" x14ac:dyDescent="0.25">
      <c r="A123" s="1939" t="s">
        <v>3259</v>
      </c>
      <c r="B123" s="1901" t="s">
        <v>2090</v>
      </c>
      <c r="C123" s="1906"/>
      <c r="D123" s="1905"/>
      <c r="E123" s="1925">
        <v>250000</v>
      </c>
      <c r="F123" s="1920"/>
      <c r="H123" s="1926"/>
    </row>
    <row r="124" spans="1:8" x14ac:dyDescent="0.25">
      <c r="A124" s="1939" t="s">
        <v>3187</v>
      </c>
      <c r="B124" s="1901" t="s">
        <v>1169</v>
      </c>
      <c r="C124" s="1905"/>
      <c r="D124" s="1905"/>
      <c r="E124" s="1925">
        <v>250000</v>
      </c>
      <c r="F124" s="1920"/>
      <c r="H124" s="1926"/>
    </row>
    <row r="125" spans="1:8" x14ac:dyDescent="0.25">
      <c r="A125" s="1939" t="s">
        <v>3301</v>
      </c>
      <c r="B125" s="1901" t="s">
        <v>2091</v>
      </c>
      <c r="C125" s="1906"/>
      <c r="D125" s="1906"/>
      <c r="E125" s="1925">
        <v>250000</v>
      </c>
      <c r="F125" s="1920"/>
      <c r="H125" s="1926"/>
    </row>
    <row r="126" spans="1:8" x14ac:dyDescent="0.25">
      <c r="A126" s="1939" t="s">
        <v>3260</v>
      </c>
      <c r="B126" s="1901" t="s">
        <v>2160</v>
      </c>
      <c r="C126" s="1906"/>
      <c r="D126" s="1905"/>
      <c r="E126" s="1925">
        <v>31363.89</v>
      </c>
      <c r="F126" s="1920"/>
      <c r="H126" s="1926"/>
    </row>
    <row r="127" spans="1:8" x14ac:dyDescent="0.25">
      <c r="A127" s="1939" t="s">
        <v>3187</v>
      </c>
      <c r="B127" s="1901" t="s">
        <v>1169</v>
      </c>
      <c r="C127" s="1906"/>
      <c r="D127" s="1905"/>
      <c r="E127" s="1925">
        <v>31363.89</v>
      </c>
      <c r="F127" s="1920"/>
      <c r="H127" s="1926"/>
    </row>
    <row r="128" spans="1:8" x14ac:dyDescent="0.25">
      <c r="A128" s="1939" t="s">
        <v>3213</v>
      </c>
      <c r="B128" s="1901" t="s">
        <v>2161</v>
      </c>
      <c r="C128" s="1906"/>
      <c r="D128" s="1905"/>
      <c r="E128" s="1925">
        <v>31363.89</v>
      </c>
      <c r="F128" s="1920"/>
      <c r="H128" s="1926"/>
    </row>
    <row r="129" spans="1:8" x14ac:dyDescent="0.25">
      <c r="A129" s="1940" t="s">
        <v>3337</v>
      </c>
      <c r="B129" s="1929" t="s">
        <v>2162</v>
      </c>
      <c r="C129" s="1930"/>
      <c r="D129" s="1930"/>
      <c r="E129" s="1931">
        <f>139.39+238.79</f>
        <v>378.17999999999995</v>
      </c>
      <c r="F129" s="1920"/>
      <c r="H129" s="1926"/>
    </row>
    <row r="130" spans="1:8" x14ac:dyDescent="0.25">
      <c r="A130" s="1939" t="s">
        <v>3261</v>
      </c>
      <c r="B130" s="1901" t="s">
        <v>2096</v>
      </c>
      <c r="C130" s="1905"/>
      <c r="D130" s="1905"/>
      <c r="E130" s="1925">
        <v>0</v>
      </c>
      <c r="F130" s="1920"/>
      <c r="H130" s="1926"/>
    </row>
    <row r="131" spans="1:8" x14ac:dyDescent="0.25">
      <c r="A131" s="1939" t="s">
        <v>3187</v>
      </c>
      <c r="B131" s="1901" t="s">
        <v>1169</v>
      </c>
      <c r="C131" s="1905"/>
      <c r="D131" s="1905"/>
      <c r="E131" s="1925">
        <v>139.38999999999999</v>
      </c>
      <c r="F131" s="1920"/>
      <c r="H131" s="1926"/>
    </row>
    <row r="132" spans="1:8" x14ac:dyDescent="0.25">
      <c r="A132" s="1939" t="s">
        <v>3192</v>
      </c>
      <c r="B132" s="1901" t="s">
        <v>2097</v>
      </c>
      <c r="C132" s="1905"/>
      <c r="D132" s="1905"/>
      <c r="E132" s="1925">
        <v>139.38999999999999</v>
      </c>
      <c r="F132" s="1920"/>
      <c r="H132" s="1926"/>
    </row>
    <row r="133" spans="1:8" x14ac:dyDescent="0.25">
      <c r="A133" s="1939" t="s">
        <v>3262</v>
      </c>
      <c r="B133" s="1901" t="s">
        <v>2163</v>
      </c>
      <c r="C133" s="1905"/>
      <c r="D133" s="1905"/>
      <c r="E133" s="1925">
        <v>1170</v>
      </c>
      <c r="F133" s="1920"/>
      <c r="H133" s="1926"/>
    </row>
    <row r="134" spans="1:8" x14ac:dyDescent="0.25">
      <c r="A134" s="1939" t="s">
        <v>3187</v>
      </c>
      <c r="B134" s="1901" t="s">
        <v>1169</v>
      </c>
      <c r="C134" s="1905"/>
      <c r="D134" s="1905"/>
      <c r="E134" s="1925">
        <v>1170</v>
      </c>
      <c r="F134" s="1920"/>
      <c r="H134" s="1926"/>
    </row>
    <row r="135" spans="1:8" x14ac:dyDescent="0.25">
      <c r="A135" s="1939" t="s">
        <v>3214</v>
      </c>
      <c r="B135" s="1901" t="s">
        <v>738</v>
      </c>
      <c r="C135" s="1906"/>
      <c r="D135" s="1906"/>
      <c r="E135" s="1925">
        <v>1170</v>
      </c>
      <c r="F135" s="1920"/>
      <c r="H135" s="1926"/>
    </row>
    <row r="136" spans="1:8" x14ac:dyDescent="0.25">
      <c r="A136" s="1939" t="s">
        <v>3263</v>
      </c>
      <c r="B136" s="1901" t="s">
        <v>2136</v>
      </c>
      <c r="C136" s="1906"/>
      <c r="D136" s="1905"/>
      <c r="E136" s="1925">
        <v>0</v>
      </c>
      <c r="F136" s="1920"/>
      <c r="H136" s="1926"/>
    </row>
    <row r="137" spans="1:8" x14ac:dyDescent="0.25">
      <c r="A137" s="1939" t="s">
        <v>3187</v>
      </c>
      <c r="B137" s="1901" t="s">
        <v>1169</v>
      </c>
      <c r="C137" s="1905"/>
      <c r="D137" s="1905"/>
      <c r="E137" s="1925">
        <v>0</v>
      </c>
      <c r="F137" s="1920"/>
      <c r="H137" s="1926"/>
    </row>
    <row r="138" spans="1:8" x14ac:dyDescent="0.25">
      <c r="A138" s="1939" t="s">
        <v>3251</v>
      </c>
      <c r="B138" s="1901" t="s">
        <v>153</v>
      </c>
      <c r="C138" s="1905"/>
      <c r="D138" s="1905"/>
      <c r="E138" s="1925">
        <v>0</v>
      </c>
      <c r="F138" s="1920"/>
      <c r="H138" s="1926"/>
    </row>
    <row r="139" spans="1:8" x14ac:dyDescent="0.25">
      <c r="A139" s="1939" t="s">
        <v>3329</v>
      </c>
      <c r="B139" s="1901" t="s">
        <v>2120</v>
      </c>
      <c r="C139" s="1905"/>
      <c r="D139" s="1905"/>
      <c r="E139" s="1925">
        <v>16741.5</v>
      </c>
      <c r="F139" s="1920"/>
      <c r="H139" s="1926"/>
    </row>
    <row r="140" spans="1:8" x14ac:dyDescent="0.25">
      <c r="A140" s="1939" t="s">
        <v>3187</v>
      </c>
      <c r="B140" s="1901" t="s">
        <v>1169</v>
      </c>
      <c r="C140" s="1906"/>
      <c r="D140" s="1905"/>
      <c r="E140" s="1925">
        <v>16741.5</v>
      </c>
      <c r="F140" s="1920"/>
      <c r="H140" s="1926"/>
    </row>
    <row r="141" spans="1:8" x14ac:dyDescent="0.25">
      <c r="A141" s="1939" t="s">
        <v>3330</v>
      </c>
      <c r="B141" s="1901" t="s">
        <v>2164</v>
      </c>
      <c r="C141" s="1905"/>
      <c r="D141" s="1905"/>
      <c r="E141" s="1925">
        <v>4120</v>
      </c>
      <c r="F141" s="1920"/>
      <c r="H141" s="1926"/>
    </row>
    <row r="142" spans="1:8" x14ac:dyDescent="0.25">
      <c r="A142" s="1939" t="s">
        <v>3215</v>
      </c>
      <c r="B142" s="1901" t="s">
        <v>292</v>
      </c>
      <c r="C142" s="1906"/>
      <c r="D142" s="1905"/>
      <c r="E142" s="1925">
        <v>4120</v>
      </c>
      <c r="F142" s="1920"/>
      <c r="H142" s="1926"/>
    </row>
    <row r="143" spans="1:8" x14ac:dyDescent="0.25">
      <c r="A143" s="1939" t="s">
        <v>3255</v>
      </c>
      <c r="B143" s="1901" t="s">
        <v>2121</v>
      </c>
      <c r="C143" s="1906"/>
      <c r="D143" s="1905"/>
      <c r="E143" s="1925">
        <v>20861.5</v>
      </c>
      <c r="F143" s="1920"/>
      <c r="H143" s="1926"/>
    </row>
    <row r="144" spans="1:8" x14ac:dyDescent="0.25">
      <c r="A144" s="1939" t="s">
        <v>3198</v>
      </c>
      <c r="B144" s="1901" t="s">
        <v>456</v>
      </c>
      <c r="C144" s="1906"/>
      <c r="D144" s="1905"/>
      <c r="E144" s="1925">
        <v>1010398.02</v>
      </c>
      <c r="F144" s="1920"/>
      <c r="H144" s="1926"/>
    </row>
    <row r="145" spans="1:8" x14ac:dyDescent="0.25">
      <c r="A145" s="1939" t="s">
        <v>3264</v>
      </c>
      <c r="B145" s="1901" t="s">
        <v>2136</v>
      </c>
      <c r="C145" s="1905"/>
      <c r="D145" s="1905"/>
      <c r="E145" s="1925">
        <v>0</v>
      </c>
      <c r="F145" s="1920"/>
      <c r="H145" s="1926"/>
    </row>
    <row r="146" spans="1:8" x14ac:dyDescent="0.25">
      <c r="A146" s="1939" t="s">
        <v>3187</v>
      </c>
      <c r="B146" s="1901" t="s">
        <v>1169</v>
      </c>
      <c r="C146" s="1906"/>
      <c r="D146" s="1905"/>
      <c r="E146" s="1925">
        <v>0</v>
      </c>
      <c r="F146" s="1920"/>
      <c r="H146" s="1926"/>
    </row>
    <row r="147" spans="1:8" x14ac:dyDescent="0.25">
      <c r="A147" s="1939" t="s">
        <v>3216</v>
      </c>
      <c r="B147" s="1901" t="s">
        <v>2165</v>
      </c>
      <c r="C147" s="1906"/>
      <c r="D147" s="1905"/>
      <c r="E147" s="1925">
        <v>0</v>
      </c>
      <c r="F147" s="1920"/>
      <c r="H147" s="1926"/>
    </row>
    <row r="148" spans="1:8" x14ac:dyDescent="0.25">
      <c r="A148" s="1939" t="s">
        <v>3199</v>
      </c>
      <c r="B148" s="1901" t="s">
        <v>449</v>
      </c>
      <c r="C148" s="1906"/>
      <c r="D148" s="1905"/>
      <c r="E148" s="1925">
        <v>0</v>
      </c>
      <c r="F148" s="1920"/>
      <c r="H148" s="1926"/>
    </row>
    <row r="149" spans="1:8" x14ac:dyDescent="0.25">
      <c r="A149" s="1939" t="s">
        <v>3265</v>
      </c>
      <c r="B149" s="1901" t="s">
        <v>2155</v>
      </c>
      <c r="C149" s="1906"/>
      <c r="D149" s="1905"/>
      <c r="E149" s="1925">
        <v>750000</v>
      </c>
      <c r="F149" s="1920"/>
      <c r="H149" s="1926"/>
    </row>
    <row r="150" spans="1:8" x14ac:dyDescent="0.25">
      <c r="A150" s="1939" t="s">
        <v>3266</v>
      </c>
      <c r="B150" s="1901" t="s">
        <v>2166</v>
      </c>
      <c r="C150" s="1906"/>
      <c r="D150" s="1905"/>
      <c r="E150" s="1925">
        <v>0</v>
      </c>
      <c r="F150" s="1920"/>
      <c r="H150" s="1926"/>
    </row>
    <row r="151" spans="1:8" x14ac:dyDescent="0.25">
      <c r="A151" s="1939" t="s">
        <v>3267</v>
      </c>
      <c r="B151" s="1901" t="s">
        <v>2167</v>
      </c>
      <c r="C151" s="1906"/>
      <c r="D151" s="1905"/>
      <c r="E151" s="1925">
        <v>0</v>
      </c>
      <c r="F151" s="1920"/>
      <c r="H151" s="1926"/>
    </row>
    <row r="152" spans="1:8" x14ac:dyDescent="0.25">
      <c r="A152" s="1939" t="s">
        <v>3187</v>
      </c>
      <c r="B152" s="1901" t="s">
        <v>1169</v>
      </c>
      <c r="C152" s="1906"/>
      <c r="D152" s="1905"/>
      <c r="E152" s="1925">
        <v>750000</v>
      </c>
      <c r="F152" s="1920"/>
      <c r="H152" s="1926"/>
    </row>
    <row r="153" spans="1:8" x14ac:dyDescent="0.25">
      <c r="A153" s="1939" t="s">
        <v>3211</v>
      </c>
      <c r="B153" s="1901" t="s">
        <v>2156</v>
      </c>
      <c r="C153" s="1906"/>
      <c r="D153" s="1905"/>
      <c r="E153" s="1925">
        <v>750000</v>
      </c>
      <c r="F153" s="1920"/>
      <c r="H153" s="1926"/>
    </row>
    <row r="154" spans="1:8" x14ac:dyDescent="0.25">
      <c r="A154" s="1939" t="s">
        <v>3212</v>
      </c>
      <c r="B154" s="1901" t="s">
        <v>2157</v>
      </c>
      <c r="C154" s="1906"/>
      <c r="D154" s="1905"/>
      <c r="E154" s="1925">
        <v>750000</v>
      </c>
      <c r="F154" s="1920"/>
      <c r="H154" s="1926"/>
    </row>
    <row r="155" spans="1:8" x14ac:dyDescent="0.25">
      <c r="A155" s="1939" t="s">
        <v>3268</v>
      </c>
      <c r="B155" s="1901" t="s">
        <v>2168</v>
      </c>
      <c r="C155" s="1906"/>
      <c r="D155" s="1905"/>
      <c r="E155" s="1925">
        <v>1760398.02</v>
      </c>
      <c r="F155" s="1920"/>
      <c r="H155" s="1926"/>
    </row>
    <row r="156" spans="1:8" x14ac:dyDescent="0.25">
      <c r="A156" s="1939" t="s">
        <v>3271</v>
      </c>
      <c r="B156" s="1901" t="s">
        <v>2169</v>
      </c>
      <c r="C156" s="1906"/>
      <c r="D156" s="1906"/>
      <c r="E156" s="1925">
        <v>0</v>
      </c>
      <c r="F156" s="1920"/>
      <c r="H156" s="1926"/>
    </row>
    <row r="157" spans="1:8" x14ac:dyDescent="0.25">
      <c r="A157" s="1939" t="s">
        <v>3278</v>
      </c>
      <c r="B157" s="1901" t="s">
        <v>2170</v>
      </c>
      <c r="C157" s="1906"/>
      <c r="D157" s="1905"/>
      <c r="E157" s="1925">
        <v>386168.36</v>
      </c>
      <c r="F157" s="1920"/>
      <c r="H157" s="1926"/>
    </row>
    <row r="158" spans="1:8" x14ac:dyDescent="0.25">
      <c r="A158" s="1939" t="s">
        <v>3295</v>
      </c>
      <c r="B158" s="1901" t="s">
        <v>2171</v>
      </c>
      <c r="C158" s="1906"/>
      <c r="D158" s="1905"/>
      <c r="E158" s="1925">
        <v>168575.04</v>
      </c>
      <c r="F158" s="1920"/>
      <c r="H158" s="1926"/>
    </row>
    <row r="159" spans="1:8" x14ac:dyDescent="0.25">
      <c r="A159" s="1939" t="s">
        <v>3303</v>
      </c>
      <c r="B159" s="1901" t="s">
        <v>2172</v>
      </c>
      <c r="C159" s="1906"/>
      <c r="D159" s="1905"/>
      <c r="E159" s="1925">
        <v>0</v>
      </c>
      <c r="F159" s="1920"/>
      <c r="H159" s="1926"/>
    </row>
    <row r="160" spans="1:8" x14ac:dyDescent="0.25">
      <c r="A160" s="1939" t="s">
        <v>3314</v>
      </c>
      <c r="B160" s="1901" t="s">
        <v>2173</v>
      </c>
      <c r="C160" s="1906"/>
      <c r="D160" s="1905"/>
      <c r="E160" s="1925">
        <v>2434175.81</v>
      </c>
      <c r="F160" s="1920"/>
      <c r="H160" s="1926"/>
    </row>
    <row r="161" spans="1:8" x14ac:dyDescent="0.25">
      <c r="A161" s="1939" t="s">
        <v>3321</v>
      </c>
      <c r="B161" s="1901" t="s">
        <v>2174</v>
      </c>
      <c r="C161" s="1906"/>
      <c r="D161" s="1906"/>
      <c r="E161" s="1925">
        <v>0</v>
      </c>
      <c r="F161" s="1920"/>
      <c r="H161" s="1926"/>
    </row>
    <row r="162" spans="1:8" x14ac:dyDescent="0.25">
      <c r="A162" s="1939" t="s">
        <v>3187</v>
      </c>
      <c r="B162" s="1901" t="s">
        <v>1169</v>
      </c>
      <c r="C162" s="1906"/>
      <c r="D162" s="1905"/>
      <c r="E162" s="1925">
        <v>2988919.21</v>
      </c>
      <c r="F162" s="1920"/>
      <c r="H162" s="1926"/>
    </row>
    <row r="163" spans="1:8" x14ac:dyDescent="0.25">
      <c r="A163" s="1939" t="s">
        <v>3189</v>
      </c>
      <c r="B163" s="1901" t="s">
        <v>961</v>
      </c>
      <c r="C163" s="1906"/>
      <c r="D163" s="1905"/>
      <c r="E163" s="1925">
        <v>2988919.21</v>
      </c>
      <c r="F163" s="1920"/>
      <c r="H163" s="1926"/>
    </row>
    <row r="164" spans="1:8" x14ac:dyDescent="0.25">
      <c r="A164" s="1939" t="s">
        <v>3272</v>
      </c>
      <c r="B164" s="1901" t="s">
        <v>2096</v>
      </c>
      <c r="C164" s="1906"/>
      <c r="D164" s="1906"/>
      <c r="E164" s="1925">
        <v>10732.36</v>
      </c>
      <c r="F164" s="1920"/>
      <c r="H164" s="1926"/>
    </row>
    <row r="165" spans="1:8" x14ac:dyDescent="0.25">
      <c r="A165" s="1939" t="s">
        <v>3187</v>
      </c>
      <c r="B165" s="1901" t="s">
        <v>1169</v>
      </c>
      <c r="C165" s="1906"/>
      <c r="D165" s="1905"/>
      <c r="E165" s="1925">
        <v>10732.36</v>
      </c>
      <c r="F165" s="1920"/>
      <c r="H165" s="1926"/>
    </row>
    <row r="166" spans="1:8" x14ac:dyDescent="0.25">
      <c r="A166" s="1939" t="s">
        <v>3192</v>
      </c>
      <c r="B166" s="1901" t="s">
        <v>2097</v>
      </c>
      <c r="C166" s="1906"/>
      <c r="D166" s="1905"/>
      <c r="E166" s="1925">
        <v>10732.36</v>
      </c>
      <c r="F166" s="1920"/>
      <c r="H166" s="1926"/>
    </row>
    <row r="167" spans="1:8" x14ac:dyDescent="0.25">
      <c r="A167" s="1939" t="s">
        <v>3273</v>
      </c>
      <c r="B167" s="1901" t="s">
        <v>2175</v>
      </c>
      <c r="C167" s="1905"/>
      <c r="D167" s="1905"/>
      <c r="E167" s="1925">
        <v>33.03</v>
      </c>
      <c r="F167" s="1920"/>
      <c r="H167" s="1926"/>
    </row>
    <row r="168" spans="1:8" x14ac:dyDescent="0.25">
      <c r="A168" s="1939" t="s">
        <v>3187</v>
      </c>
      <c r="B168" s="1901" t="s">
        <v>1169</v>
      </c>
      <c r="C168" s="1906"/>
      <c r="D168" s="1905"/>
      <c r="E168" s="1925">
        <v>33.03</v>
      </c>
      <c r="F168" s="1920"/>
      <c r="H168" s="1926"/>
    </row>
    <row r="169" spans="1:8" x14ac:dyDescent="0.25">
      <c r="A169" s="1939" t="s">
        <v>3255</v>
      </c>
      <c r="B169" s="1901" t="s">
        <v>2121</v>
      </c>
      <c r="C169" s="1905"/>
      <c r="D169" s="1905"/>
      <c r="E169" s="1925">
        <v>33.03</v>
      </c>
      <c r="F169" s="1920"/>
      <c r="H169" s="1926"/>
    </row>
    <row r="170" spans="1:8" x14ac:dyDescent="0.25">
      <c r="A170" s="1939" t="s">
        <v>3198</v>
      </c>
      <c r="B170" s="1901" t="s">
        <v>456</v>
      </c>
      <c r="C170" s="1906"/>
      <c r="D170" s="1905"/>
      <c r="E170" s="1925">
        <v>2999684.6</v>
      </c>
      <c r="F170" s="1920"/>
      <c r="H170" s="1926"/>
    </row>
    <row r="171" spans="1:8" x14ac:dyDescent="0.25">
      <c r="A171" s="1939" t="s">
        <v>3812</v>
      </c>
      <c r="B171" s="1901"/>
      <c r="C171" s="1906"/>
      <c r="D171" s="1905"/>
      <c r="E171" s="1925">
        <v>235486</v>
      </c>
      <c r="F171" s="1920"/>
      <c r="H171" s="1926"/>
    </row>
    <row r="172" spans="1:8" x14ac:dyDescent="0.25">
      <c r="A172" s="1939" t="s">
        <v>3813</v>
      </c>
      <c r="B172" s="1901"/>
      <c r="C172" s="1906"/>
      <c r="D172" s="1905"/>
      <c r="E172" s="1925">
        <v>3938</v>
      </c>
      <c r="F172" s="1920"/>
      <c r="H172" s="1926"/>
    </row>
    <row r="173" spans="1:8" x14ac:dyDescent="0.25">
      <c r="A173" s="1939" t="s">
        <v>3274</v>
      </c>
      <c r="B173" s="1901" t="s">
        <v>2136</v>
      </c>
      <c r="C173" s="1906"/>
      <c r="D173" s="1905"/>
      <c r="E173" s="1925">
        <v>0</v>
      </c>
      <c r="F173" s="1920"/>
      <c r="H173" s="1926"/>
    </row>
    <row r="174" spans="1:8" x14ac:dyDescent="0.25">
      <c r="A174" s="1939" t="s">
        <v>3187</v>
      </c>
      <c r="B174" s="1901" t="s">
        <v>1169</v>
      </c>
      <c r="C174" s="1906"/>
      <c r="D174" s="1905"/>
      <c r="E174" s="1925">
        <v>0</v>
      </c>
      <c r="F174" s="1920"/>
      <c r="H174" s="1926"/>
    </row>
    <row r="175" spans="1:8" x14ac:dyDescent="0.25">
      <c r="A175" s="1939" t="s">
        <v>3815</v>
      </c>
      <c r="B175" s="1901" t="s">
        <v>2156</v>
      </c>
      <c r="C175" s="1906"/>
      <c r="D175" s="1905"/>
      <c r="E175" s="1925">
        <v>4340000</v>
      </c>
      <c r="F175" s="1920"/>
      <c r="H175" s="1926"/>
    </row>
    <row r="176" spans="1:8" x14ac:dyDescent="0.25">
      <c r="A176" s="1939" t="s">
        <v>3816</v>
      </c>
      <c r="B176" s="1901" t="s">
        <v>2157</v>
      </c>
      <c r="C176" s="1905"/>
      <c r="D176" s="1905"/>
      <c r="E176" s="1925">
        <v>79732.350000000006</v>
      </c>
      <c r="F176" s="1920"/>
      <c r="H176" s="1926"/>
    </row>
    <row r="177" spans="1:8" x14ac:dyDescent="0.25">
      <c r="A177" s="1939" t="s">
        <v>3275</v>
      </c>
      <c r="B177" s="1901" t="s">
        <v>2176</v>
      </c>
      <c r="C177" s="1906"/>
      <c r="D177" s="1905"/>
      <c r="E177" s="1925">
        <v>2999684.6</v>
      </c>
      <c r="F177" s="1920"/>
      <c r="H177" s="1926"/>
    </row>
    <row r="178" spans="1:8" x14ac:dyDescent="0.25">
      <c r="A178" s="1939" t="s">
        <v>3279</v>
      </c>
      <c r="B178" s="1901" t="s">
        <v>2085</v>
      </c>
      <c r="C178" s="1905"/>
      <c r="D178" s="1905"/>
      <c r="E178" s="1925">
        <v>338481.04</v>
      </c>
      <c r="F178" s="1920"/>
      <c r="H178" s="1926"/>
    </row>
    <row r="179" spans="1:8" x14ac:dyDescent="0.25">
      <c r="A179" s="1939" t="s">
        <v>3187</v>
      </c>
      <c r="B179" s="1901" t="s">
        <v>1169</v>
      </c>
      <c r="C179" s="1906"/>
      <c r="D179" s="1905"/>
      <c r="E179" s="1925">
        <v>338481.04</v>
      </c>
      <c r="F179" s="1920"/>
      <c r="H179" s="1926"/>
    </row>
    <row r="180" spans="1:8" x14ac:dyDescent="0.25">
      <c r="A180" s="1939" t="s">
        <v>3189</v>
      </c>
      <c r="B180" s="1901" t="s">
        <v>961</v>
      </c>
      <c r="C180" s="1905"/>
      <c r="D180" s="1905"/>
      <c r="E180" s="1925">
        <v>338481.04</v>
      </c>
      <c r="F180" s="1920"/>
      <c r="H180" s="1926"/>
    </row>
    <row r="181" spans="1:8" x14ac:dyDescent="0.25">
      <c r="A181" s="1939" t="s">
        <v>3280</v>
      </c>
      <c r="B181" s="1901" t="s">
        <v>2177</v>
      </c>
      <c r="C181" s="1905"/>
      <c r="D181" s="1905"/>
      <c r="E181" s="1925">
        <f>876596-51596</f>
        <v>825000</v>
      </c>
      <c r="F181" s="1920"/>
      <c r="H181" s="1926"/>
    </row>
    <row r="182" spans="1:8" x14ac:dyDescent="0.25">
      <c r="A182" s="1939" t="s">
        <v>3821</v>
      </c>
      <c r="B182" s="1901" t="s">
        <v>1169</v>
      </c>
      <c r="C182" s="1905"/>
      <c r="D182" s="1905"/>
      <c r="E182" s="1925">
        <v>51596</v>
      </c>
      <c r="F182" s="1920"/>
      <c r="H182" s="1926"/>
    </row>
    <row r="183" spans="1:8" x14ac:dyDescent="0.25">
      <c r="A183" s="1939" t="s">
        <v>3269</v>
      </c>
      <c r="B183" s="1901" t="s">
        <v>2178</v>
      </c>
      <c r="C183" s="1906"/>
      <c r="D183" s="1905"/>
      <c r="E183" s="1925">
        <v>876596</v>
      </c>
      <c r="F183" s="1920"/>
      <c r="H183" s="1926"/>
    </row>
    <row r="184" spans="1:8" x14ac:dyDescent="0.25">
      <c r="A184" s="1939" t="s">
        <v>3281</v>
      </c>
      <c r="B184" s="1901" t="s">
        <v>2096</v>
      </c>
      <c r="C184" s="1905"/>
      <c r="D184" s="1905"/>
      <c r="E184" s="1925">
        <v>5714.72</v>
      </c>
      <c r="F184" s="1920"/>
      <c r="H184" s="1926"/>
    </row>
    <row r="185" spans="1:8" x14ac:dyDescent="0.25">
      <c r="A185" s="1939" t="s">
        <v>3187</v>
      </c>
      <c r="B185" s="1901" t="s">
        <v>1169</v>
      </c>
      <c r="C185" s="1906"/>
      <c r="D185" s="1906"/>
      <c r="E185" s="1925">
        <v>5714.72</v>
      </c>
      <c r="F185" s="1920"/>
      <c r="H185" s="1926"/>
    </row>
    <row r="186" spans="1:8" x14ac:dyDescent="0.25">
      <c r="A186" s="1939" t="s">
        <v>3192</v>
      </c>
      <c r="B186" s="1901" t="s">
        <v>2097</v>
      </c>
      <c r="C186" s="1906"/>
      <c r="D186" s="1905"/>
      <c r="E186" s="1925">
        <v>5714.72</v>
      </c>
      <c r="F186" s="1920"/>
      <c r="H186" s="1926"/>
    </row>
    <row r="187" spans="1:8" x14ac:dyDescent="0.25">
      <c r="A187" s="1939" t="s">
        <v>3282</v>
      </c>
      <c r="B187" s="1901" t="s">
        <v>2179</v>
      </c>
      <c r="C187" s="1906"/>
      <c r="D187" s="1905"/>
      <c r="E187" s="1925">
        <v>3788.64</v>
      </c>
      <c r="F187" s="1920"/>
      <c r="H187" s="1926"/>
    </row>
    <row r="188" spans="1:8" x14ac:dyDescent="0.25">
      <c r="A188" s="1939" t="s">
        <v>3331</v>
      </c>
      <c r="B188" s="1901" t="s">
        <v>2120</v>
      </c>
      <c r="C188" s="1906"/>
      <c r="D188" s="1905"/>
      <c r="E188" s="1925">
        <v>2167.2800000000002</v>
      </c>
      <c r="F188" s="1920"/>
      <c r="H188" s="1926"/>
    </row>
    <row r="189" spans="1:8" x14ac:dyDescent="0.25">
      <c r="A189" s="1939" t="s">
        <v>3187</v>
      </c>
      <c r="B189" s="1901" t="s">
        <v>1169</v>
      </c>
      <c r="C189" s="1906"/>
      <c r="D189" s="1906"/>
      <c r="E189" s="1925">
        <v>5955.92</v>
      </c>
      <c r="F189" s="1920"/>
      <c r="H189" s="1926"/>
    </row>
    <row r="190" spans="1:8" x14ac:dyDescent="0.25">
      <c r="A190" s="1939" t="s">
        <v>3255</v>
      </c>
      <c r="B190" s="1901" t="s">
        <v>2121</v>
      </c>
      <c r="C190" s="1906"/>
      <c r="D190" s="1905"/>
      <c r="E190" s="1925">
        <v>5955.92</v>
      </c>
      <c r="F190" s="1920"/>
      <c r="H190" s="1926"/>
    </row>
    <row r="191" spans="1:8" x14ac:dyDescent="0.25">
      <c r="A191" s="1939" t="s">
        <v>3198</v>
      </c>
      <c r="B191" s="1901" t="s">
        <v>456</v>
      </c>
      <c r="C191" s="1906"/>
      <c r="D191" s="1905"/>
      <c r="E191" s="1925">
        <v>1226747.68</v>
      </c>
      <c r="F191" s="1920"/>
      <c r="H191" s="1926"/>
    </row>
    <row r="192" spans="1:8" x14ac:dyDescent="0.25">
      <c r="A192" s="1939" t="s">
        <v>3283</v>
      </c>
      <c r="B192" s="1901" t="s">
        <v>2180</v>
      </c>
      <c r="C192" s="1906"/>
      <c r="D192" s="1905"/>
      <c r="E192" s="1925">
        <v>152146.28</v>
      </c>
      <c r="F192" s="1920"/>
      <c r="H192" s="1926"/>
    </row>
    <row r="193" spans="1:8" x14ac:dyDescent="0.25">
      <c r="A193" s="1939" t="s">
        <v>3284</v>
      </c>
      <c r="B193" s="1901" t="s">
        <v>2181</v>
      </c>
      <c r="C193" s="1905"/>
      <c r="D193" s="1905"/>
      <c r="E193" s="1925">
        <v>150983.71</v>
      </c>
      <c r="F193" s="1920"/>
      <c r="H193" s="1926"/>
    </row>
    <row r="194" spans="1:8" x14ac:dyDescent="0.25">
      <c r="A194" s="1939" t="s">
        <v>3187</v>
      </c>
      <c r="B194" s="1901" t="s">
        <v>1169</v>
      </c>
      <c r="C194" s="1905"/>
      <c r="D194" s="1905"/>
      <c r="E194" s="1925">
        <v>303129.99</v>
      </c>
      <c r="F194" s="1920"/>
      <c r="H194" s="1926"/>
    </row>
    <row r="195" spans="1:8" x14ac:dyDescent="0.25">
      <c r="A195" s="1939" t="s">
        <v>3217</v>
      </c>
      <c r="B195" s="1901" t="s">
        <v>2182</v>
      </c>
      <c r="C195" s="1905"/>
      <c r="D195" s="1905"/>
      <c r="E195" s="1925">
        <v>303129.99</v>
      </c>
      <c r="F195" s="1920"/>
      <c r="H195" s="1926"/>
    </row>
    <row r="196" spans="1:8" x14ac:dyDescent="0.25">
      <c r="A196" s="1939" t="s">
        <v>3199</v>
      </c>
      <c r="B196" s="1901" t="s">
        <v>449</v>
      </c>
      <c r="C196" s="1905"/>
      <c r="D196" s="1905"/>
      <c r="E196" s="1925">
        <v>303129.99</v>
      </c>
      <c r="F196" s="1920"/>
      <c r="H196" s="1926"/>
    </row>
    <row r="197" spans="1:8" x14ac:dyDescent="0.25">
      <c r="A197" s="1939" t="s">
        <v>3285</v>
      </c>
      <c r="B197" s="1901" t="s">
        <v>2183</v>
      </c>
      <c r="C197" s="1906"/>
      <c r="D197" s="1905"/>
      <c r="E197" s="1925">
        <v>0</v>
      </c>
      <c r="F197" s="1920"/>
      <c r="H197" s="1926"/>
    </row>
    <row r="198" spans="1:8" x14ac:dyDescent="0.25">
      <c r="A198" s="1939" t="s">
        <v>3286</v>
      </c>
      <c r="B198" s="1901" t="s">
        <v>2136</v>
      </c>
      <c r="C198" s="1905"/>
      <c r="D198" s="1905"/>
      <c r="E198" s="1925">
        <v>0</v>
      </c>
      <c r="F198" s="1920"/>
      <c r="H198" s="1926"/>
    </row>
    <row r="199" spans="1:8" x14ac:dyDescent="0.25">
      <c r="A199" s="1939" t="s">
        <v>3187</v>
      </c>
      <c r="B199" s="1901" t="s">
        <v>1169</v>
      </c>
      <c r="C199" s="1905"/>
      <c r="D199" s="1905"/>
      <c r="E199" s="1925">
        <v>0</v>
      </c>
      <c r="F199" s="1920"/>
      <c r="H199" s="1926"/>
    </row>
    <row r="200" spans="1:8" x14ac:dyDescent="0.25">
      <c r="A200" s="1939" t="s">
        <v>3211</v>
      </c>
      <c r="B200" s="1901" t="s">
        <v>2156</v>
      </c>
      <c r="C200" s="1906"/>
      <c r="D200" s="1905"/>
      <c r="E200" s="1925">
        <v>0</v>
      </c>
      <c r="F200" s="1920"/>
      <c r="H200" s="1926"/>
    </row>
    <row r="201" spans="1:8" x14ac:dyDescent="0.25">
      <c r="A201" s="1939" t="s">
        <v>3212</v>
      </c>
      <c r="B201" s="1901" t="s">
        <v>2157</v>
      </c>
      <c r="C201" s="1905"/>
      <c r="D201" s="1905"/>
      <c r="E201" s="1925">
        <v>0</v>
      </c>
      <c r="F201" s="1920"/>
      <c r="H201" s="1926"/>
    </row>
    <row r="202" spans="1:8" x14ac:dyDescent="0.25">
      <c r="A202" s="1939" t="s">
        <v>3287</v>
      </c>
      <c r="B202" s="1901" t="s">
        <v>341</v>
      </c>
      <c r="C202" s="1905"/>
      <c r="D202" s="1905"/>
      <c r="E202" s="1925">
        <v>1529877.67</v>
      </c>
      <c r="F202" s="1920"/>
      <c r="H202" s="1926"/>
    </row>
    <row r="203" spans="1:8" x14ac:dyDescent="0.25">
      <c r="A203" s="1939" t="s">
        <v>3296</v>
      </c>
      <c r="B203" s="1901" t="s">
        <v>2085</v>
      </c>
      <c r="C203" s="1906"/>
      <c r="D203" s="1906"/>
      <c r="E203" s="1925">
        <v>343265.23</v>
      </c>
      <c r="F203" s="1920"/>
      <c r="H203" s="1926"/>
    </row>
    <row r="204" spans="1:8" x14ac:dyDescent="0.25">
      <c r="A204" s="1939" t="s">
        <v>3187</v>
      </c>
      <c r="B204" s="1901" t="s">
        <v>1169</v>
      </c>
      <c r="C204" s="1906"/>
      <c r="D204" s="1905"/>
      <c r="E204" s="1925">
        <v>343265.23</v>
      </c>
      <c r="F204" s="1920"/>
      <c r="H204" s="1926"/>
    </row>
    <row r="205" spans="1:8" x14ac:dyDescent="0.25">
      <c r="A205" s="1939" t="s">
        <v>3189</v>
      </c>
      <c r="B205" s="1901" t="s">
        <v>961</v>
      </c>
      <c r="C205" s="1906"/>
      <c r="D205" s="1905"/>
      <c r="E205" s="1925">
        <v>343265.23</v>
      </c>
      <c r="F205" s="1920"/>
      <c r="H205" s="1926"/>
    </row>
    <row r="206" spans="1:8" x14ac:dyDescent="0.25">
      <c r="A206" s="1939" t="s">
        <v>3297</v>
      </c>
      <c r="B206" s="1901" t="s">
        <v>2184</v>
      </c>
      <c r="C206" s="1906"/>
      <c r="D206" s="1905"/>
      <c r="E206" s="1925">
        <v>418616.13</v>
      </c>
      <c r="F206" s="1920"/>
      <c r="H206" s="1926"/>
    </row>
    <row r="207" spans="1:8" x14ac:dyDescent="0.25">
      <c r="A207" s="1939" t="s">
        <v>3187</v>
      </c>
      <c r="B207" s="1901" t="s">
        <v>1169</v>
      </c>
      <c r="C207" s="1906"/>
      <c r="D207" s="1905"/>
      <c r="E207" s="1925">
        <v>418616.13</v>
      </c>
      <c r="F207" s="1920"/>
      <c r="H207" s="1926"/>
    </row>
    <row r="208" spans="1:8" x14ac:dyDescent="0.25">
      <c r="A208" s="1939" t="s">
        <v>3288</v>
      </c>
      <c r="B208" s="1901" t="s">
        <v>163</v>
      </c>
      <c r="C208" s="1906"/>
      <c r="D208" s="1905"/>
      <c r="E208" s="1925">
        <v>418616.13</v>
      </c>
      <c r="F208" s="1920"/>
      <c r="H208" s="1926"/>
    </row>
    <row r="209" spans="1:8" x14ac:dyDescent="0.25">
      <c r="A209" s="1939" t="s">
        <v>3298</v>
      </c>
      <c r="B209" s="1901" t="s">
        <v>2090</v>
      </c>
      <c r="C209" s="1906"/>
      <c r="D209" s="1905"/>
      <c r="E209" s="1925">
        <v>158075</v>
      </c>
      <c r="F209" s="1920"/>
      <c r="H209" s="1926"/>
    </row>
    <row r="210" spans="1:8" x14ac:dyDescent="0.25">
      <c r="A210" s="1939" t="s">
        <v>3187</v>
      </c>
      <c r="B210" s="1901" t="s">
        <v>1169</v>
      </c>
      <c r="C210" s="1906"/>
      <c r="D210" s="1905"/>
      <c r="E210" s="1925">
        <v>158075</v>
      </c>
      <c r="F210" s="1920"/>
      <c r="H210" s="1926"/>
    </row>
    <row r="211" spans="1:8" x14ac:dyDescent="0.25">
      <c r="A211" s="1939" t="s">
        <v>3301</v>
      </c>
      <c r="B211" s="1901" t="s">
        <v>2091</v>
      </c>
      <c r="C211" s="1906"/>
      <c r="D211" s="1906"/>
      <c r="E211" s="1925">
        <v>158075</v>
      </c>
      <c r="F211" s="1920"/>
      <c r="H211" s="1926"/>
    </row>
    <row r="212" spans="1:8" x14ac:dyDescent="0.25">
      <c r="A212" s="1939" t="s">
        <v>3299</v>
      </c>
      <c r="B212" s="1901" t="s">
        <v>2096</v>
      </c>
      <c r="C212" s="1906"/>
      <c r="D212" s="1905"/>
      <c r="E212" s="1925">
        <v>0</v>
      </c>
      <c r="F212" s="1920"/>
      <c r="H212" s="1926"/>
    </row>
    <row r="213" spans="1:8" x14ac:dyDescent="0.25">
      <c r="A213" s="1939" t="s">
        <v>3187</v>
      </c>
      <c r="B213" s="1901" t="s">
        <v>1169</v>
      </c>
      <c r="C213" s="1905"/>
      <c r="D213" s="1905"/>
      <c r="E213" s="1925">
        <v>0</v>
      </c>
      <c r="F213" s="1920"/>
      <c r="H213" s="1926"/>
    </row>
    <row r="214" spans="1:8" x14ac:dyDescent="0.25">
      <c r="A214" s="1939" t="s">
        <v>3192</v>
      </c>
      <c r="B214" s="1901" t="s">
        <v>2097</v>
      </c>
      <c r="C214" s="1905"/>
      <c r="D214" s="1905"/>
      <c r="E214" s="1925">
        <v>0</v>
      </c>
      <c r="F214" s="1920"/>
      <c r="H214" s="1926"/>
    </row>
    <row r="215" spans="1:8" x14ac:dyDescent="0.25">
      <c r="A215" s="1939" t="s">
        <v>3198</v>
      </c>
      <c r="B215" s="1901" t="s">
        <v>456</v>
      </c>
      <c r="C215" s="1905"/>
      <c r="D215" s="1905"/>
      <c r="E215" s="1925">
        <v>919956.36</v>
      </c>
      <c r="F215" s="1920"/>
      <c r="H215" s="1926"/>
    </row>
    <row r="216" spans="1:8" x14ac:dyDescent="0.25">
      <c r="A216" s="1939" t="s">
        <v>3300</v>
      </c>
      <c r="B216" s="1901" t="s">
        <v>2185</v>
      </c>
      <c r="C216" s="1905"/>
      <c r="D216" s="1905"/>
      <c r="E216" s="1925">
        <v>919956.36</v>
      </c>
      <c r="F216" s="1920"/>
      <c r="H216" s="1926"/>
    </row>
    <row r="217" spans="1:8" x14ac:dyDescent="0.25">
      <c r="A217" s="1939" t="s">
        <v>3304</v>
      </c>
      <c r="B217" s="1901" t="s">
        <v>2136</v>
      </c>
      <c r="C217" s="1906"/>
      <c r="D217" s="1906"/>
      <c r="E217" s="1925">
        <v>0</v>
      </c>
      <c r="F217" s="1920"/>
      <c r="H217" s="1926"/>
    </row>
    <row r="218" spans="1:8" x14ac:dyDescent="0.25">
      <c r="A218" s="1939" t="s">
        <v>3187</v>
      </c>
      <c r="B218" s="1901" t="s">
        <v>1169</v>
      </c>
      <c r="C218" s="1905"/>
      <c r="D218" s="1905"/>
      <c r="E218" s="1925">
        <v>0</v>
      </c>
      <c r="F218" s="1920"/>
      <c r="H218" s="1926"/>
    </row>
    <row r="219" spans="1:8" x14ac:dyDescent="0.25">
      <c r="A219" s="1939" t="s">
        <v>3197</v>
      </c>
      <c r="B219" s="1901" t="s">
        <v>152</v>
      </c>
      <c r="C219" s="1906"/>
      <c r="D219" s="1905"/>
      <c r="E219" s="1925">
        <v>0</v>
      </c>
      <c r="F219" s="1920"/>
      <c r="H219" s="1926"/>
    </row>
    <row r="220" spans="1:8" x14ac:dyDescent="0.25">
      <c r="A220" s="1939" t="s">
        <v>3305</v>
      </c>
      <c r="B220" s="1901" t="s">
        <v>2136</v>
      </c>
      <c r="C220" s="1906"/>
      <c r="D220" s="1906"/>
      <c r="E220" s="1925">
        <v>0</v>
      </c>
      <c r="F220" s="1920"/>
      <c r="H220" s="1926"/>
    </row>
    <row r="221" spans="1:8" x14ac:dyDescent="0.25">
      <c r="A221" s="1939" t="s">
        <v>3187</v>
      </c>
      <c r="B221" s="1901" t="s">
        <v>1169</v>
      </c>
      <c r="C221" s="1906"/>
      <c r="D221" s="1905"/>
      <c r="E221" s="1925">
        <v>0</v>
      </c>
      <c r="F221" s="1920"/>
      <c r="H221" s="1926"/>
    </row>
    <row r="222" spans="1:8" x14ac:dyDescent="0.25">
      <c r="A222" s="1939" t="s">
        <v>3251</v>
      </c>
      <c r="B222" s="1901" t="s">
        <v>153</v>
      </c>
      <c r="C222" s="1905"/>
      <c r="D222" s="1905"/>
      <c r="E222" s="1925">
        <v>0</v>
      </c>
      <c r="F222" s="1920"/>
      <c r="H222" s="1926"/>
    </row>
    <row r="223" spans="1:8" x14ac:dyDescent="0.25">
      <c r="A223" s="1939" t="s">
        <v>3306</v>
      </c>
      <c r="B223" s="1901" t="s">
        <v>2136</v>
      </c>
      <c r="C223" s="1905"/>
      <c r="D223" s="1905"/>
      <c r="E223" s="1925">
        <v>0</v>
      </c>
      <c r="F223" s="1920"/>
      <c r="H223" s="1926"/>
    </row>
    <row r="224" spans="1:8" x14ac:dyDescent="0.25">
      <c r="A224" s="1939" t="s">
        <v>3307</v>
      </c>
      <c r="B224" s="1901" t="s">
        <v>2136</v>
      </c>
      <c r="C224" s="1906"/>
      <c r="D224" s="1905"/>
      <c r="E224" s="1925">
        <v>0</v>
      </c>
      <c r="F224" s="1920"/>
      <c r="H224" s="1926"/>
    </row>
    <row r="225" spans="1:8" x14ac:dyDescent="0.25">
      <c r="A225" s="1939" t="s">
        <v>3308</v>
      </c>
      <c r="B225" s="1901" t="s">
        <v>2136</v>
      </c>
      <c r="C225" s="1905"/>
      <c r="D225" s="1905"/>
      <c r="E225" s="1925">
        <v>0</v>
      </c>
      <c r="F225" s="1920"/>
      <c r="H225" s="1926"/>
    </row>
    <row r="226" spans="1:8" x14ac:dyDescent="0.25">
      <c r="A226" s="1939" t="s">
        <v>3187</v>
      </c>
      <c r="B226" s="1901" t="s">
        <v>1169</v>
      </c>
      <c r="C226" s="1906"/>
      <c r="D226" s="1905"/>
      <c r="E226" s="1925">
        <v>0</v>
      </c>
      <c r="F226" s="1920"/>
      <c r="H226" s="1926"/>
    </row>
    <row r="227" spans="1:8" x14ac:dyDescent="0.25">
      <c r="A227" s="1939" t="s">
        <v>3255</v>
      </c>
      <c r="B227" s="1901" t="s">
        <v>2121</v>
      </c>
      <c r="C227" s="1905"/>
      <c r="D227" s="1905"/>
      <c r="E227" s="1925">
        <v>0</v>
      </c>
      <c r="F227" s="1920"/>
      <c r="H227" s="1926"/>
    </row>
    <row r="228" spans="1:8" x14ac:dyDescent="0.25">
      <c r="A228" s="1939" t="s">
        <v>3198</v>
      </c>
      <c r="B228" s="1901" t="s">
        <v>456</v>
      </c>
      <c r="C228" s="1906"/>
      <c r="D228" s="1906"/>
      <c r="E228" s="1925">
        <v>0</v>
      </c>
      <c r="F228" s="1920"/>
      <c r="H228" s="1926"/>
    </row>
    <row r="229" spans="1:8" x14ac:dyDescent="0.25">
      <c r="A229" s="1939" t="s">
        <v>3309</v>
      </c>
      <c r="B229" s="1901" t="s">
        <v>2136</v>
      </c>
      <c r="C229" s="1906"/>
      <c r="D229" s="1905"/>
      <c r="E229" s="1925">
        <v>0</v>
      </c>
      <c r="F229" s="1920"/>
      <c r="H229" s="1926"/>
    </row>
    <row r="230" spans="1:8" x14ac:dyDescent="0.25">
      <c r="A230" s="1939" t="s">
        <v>3187</v>
      </c>
      <c r="B230" s="1901" t="s">
        <v>1169</v>
      </c>
      <c r="C230" s="1906"/>
      <c r="D230" s="1905"/>
      <c r="E230" s="1925">
        <v>0</v>
      </c>
      <c r="F230" s="1920"/>
      <c r="H230" s="1926"/>
    </row>
    <row r="231" spans="1:8" x14ac:dyDescent="0.25">
      <c r="A231" s="1939" t="s">
        <v>3211</v>
      </c>
      <c r="B231" s="1901" t="s">
        <v>2156</v>
      </c>
      <c r="C231" s="1906"/>
      <c r="D231" s="1905"/>
      <c r="E231" s="1925">
        <v>0</v>
      </c>
      <c r="F231" s="1920"/>
      <c r="H231" s="1926"/>
    </row>
    <row r="232" spans="1:8" x14ac:dyDescent="0.25">
      <c r="A232" s="1939" t="s">
        <v>3212</v>
      </c>
      <c r="B232" s="1901" t="s">
        <v>2157</v>
      </c>
      <c r="C232" s="1906"/>
      <c r="D232" s="1905"/>
      <c r="E232" s="1925">
        <v>0</v>
      </c>
      <c r="F232" s="1920"/>
      <c r="H232" s="1926"/>
    </row>
    <row r="233" spans="1:8" x14ac:dyDescent="0.25">
      <c r="A233" s="1939" t="s">
        <v>3310</v>
      </c>
      <c r="B233" s="1901" t="s">
        <v>2186</v>
      </c>
      <c r="C233" s="1906"/>
      <c r="D233" s="1905"/>
      <c r="E233" s="1925">
        <v>0</v>
      </c>
      <c r="F233" s="1920"/>
      <c r="H233" s="1926"/>
    </row>
    <row r="234" spans="1:8" x14ac:dyDescent="0.25">
      <c r="A234" s="1939" t="s">
        <v>3315</v>
      </c>
      <c r="B234" s="1901" t="s">
        <v>2085</v>
      </c>
      <c r="C234" s="1906"/>
      <c r="D234" s="1906"/>
      <c r="E234" s="1925">
        <v>141133.43</v>
      </c>
      <c r="F234" s="1920"/>
      <c r="H234" s="1926"/>
    </row>
    <row r="235" spans="1:8" x14ac:dyDescent="0.25">
      <c r="A235" s="1939" t="s">
        <v>3187</v>
      </c>
      <c r="B235" s="1901" t="s">
        <v>1169</v>
      </c>
      <c r="C235" s="1905"/>
      <c r="D235" s="1905"/>
      <c r="E235" s="1925">
        <v>141133.43</v>
      </c>
      <c r="F235" s="1920"/>
      <c r="H235" s="1926"/>
    </row>
    <row r="236" spans="1:8" x14ac:dyDescent="0.25">
      <c r="A236" s="1939" t="s">
        <v>3189</v>
      </c>
      <c r="B236" s="1901" t="s">
        <v>961</v>
      </c>
      <c r="C236" s="1905"/>
      <c r="D236" s="1905"/>
      <c r="E236" s="1925">
        <v>141133.43</v>
      </c>
      <c r="F236" s="1920"/>
      <c r="H236" s="1926"/>
    </row>
    <row r="237" spans="1:8" x14ac:dyDescent="0.25">
      <c r="A237" s="1939" t="s">
        <v>3316</v>
      </c>
      <c r="B237" s="1901" t="s">
        <v>2096</v>
      </c>
      <c r="C237" s="1906"/>
      <c r="D237" s="1905"/>
      <c r="E237" s="1925">
        <v>126251.85</v>
      </c>
      <c r="F237" s="1920"/>
      <c r="H237" s="1926"/>
    </row>
    <row r="238" spans="1:8" x14ac:dyDescent="0.25">
      <c r="A238" s="1939" t="s">
        <v>3187</v>
      </c>
      <c r="B238" s="1901" t="s">
        <v>1169</v>
      </c>
      <c r="C238" s="1906"/>
      <c r="D238" s="1906"/>
      <c r="E238" s="1925">
        <v>126251.85</v>
      </c>
      <c r="F238" s="1920"/>
      <c r="H238" s="1926"/>
    </row>
    <row r="239" spans="1:8" x14ac:dyDescent="0.25">
      <c r="A239" s="1939" t="s">
        <v>3192</v>
      </c>
      <c r="B239" s="1901" t="s">
        <v>2097</v>
      </c>
      <c r="C239" s="1905"/>
      <c r="D239" s="1905"/>
      <c r="E239" s="1925">
        <v>126251.85</v>
      </c>
      <c r="F239" s="1920"/>
      <c r="H239" s="1926"/>
    </row>
    <row r="240" spans="1:8" x14ac:dyDescent="0.25">
      <c r="A240" s="1939" t="s">
        <v>3198</v>
      </c>
      <c r="B240" s="1901" t="s">
        <v>456</v>
      </c>
      <c r="C240" s="1906"/>
      <c r="D240" s="1905"/>
      <c r="E240" s="1925">
        <v>267385.28000000003</v>
      </c>
      <c r="F240" s="1920"/>
      <c r="H240" s="1926"/>
    </row>
    <row r="241" spans="1:8" x14ac:dyDescent="0.25">
      <c r="A241" s="1939" t="s">
        <v>3317</v>
      </c>
      <c r="B241" s="1901" t="s">
        <v>2187</v>
      </c>
      <c r="C241" s="1906"/>
      <c r="D241" s="1905"/>
      <c r="E241" s="1925">
        <v>0</v>
      </c>
      <c r="F241" s="1920"/>
      <c r="H241" s="1926"/>
    </row>
    <row r="242" spans="1:8" x14ac:dyDescent="0.25">
      <c r="A242" s="1939" t="s">
        <v>3318</v>
      </c>
      <c r="B242" s="1901" t="s">
        <v>2092</v>
      </c>
      <c r="C242" s="1906"/>
      <c r="D242" s="1905"/>
      <c r="E242" s="1925">
        <v>0</v>
      </c>
      <c r="F242" s="1920"/>
      <c r="H242" s="1926"/>
    </row>
    <row r="243" spans="1:8" x14ac:dyDescent="0.25">
      <c r="A243" s="1939" t="s">
        <v>3187</v>
      </c>
      <c r="B243" s="1901" t="s">
        <v>1169</v>
      </c>
      <c r="C243" s="1906"/>
      <c r="D243" s="1905"/>
      <c r="E243" s="1925">
        <v>0</v>
      </c>
      <c r="F243" s="1920"/>
      <c r="H243" s="1926"/>
    </row>
    <row r="244" spans="1:8" x14ac:dyDescent="0.25">
      <c r="A244" s="1939" t="s">
        <v>3211</v>
      </c>
      <c r="B244" s="1901" t="s">
        <v>2156</v>
      </c>
      <c r="C244" s="1906"/>
      <c r="D244" s="1906"/>
      <c r="E244" s="1925">
        <v>0</v>
      </c>
      <c r="F244" s="1920"/>
      <c r="H244" s="1926"/>
    </row>
    <row r="245" spans="1:8" x14ac:dyDescent="0.25">
      <c r="A245" s="1939" t="s">
        <v>3212</v>
      </c>
      <c r="B245" s="1901" t="s">
        <v>2157</v>
      </c>
      <c r="C245" s="1906"/>
      <c r="D245" s="1905"/>
      <c r="E245" s="1925">
        <v>0</v>
      </c>
      <c r="F245" s="1920"/>
      <c r="H245" s="1926"/>
    </row>
    <row r="246" spans="1:8" x14ac:dyDescent="0.25">
      <c r="A246" s="1939" t="s">
        <v>3319</v>
      </c>
      <c r="B246" s="1901" t="s">
        <v>2188</v>
      </c>
      <c r="C246" s="1906"/>
      <c r="D246" s="1905"/>
      <c r="E246" s="1925">
        <v>267385.28000000003</v>
      </c>
      <c r="F246" s="1920"/>
      <c r="H246" s="1926"/>
    </row>
    <row r="247" spans="1:8" x14ac:dyDescent="0.25">
      <c r="A247" s="1939" t="s">
        <v>3322</v>
      </c>
      <c r="B247" s="1901" t="s">
        <v>2085</v>
      </c>
      <c r="C247" s="1906"/>
      <c r="D247" s="1905"/>
      <c r="E247" s="1925">
        <v>497555.18</v>
      </c>
      <c r="F247" s="1920"/>
      <c r="H247" s="1926"/>
    </row>
    <row r="248" spans="1:8" x14ac:dyDescent="0.25">
      <c r="A248" s="1939" t="s">
        <v>3187</v>
      </c>
      <c r="B248" s="1901" t="s">
        <v>1169</v>
      </c>
      <c r="C248" s="1906"/>
      <c r="D248" s="1905"/>
      <c r="E248" s="1925">
        <v>497555.18</v>
      </c>
      <c r="F248" s="1920"/>
      <c r="H248" s="1926"/>
    </row>
    <row r="249" spans="1:8" x14ac:dyDescent="0.25">
      <c r="A249" s="1939" t="s">
        <v>3218</v>
      </c>
      <c r="B249" s="1901" t="s">
        <v>961</v>
      </c>
      <c r="C249" s="1905"/>
      <c r="D249" s="1905"/>
      <c r="E249" s="1925">
        <v>497555.18</v>
      </c>
      <c r="F249" s="1920"/>
      <c r="H249" s="1926"/>
    </row>
    <row r="250" spans="1:8" x14ac:dyDescent="0.25">
      <c r="A250" s="1939" t="s">
        <v>3323</v>
      </c>
      <c r="B250" s="1901" t="s">
        <v>2096</v>
      </c>
      <c r="C250" s="1905"/>
      <c r="D250" s="1905"/>
      <c r="E250" s="1925">
        <v>0</v>
      </c>
      <c r="F250" s="1920"/>
      <c r="H250" s="1926"/>
    </row>
    <row r="251" spans="1:8" x14ac:dyDescent="0.25">
      <c r="A251" s="1939" t="s">
        <v>3187</v>
      </c>
      <c r="B251" s="1901" t="s">
        <v>1169</v>
      </c>
      <c r="C251" s="1906"/>
      <c r="D251" s="1905"/>
      <c r="E251" s="1925">
        <v>0</v>
      </c>
      <c r="F251" s="1920"/>
      <c r="H251" s="1926"/>
    </row>
    <row r="252" spans="1:8" x14ac:dyDescent="0.25">
      <c r="A252" s="1939" t="s">
        <v>3192</v>
      </c>
      <c r="B252" s="1901" t="s">
        <v>2097</v>
      </c>
      <c r="C252" s="1906"/>
      <c r="D252" s="1905"/>
      <c r="E252" s="1925">
        <v>0</v>
      </c>
      <c r="F252" s="1920"/>
      <c r="H252" s="1926"/>
    </row>
    <row r="253" spans="1:8" x14ac:dyDescent="0.25">
      <c r="A253" s="1939" t="s">
        <v>3806</v>
      </c>
      <c r="B253" s="1901" t="s">
        <v>2189</v>
      </c>
      <c r="C253" s="1906"/>
      <c r="D253" s="1905"/>
      <c r="E253" s="1925">
        <v>56805.919999999998</v>
      </c>
      <c r="F253" s="1920"/>
      <c r="H253" s="1926"/>
    </row>
    <row r="254" spans="1:8" x14ac:dyDescent="0.25">
      <c r="A254" s="1939" t="s">
        <v>3187</v>
      </c>
      <c r="B254" s="1901" t="s">
        <v>1169</v>
      </c>
      <c r="C254" s="1906"/>
      <c r="D254" s="1905"/>
      <c r="E254" s="1925">
        <v>56805.919999999998</v>
      </c>
      <c r="F254" s="1920"/>
      <c r="H254" s="1926"/>
    </row>
    <row r="255" spans="1:8" x14ac:dyDescent="0.25">
      <c r="A255" s="1939" t="s">
        <v>3255</v>
      </c>
      <c r="B255" s="1901" t="s">
        <v>2121</v>
      </c>
      <c r="C255" s="1906"/>
      <c r="D255" s="1906"/>
      <c r="E255" s="1925">
        <v>56805.919999999998</v>
      </c>
      <c r="F255" s="1920"/>
      <c r="H255" s="1926"/>
    </row>
    <row r="256" spans="1:8" x14ac:dyDescent="0.25">
      <c r="A256" s="1939" t="s">
        <v>3198</v>
      </c>
      <c r="B256" s="1901" t="s">
        <v>456</v>
      </c>
      <c r="C256" s="1905"/>
      <c r="D256" s="1905"/>
      <c r="E256" s="1925">
        <v>554361.1</v>
      </c>
      <c r="F256" s="1920"/>
      <c r="H256" s="1926"/>
    </row>
    <row r="257" spans="1:9" x14ac:dyDescent="0.25">
      <c r="A257" s="1939" t="s">
        <v>3324</v>
      </c>
      <c r="B257" s="1901" t="s">
        <v>2190</v>
      </c>
      <c r="C257" s="1905"/>
      <c r="D257" s="1905"/>
      <c r="E257" s="1925">
        <v>554361.1</v>
      </c>
      <c r="F257" s="1920"/>
      <c r="H257" s="1926"/>
    </row>
    <row r="258" spans="1:9" x14ac:dyDescent="0.25">
      <c r="A258" s="1939" t="s">
        <v>3332</v>
      </c>
      <c r="B258" s="1901" t="s">
        <v>2085</v>
      </c>
      <c r="C258" s="1906"/>
      <c r="D258" s="1905"/>
      <c r="E258" s="1925">
        <v>0</v>
      </c>
      <c r="F258" s="1920"/>
      <c r="H258" s="1926"/>
    </row>
    <row r="259" spans="1:9" x14ac:dyDescent="0.25">
      <c r="A259" s="1939" t="s">
        <v>3187</v>
      </c>
      <c r="B259" s="1901" t="s">
        <v>1169</v>
      </c>
      <c r="C259" s="1906"/>
      <c r="D259" s="1905"/>
      <c r="E259" s="1925">
        <v>0</v>
      </c>
      <c r="F259" s="1920"/>
      <c r="H259" s="1926"/>
    </row>
    <row r="260" spans="1:9" x14ac:dyDescent="0.25">
      <c r="A260" s="1939" t="s">
        <v>3189</v>
      </c>
      <c r="B260" s="1901" t="s">
        <v>961</v>
      </c>
      <c r="C260" s="1906"/>
      <c r="D260" s="1905"/>
      <c r="E260" s="1925">
        <v>0</v>
      </c>
      <c r="F260" s="1920"/>
      <c r="H260" s="1926"/>
    </row>
    <row r="261" spans="1:9" x14ac:dyDescent="0.25">
      <c r="A261" s="1939" t="s">
        <v>3333</v>
      </c>
      <c r="B261" s="1901" t="s">
        <v>2191</v>
      </c>
      <c r="C261" s="1905"/>
      <c r="D261" s="1905"/>
      <c r="E261" s="1925">
        <v>10432.61</v>
      </c>
      <c r="F261" s="1920"/>
      <c r="H261" s="1926"/>
    </row>
    <row r="262" spans="1:9" x14ac:dyDescent="0.25">
      <c r="A262" s="1939" t="s">
        <v>3187</v>
      </c>
      <c r="B262" s="1901" t="s">
        <v>1169</v>
      </c>
      <c r="C262" s="1906"/>
      <c r="D262" s="1905"/>
      <c r="E262" s="1925">
        <v>10432.61</v>
      </c>
      <c r="F262" s="1920"/>
      <c r="H262" s="1926"/>
    </row>
    <row r="263" spans="1:9" x14ac:dyDescent="0.25">
      <c r="A263" s="1939" t="s">
        <v>3192</v>
      </c>
      <c r="B263" s="1901" t="s">
        <v>2097</v>
      </c>
      <c r="C263" s="1906"/>
      <c r="D263" s="1905"/>
      <c r="E263" s="1925">
        <v>10432.61</v>
      </c>
      <c r="F263" s="1920"/>
      <c r="H263" s="1926"/>
    </row>
    <row r="264" spans="1:9" x14ac:dyDescent="0.25">
      <c r="A264" s="1939" t="s">
        <v>3198</v>
      </c>
      <c r="B264" s="1901" t="s">
        <v>456</v>
      </c>
      <c r="C264" s="1906"/>
      <c r="D264" s="1905"/>
      <c r="E264" s="1925">
        <v>10432.61</v>
      </c>
      <c r="F264" s="1920"/>
      <c r="H264" s="1926"/>
    </row>
    <row r="265" spans="1:9" x14ac:dyDescent="0.25">
      <c r="A265" s="1939" t="s">
        <v>3334</v>
      </c>
      <c r="B265" s="1901" t="s">
        <v>2192</v>
      </c>
      <c r="C265" s="1905"/>
      <c r="D265" s="1905"/>
      <c r="E265" s="1925">
        <v>0</v>
      </c>
      <c r="F265" s="1920"/>
      <c r="H265" s="1926"/>
    </row>
    <row r="266" spans="1:9" x14ac:dyDescent="0.25">
      <c r="A266" s="1939" t="s">
        <v>3187</v>
      </c>
      <c r="B266" s="1901" t="s">
        <v>1169</v>
      </c>
      <c r="C266" s="1905"/>
      <c r="D266" s="1905"/>
      <c r="E266" s="1925">
        <v>0</v>
      </c>
      <c r="F266" s="1920"/>
      <c r="H266" s="1926"/>
    </row>
    <row r="267" spans="1:9" x14ac:dyDescent="0.25">
      <c r="A267" s="1939" t="s">
        <v>3211</v>
      </c>
      <c r="B267" s="1901" t="s">
        <v>2156</v>
      </c>
      <c r="C267" s="1906"/>
      <c r="D267" s="1905"/>
      <c r="E267" s="1925">
        <v>0</v>
      </c>
      <c r="F267" s="1920"/>
      <c r="H267" s="1926"/>
    </row>
    <row r="268" spans="1:9" x14ac:dyDescent="0.25">
      <c r="A268" s="1939" t="s">
        <v>3212</v>
      </c>
      <c r="B268" s="1901" t="s">
        <v>2157</v>
      </c>
      <c r="C268" s="1905"/>
      <c r="D268" s="1905"/>
      <c r="E268" s="1925">
        <v>0</v>
      </c>
      <c r="F268" s="1920"/>
      <c r="H268" s="1926"/>
    </row>
    <row r="269" spans="1:9" x14ac:dyDescent="0.25">
      <c r="A269" s="1939" t="s">
        <v>3335</v>
      </c>
      <c r="B269" s="1901" t="s">
        <v>2193</v>
      </c>
      <c r="C269" s="1906"/>
      <c r="D269" s="1905"/>
      <c r="E269" s="1925">
        <v>10432.61</v>
      </c>
      <c r="F269" s="1920"/>
      <c r="H269" s="1926"/>
    </row>
    <row r="270" spans="1:9" x14ac:dyDescent="0.25">
      <c r="A270" s="1939" t="s">
        <v>3219</v>
      </c>
      <c r="B270" s="1901" t="s">
        <v>264</v>
      </c>
      <c r="C270" s="1906"/>
      <c r="D270" s="1905"/>
      <c r="E270" s="1925">
        <v>25516892</v>
      </c>
      <c r="F270" s="1920"/>
      <c r="H270" s="1926"/>
    </row>
    <row r="271" spans="1:9" x14ac:dyDescent="0.25">
      <c r="A271" s="1941" t="s">
        <v>3339</v>
      </c>
      <c r="B271" s="1901" t="s">
        <v>2194</v>
      </c>
      <c r="C271" s="1906"/>
      <c r="D271" s="1905"/>
      <c r="E271" s="1925">
        <v>1158152.26</v>
      </c>
      <c r="F271" s="1920"/>
      <c r="G271" s="1925">
        <v>1158152</v>
      </c>
      <c r="I271" s="1927"/>
    </row>
    <row r="272" spans="1:9" x14ac:dyDescent="0.25">
      <c r="A272" s="1941" t="s">
        <v>3339</v>
      </c>
      <c r="B272" s="1901" t="s">
        <v>2195</v>
      </c>
      <c r="C272" s="1906"/>
      <c r="D272" s="1905"/>
      <c r="E272" s="1925">
        <v>811959.65</v>
      </c>
      <c r="F272" s="1920"/>
      <c r="G272" s="1925">
        <v>811959</v>
      </c>
      <c r="I272" s="1927"/>
    </row>
    <row r="273" spans="1:9" x14ac:dyDescent="0.25">
      <c r="A273" s="1941" t="s">
        <v>3339</v>
      </c>
      <c r="B273" s="1901" t="s">
        <v>2196</v>
      </c>
      <c r="C273" s="1905"/>
      <c r="D273" s="1905"/>
      <c r="E273" s="1925">
        <v>944950.47</v>
      </c>
      <c r="F273" s="1920"/>
      <c r="G273" s="1925">
        <v>944950</v>
      </c>
      <c r="I273" s="1927"/>
    </row>
    <row r="274" spans="1:9" x14ac:dyDescent="0.25">
      <c r="A274" s="1941" t="s">
        <v>3339</v>
      </c>
      <c r="B274" s="1901" t="s">
        <v>2197</v>
      </c>
      <c r="C274" s="1906"/>
      <c r="D274" s="1905"/>
      <c r="E274" s="1925">
        <v>832153.51</v>
      </c>
      <c r="F274" s="1920"/>
      <c r="G274" s="1925">
        <v>832153</v>
      </c>
      <c r="I274" s="1927"/>
    </row>
    <row r="275" spans="1:9" x14ac:dyDescent="0.25">
      <c r="A275" s="1941" t="s">
        <v>3339</v>
      </c>
      <c r="B275" s="1901" t="s">
        <v>2198</v>
      </c>
      <c r="C275" s="1906"/>
      <c r="D275" s="1905"/>
      <c r="E275" s="1925">
        <v>1354296.45</v>
      </c>
      <c r="F275" s="1920"/>
      <c r="G275" s="1925">
        <v>1354296</v>
      </c>
      <c r="I275" s="1927"/>
    </row>
    <row r="276" spans="1:9" x14ac:dyDescent="0.25">
      <c r="A276" s="1941" t="s">
        <v>3339</v>
      </c>
      <c r="B276" s="1901" t="s">
        <v>2199</v>
      </c>
      <c r="C276" s="1906"/>
      <c r="D276" s="1905"/>
      <c r="E276" s="1925">
        <v>0</v>
      </c>
      <c r="F276" s="1920"/>
      <c r="G276" s="1925">
        <v>0</v>
      </c>
      <c r="I276" s="1927"/>
    </row>
    <row r="277" spans="1:9" x14ac:dyDescent="0.25">
      <c r="A277" s="1941" t="s">
        <v>3340</v>
      </c>
      <c r="B277" s="1901" t="s">
        <v>2200</v>
      </c>
      <c r="C277" s="1905"/>
      <c r="D277" s="1905"/>
      <c r="E277" s="1925">
        <v>32819.519999999997</v>
      </c>
      <c r="F277" s="1920"/>
      <c r="G277" s="1925">
        <v>32884</v>
      </c>
      <c r="I277" s="1927"/>
    </row>
    <row r="278" spans="1:9" x14ac:dyDescent="0.25">
      <c r="A278" s="1941" t="s">
        <v>3340</v>
      </c>
      <c r="B278" s="1901" t="s">
        <v>2200</v>
      </c>
      <c r="C278" s="1906"/>
      <c r="D278" s="1905"/>
      <c r="E278" s="1925">
        <v>24751.200000000001</v>
      </c>
      <c r="F278" s="1920"/>
      <c r="G278" s="1925">
        <v>24941</v>
      </c>
      <c r="I278" s="1927"/>
    </row>
    <row r="279" spans="1:9" x14ac:dyDescent="0.25">
      <c r="A279" s="1941" t="s">
        <v>3340</v>
      </c>
      <c r="B279" s="1901" t="s">
        <v>2200</v>
      </c>
      <c r="C279" s="1906"/>
      <c r="D279" s="1905"/>
      <c r="E279" s="1925">
        <v>0</v>
      </c>
      <c r="F279" s="1920"/>
      <c r="G279" s="1925">
        <v>0</v>
      </c>
      <c r="I279" s="1927"/>
    </row>
    <row r="280" spans="1:9" x14ac:dyDescent="0.25">
      <c r="A280" s="1941" t="s">
        <v>3341</v>
      </c>
      <c r="B280" s="1901" t="s">
        <v>2201</v>
      </c>
      <c r="C280" s="1905"/>
      <c r="D280" s="1905"/>
      <c r="E280" s="1925">
        <v>3094</v>
      </c>
      <c r="F280" s="1920"/>
      <c r="G280" s="1925">
        <v>3963</v>
      </c>
      <c r="I280" s="1927"/>
    </row>
    <row r="281" spans="1:9" x14ac:dyDescent="0.25">
      <c r="A281" s="1941" t="s">
        <v>3341</v>
      </c>
      <c r="B281" s="1901" t="s">
        <v>2202</v>
      </c>
      <c r="C281" s="1905"/>
      <c r="D281" s="1905"/>
      <c r="E281" s="1925">
        <v>6397</v>
      </c>
      <c r="F281" s="1920"/>
      <c r="G281" s="1925">
        <v>7061</v>
      </c>
      <c r="I281" s="1927"/>
    </row>
    <row r="282" spans="1:9" x14ac:dyDescent="0.25">
      <c r="A282" s="1941" t="s">
        <v>3342</v>
      </c>
      <c r="B282" s="1901" t="s">
        <v>2203</v>
      </c>
      <c r="C282" s="1905"/>
      <c r="D282" s="1905"/>
      <c r="E282" s="1925">
        <v>135094.41</v>
      </c>
      <c r="F282" s="1920"/>
      <c r="G282" s="1925">
        <v>140000</v>
      </c>
      <c r="I282" s="1927"/>
    </row>
    <row r="283" spans="1:9" x14ac:dyDescent="0.25">
      <c r="A283" s="1941" t="s">
        <v>3343</v>
      </c>
      <c r="B283" s="1901" t="s">
        <v>2204</v>
      </c>
      <c r="C283" s="1906"/>
      <c r="D283" s="1905"/>
      <c r="E283" s="1925">
        <v>87940</v>
      </c>
      <c r="F283" s="1920"/>
      <c r="G283" s="1925">
        <v>90000</v>
      </c>
      <c r="I283" s="1927"/>
    </row>
    <row r="284" spans="1:9" x14ac:dyDescent="0.25">
      <c r="A284" s="1941" t="s">
        <v>3344</v>
      </c>
      <c r="B284" s="1901" t="s">
        <v>2205</v>
      </c>
      <c r="C284" s="1905"/>
      <c r="D284" s="1905"/>
      <c r="E284" s="1925">
        <v>5393.82</v>
      </c>
      <c r="F284" s="1920"/>
      <c r="G284" s="1925">
        <v>7000</v>
      </c>
      <c r="I284" s="1927"/>
    </row>
    <row r="285" spans="1:9" x14ac:dyDescent="0.25">
      <c r="A285" s="1941" t="s">
        <v>3345</v>
      </c>
      <c r="B285" s="1901" t="s">
        <v>2206</v>
      </c>
      <c r="C285" s="1905"/>
      <c r="D285" s="1905"/>
      <c r="E285" s="1925">
        <v>52477.43</v>
      </c>
      <c r="F285" s="1920"/>
      <c r="G285" s="1925">
        <v>57000</v>
      </c>
      <c r="I285" s="1927"/>
    </row>
    <row r="286" spans="1:9" x14ac:dyDescent="0.25">
      <c r="A286" s="1941" t="s">
        <v>3346</v>
      </c>
      <c r="B286" s="1901" t="s">
        <v>2207</v>
      </c>
      <c r="C286" s="1905"/>
      <c r="D286" s="1905"/>
      <c r="E286" s="1925">
        <v>1582.95</v>
      </c>
      <c r="F286" s="1920"/>
      <c r="G286" s="1925">
        <v>1500</v>
      </c>
      <c r="I286" s="1927"/>
    </row>
    <row r="287" spans="1:9" x14ac:dyDescent="0.25">
      <c r="A287" s="1941" t="s">
        <v>3347</v>
      </c>
      <c r="B287" s="1901" t="s">
        <v>2208</v>
      </c>
      <c r="C287" s="1905"/>
      <c r="D287" s="1905"/>
      <c r="E287" s="1925">
        <v>15200</v>
      </c>
      <c r="F287" s="1920"/>
      <c r="G287" s="1925">
        <v>15200</v>
      </c>
      <c r="I287" s="1927"/>
    </row>
    <row r="288" spans="1:9" x14ac:dyDescent="0.25">
      <c r="A288" s="1941">
        <v>100</v>
      </c>
      <c r="B288" s="1901" t="s">
        <v>194</v>
      </c>
      <c r="C288" s="1905"/>
      <c r="D288" s="1905"/>
      <c r="E288" s="1925">
        <v>5466262.6699999999</v>
      </c>
      <c r="F288" s="1920"/>
      <c r="G288" s="1925">
        <v>5481059</v>
      </c>
      <c r="I288" s="1927"/>
    </row>
    <row r="289" spans="1:9" x14ac:dyDescent="0.25">
      <c r="A289" s="1941" t="s">
        <v>3348</v>
      </c>
      <c r="B289" s="1901" t="s">
        <v>2209</v>
      </c>
      <c r="C289" s="1905"/>
      <c r="D289" s="1905"/>
      <c r="E289" s="1925">
        <v>132973.74</v>
      </c>
      <c r="F289" s="1920"/>
      <c r="G289" s="1925">
        <v>132974</v>
      </c>
      <c r="I289" s="1927"/>
    </row>
    <row r="290" spans="1:9" x14ac:dyDescent="0.25">
      <c r="A290" s="1941" t="s">
        <v>3348</v>
      </c>
      <c r="B290" s="1901" t="s">
        <v>2210</v>
      </c>
      <c r="C290" s="1905"/>
      <c r="D290" s="1905"/>
      <c r="E290" s="1925">
        <v>92115.24</v>
      </c>
      <c r="F290" s="1920"/>
      <c r="G290" s="1925">
        <v>92115</v>
      </c>
      <c r="I290" s="1927"/>
    </row>
    <row r="291" spans="1:9" x14ac:dyDescent="0.25">
      <c r="A291" s="1941" t="s">
        <v>3348</v>
      </c>
      <c r="B291" s="1901" t="s">
        <v>2211</v>
      </c>
      <c r="C291" s="1905"/>
      <c r="D291" s="1905"/>
      <c r="E291" s="1925">
        <v>108844.45</v>
      </c>
      <c r="F291" s="1920"/>
      <c r="G291" s="1925">
        <v>108000</v>
      </c>
      <c r="I291" s="1927"/>
    </row>
    <row r="292" spans="1:9" x14ac:dyDescent="0.25">
      <c r="A292" s="1941" t="s">
        <v>3348</v>
      </c>
      <c r="B292" s="1901" t="s">
        <v>2212</v>
      </c>
      <c r="C292" s="1906"/>
      <c r="D292" s="1905"/>
      <c r="E292" s="1925">
        <v>96075.01</v>
      </c>
      <c r="F292" s="1920"/>
      <c r="G292" s="1925">
        <v>96075</v>
      </c>
      <c r="I292" s="1927"/>
    </row>
    <row r="293" spans="1:9" x14ac:dyDescent="0.25">
      <c r="A293" s="1941" t="s">
        <v>3348</v>
      </c>
      <c r="B293" s="1901" t="s">
        <v>2213</v>
      </c>
      <c r="C293" s="1905"/>
      <c r="D293" s="1905"/>
      <c r="E293" s="1925">
        <v>157476.76</v>
      </c>
      <c r="F293" s="1920"/>
      <c r="G293" s="1925">
        <v>157475</v>
      </c>
      <c r="I293" s="1927"/>
    </row>
    <row r="294" spans="1:9" x14ac:dyDescent="0.25">
      <c r="A294" s="1941" t="s">
        <v>3348</v>
      </c>
      <c r="B294" s="1901" t="s">
        <v>2214</v>
      </c>
      <c r="C294" s="1906"/>
      <c r="D294" s="1905"/>
      <c r="E294" s="1925">
        <v>2685.39</v>
      </c>
      <c r="F294" s="1920"/>
      <c r="G294" s="1925">
        <v>3500</v>
      </c>
      <c r="I294" s="1927"/>
    </row>
    <row r="295" spans="1:9" x14ac:dyDescent="0.25">
      <c r="A295" s="1941" t="s">
        <v>3349</v>
      </c>
      <c r="B295" s="1901" t="s">
        <v>2215</v>
      </c>
      <c r="C295" s="1905"/>
      <c r="D295" s="1905"/>
      <c r="E295" s="1925">
        <v>6928.43</v>
      </c>
      <c r="F295" s="1920"/>
      <c r="G295" s="1925">
        <v>6928.43</v>
      </c>
      <c r="I295" s="1927"/>
    </row>
    <row r="296" spans="1:9" x14ac:dyDescent="0.25">
      <c r="A296" s="1941" t="s">
        <v>3350</v>
      </c>
      <c r="B296" s="1901" t="s">
        <v>2216</v>
      </c>
      <c r="C296" s="1906"/>
      <c r="D296" s="1905"/>
      <c r="E296" s="1925">
        <v>10505.77</v>
      </c>
      <c r="F296" s="1920"/>
      <c r="G296" s="1925">
        <v>10505</v>
      </c>
      <c r="I296" s="1927"/>
    </row>
    <row r="297" spans="1:9" x14ac:dyDescent="0.25">
      <c r="A297" s="1941" t="s">
        <v>3351</v>
      </c>
      <c r="B297" s="1901" t="s">
        <v>2217</v>
      </c>
      <c r="C297" s="1906"/>
      <c r="D297" s="1905"/>
      <c r="E297" s="1925">
        <v>168711.03</v>
      </c>
      <c r="F297" s="1920"/>
      <c r="G297" s="1925">
        <v>168711</v>
      </c>
      <c r="I297" s="1927"/>
    </row>
    <row r="298" spans="1:9" x14ac:dyDescent="0.25">
      <c r="A298" s="1941" t="s">
        <v>3351</v>
      </c>
      <c r="B298" s="1901" t="s">
        <v>2218</v>
      </c>
      <c r="C298" s="1905"/>
      <c r="D298" s="1905"/>
      <c r="E298" s="1925">
        <v>136108.57</v>
      </c>
      <c r="F298" s="1920"/>
      <c r="G298" s="1925">
        <v>136108</v>
      </c>
      <c r="I298" s="1927"/>
    </row>
    <row r="299" spans="1:9" x14ac:dyDescent="0.25">
      <c r="A299" s="1941" t="s">
        <v>3351</v>
      </c>
      <c r="B299" s="1901" t="s">
        <v>2219</v>
      </c>
      <c r="C299" s="1905"/>
      <c r="D299" s="1905"/>
      <c r="E299" s="1925">
        <v>148403.79</v>
      </c>
      <c r="F299" s="1920"/>
      <c r="G299" s="1925">
        <v>148403</v>
      </c>
      <c r="I299" s="1927"/>
    </row>
    <row r="300" spans="1:9" x14ac:dyDescent="0.25">
      <c r="A300" s="1941" t="s">
        <v>3351</v>
      </c>
      <c r="B300" s="1901" t="s">
        <v>2220</v>
      </c>
      <c r="C300" s="1906"/>
      <c r="D300" s="1905"/>
      <c r="E300" s="1925">
        <v>123659.58</v>
      </c>
      <c r="F300" s="1920"/>
      <c r="G300" s="1925">
        <v>123659</v>
      </c>
      <c r="I300" s="1927"/>
    </row>
    <row r="301" spans="1:9" x14ac:dyDescent="0.25">
      <c r="A301" s="1941" t="s">
        <v>3351</v>
      </c>
      <c r="B301" s="1901" t="s">
        <v>2221</v>
      </c>
      <c r="C301" s="1906"/>
      <c r="D301" s="1905"/>
      <c r="E301" s="1925">
        <v>230661.36</v>
      </c>
      <c r="F301" s="1920"/>
      <c r="G301" s="1925">
        <v>230661</v>
      </c>
      <c r="I301" s="1927"/>
    </row>
    <row r="302" spans="1:9" x14ac:dyDescent="0.25">
      <c r="A302" s="1941" t="s">
        <v>3351</v>
      </c>
      <c r="B302" s="1901" t="s">
        <v>2222</v>
      </c>
      <c r="C302" s="1905"/>
      <c r="D302" s="1905"/>
      <c r="E302" s="1925">
        <v>94007.18</v>
      </c>
      <c r="F302" s="1920"/>
      <c r="G302" s="1925">
        <v>119330</v>
      </c>
      <c r="I302" s="1927"/>
    </row>
    <row r="303" spans="1:9" x14ac:dyDescent="0.25">
      <c r="A303" s="1941" t="s">
        <v>3351</v>
      </c>
      <c r="B303" s="1901" t="s">
        <v>2223</v>
      </c>
      <c r="C303" s="1906"/>
      <c r="D303" s="1905"/>
      <c r="E303" s="1925">
        <v>0</v>
      </c>
      <c r="F303" s="1920"/>
      <c r="G303" s="1925">
        <v>0</v>
      </c>
      <c r="I303" s="1927"/>
    </row>
    <row r="304" spans="1:9" x14ac:dyDescent="0.25">
      <c r="A304" s="1941" t="s">
        <v>3351</v>
      </c>
      <c r="B304" s="1901" t="s">
        <v>2224</v>
      </c>
      <c r="C304" s="1906"/>
      <c r="D304" s="1905"/>
      <c r="E304" s="1925">
        <v>0</v>
      </c>
      <c r="F304" s="1920"/>
      <c r="G304" s="1925">
        <v>0</v>
      </c>
      <c r="I304" s="1927"/>
    </row>
    <row r="305" spans="1:9" x14ac:dyDescent="0.25">
      <c r="A305" s="1941" t="s">
        <v>3352</v>
      </c>
      <c r="B305" s="1901" t="s">
        <v>2225</v>
      </c>
      <c r="C305" s="1905"/>
      <c r="D305" s="1905"/>
      <c r="E305" s="1925">
        <v>1486.44</v>
      </c>
      <c r="F305" s="1920"/>
      <c r="G305" s="1925">
        <v>1486</v>
      </c>
      <c r="I305" s="1927"/>
    </row>
    <row r="306" spans="1:9" x14ac:dyDescent="0.25">
      <c r="A306" s="1941" t="s">
        <v>3352</v>
      </c>
      <c r="B306" s="1901" t="s">
        <v>2226</v>
      </c>
      <c r="C306" s="1905"/>
      <c r="D306" s="1905"/>
      <c r="E306" s="1925">
        <v>1447.97</v>
      </c>
      <c r="F306" s="1920"/>
      <c r="G306" s="1925">
        <v>1447</v>
      </c>
      <c r="I306" s="1927"/>
    </row>
    <row r="307" spans="1:9" x14ac:dyDescent="0.25">
      <c r="A307" s="1941" t="s">
        <v>3352</v>
      </c>
      <c r="B307" s="1901" t="s">
        <v>2227</v>
      </c>
      <c r="C307" s="1905"/>
      <c r="D307" s="1905"/>
      <c r="E307" s="1925">
        <v>1532.87</v>
      </c>
      <c r="F307" s="1920"/>
      <c r="G307" s="1925">
        <v>1533</v>
      </c>
      <c r="I307" s="1927"/>
    </row>
    <row r="308" spans="1:9" x14ac:dyDescent="0.25">
      <c r="A308" s="1941" t="s">
        <v>3352</v>
      </c>
      <c r="B308" s="1901" t="s">
        <v>2228</v>
      </c>
      <c r="C308" s="1905"/>
      <c r="D308" s="1905"/>
      <c r="E308" s="1925">
        <v>1181.67</v>
      </c>
      <c r="F308" s="1920"/>
      <c r="G308" s="1925">
        <v>1181</v>
      </c>
      <c r="I308" s="1927"/>
    </row>
    <row r="309" spans="1:9" x14ac:dyDescent="0.25">
      <c r="A309" s="1941" t="s">
        <v>3352</v>
      </c>
      <c r="B309" s="1901" t="s">
        <v>2229</v>
      </c>
      <c r="C309" s="1906"/>
      <c r="D309" s="1905"/>
      <c r="E309" s="1925">
        <v>2154.8000000000002</v>
      </c>
      <c r="F309" s="1920"/>
      <c r="G309" s="1925">
        <v>2155</v>
      </c>
      <c r="I309" s="1927"/>
    </row>
    <row r="310" spans="1:9" x14ac:dyDescent="0.25">
      <c r="A310" s="1941" t="s">
        <v>3352</v>
      </c>
      <c r="B310" s="1901" t="s">
        <v>2230</v>
      </c>
      <c r="C310" s="1906"/>
      <c r="D310" s="1905"/>
      <c r="E310" s="1925">
        <v>0</v>
      </c>
      <c r="F310" s="1920"/>
      <c r="G310" s="1925">
        <v>0</v>
      </c>
      <c r="I310" s="1927"/>
    </row>
    <row r="311" spans="1:9" x14ac:dyDescent="0.25">
      <c r="A311" s="1941">
        <v>200</v>
      </c>
      <c r="B311" s="1901" t="s">
        <v>49</v>
      </c>
      <c r="C311" s="1905"/>
      <c r="D311" s="1905"/>
      <c r="E311" s="1925">
        <v>1516960.05</v>
      </c>
      <c r="F311" s="1920"/>
      <c r="G311" s="1925">
        <v>1542246.43</v>
      </c>
      <c r="I311" s="1927"/>
    </row>
    <row r="312" spans="1:9" x14ac:dyDescent="0.25">
      <c r="A312" s="1941" t="s">
        <v>3353</v>
      </c>
      <c r="B312" s="1901" t="s">
        <v>2231</v>
      </c>
      <c r="C312" s="1906"/>
      <c r="D312" s="1905"/>
      <c r="E312" s="1925">
        <v>0</v>
      </c>
      <c r="F312" s="1920"/>
      <c r="G312" s="1925">
        <v>500</v>
      </c>
      <c r="I312" s="1927"/>
    </row>
    <row r="313" spans="1:9" x14ac:dyDescent="0.25">
      <c r="A313" s="1941">
        <v>300</v>
      </c>
      <c r="B313" s="1901" t="s">
        <v>1100</v>
      </c>
      <c r="C313" s="1905"/>
      <c r="D313" s="1905"/>
      <c r="E313" s="1925">
        <v>0</v>
      </c>
      <c r="F313" s="1920"/>
      <c r="G313" s="1925">
        <v>500</v>
      </c>
      <c r="I313" s="1927"/>
    </row>
    <row r="314" spans="1:9" x14ac:dyDescent="0.25">
      <c r="A314" s="1941" t="s">
        <v>3354</v>
      </c>
      <c r="B314" s="1901" t="s">
        <v>2232</v>
      </c>
      <c r="C314" s="1905"/>
      <c r="D314" s="1905"/>
      <c r="E314" s="1925">
        <v>5830.64</v>
      </c>
      <c r="F314" s="1920"/>
      <c r="G314" s="1925">
        <v>7400</v>
      </c>
      <c r="I314" s="1927"/>
    </row>
    <row r="315" spans="1:9" x14ac:dyDescent="0.25">
      <c r="A315" s="1941" t="s">
        <v>3354</v>
      </c>
      <c r="B315" s="1901" t="s">
        <v>2233</v>
      </c>
      <c r="C315" s="1905"/>
      <c r="D315" s="1905"/>
      <c r="E315" s="1925">
        <v>134.35</v>
      </c>
      <c r="F315" s="1920"/>
      <c r="G315" s="1925">
        <v>500</v>
      </c>
      <c r="I315" s="1927"/>
    </row>
    <row r="316" spans="1:9" x14ac:dyDescent="0.25">
      <c r="A316" s="1941" t="s">
        <v>3354</v>
      </c>
      <c r="B316" s="1901" t="s">
        <v>2234</v>
      </c>
      <c r="C316" s="1905"/>
      <c r="D316" s="1905"/>
      <c r="E316" s="1925">
        <v>3355.73</v>
      </c>
      <c r="F316" s="1920"/>
      <c r="G316" s="1925">
        <v>7400</v>
      </c>
      <c r="I316" s="1927"/>
    </row>
    <row r="317" spans="1:9" x14ac:dyDescent="0.25">
      <c r="A317" s="1941" t="s">
        <v>3354</v>
      </c>
      <c r="B317" s="1901" t="s">
        <v>2235</v>
      </c>
      <c r="C317" s="1906"/>
      <c r="D317" s="1905"/>
      <c r="E317" s="1925">
        <v>8442.26</v>
      </c>
      <c r="F317" s="1920"/>
      <c r="G317" s="1925">
        <v>8900</v>
      </c>
      <c r="I317" s="1927"/>
    </row>
    <row r="318" spans="1:9" x14ac:dyDescent="0.25">
      <c r="A318" s="1941" t="s">
        <v>3354</v>
      </c>
      <c r="B318" s="1901" t="s">
        <v>2236</v>
      </c>
      <c r="C318" s="1906"/>
      <c r="D318" s="1905"/>
      <c r="E318" s="1925">
        <v>5928.58</v>
      </c>
      <c r="F318" s="1920"/>
      <c r="G318" s="1925">
        <v>8100</v>
      </c>
      <c r="I318" s="1927"/>
    </row>
    <row r="319" spans="1:9" x14ac:dyDescent="0.25">
      <c r="A319" s="1941" t="s">
        <v>3354</v>
      </c>
      <c r="B319" s="1901" t="s">
        <v>2237</v>
      </c>
      <c r="C319" s="1905"/>
      <c r="D319" s="1905"/>
      <c r="E319" s="1925">
        <v>3834.48</v>
      </c>
      <c r="F319" s="1920"/>
      <c r="G319" s="1925">
        <v>9000</v>
      </c>
      <c r="I319" s="1927"/>
    </row>
    <row r="320" spans="1:9" x14ac:dyDescent="0.25">
      <c r="A320" s="1941" t="s">
        <v>3354</v>
      </c>
      <c r="B320" s="1901" t="s">
        <v>2238</v>
      </c>
      <c r="C320" s="1905"/>
      <c r="D320" s="1905"/>
      <c r="E320" s="1925">
        <v>4850.03</v>
      </c>
      <c r="F320" s="1920"/>
      <c r="G320" s="1925">
        <v>8000</v>
      </c>
      <c r="I320" s="1927"/>
    </row>
    <row r="321" spans="1:9" x14ac:dyDescent="0.25">
      <c r="A321" s="1941" t="s">
        <v>3355</v>
      </c>
      <c r="B321" s="1901" t="s">
        <v>2239</v>
      </c>
      <c r="C321" s="1905"/>
      <c r="D321" s="1905"/>
      <c r="E321" s="1925">
        <v>0</v>
      </c>
      <c r="F321" s="1920"/>
      <c r="G321" s="1925">
        <v>0</v>
      </c>
      <c r="I321" s="1927"/>
    </row>
    <row r="322" spans="1:9" x14ac:dyDescent="0.25">
      <c r="A322" s="1941" t="s">
        <v>3355</v>
      </c>
      <c r="B322" s="1901" t="s">
        <v>2240</v>
      </c>
      <c r="C322" s="1905"/>
      <c r="D322" s="1905"/>
      <c r="E322" s="1925">
        <v>0</v>
      </c>
      <c r="F322" s="1920"/>
      <c r="G322" s="1925">
        <v>0</v>
      </c>
      <c r="I322" s="1927"/>
    </row>
    <row r="323" spans="1:9" x14ac:dyDescent="0.25">
      <c r="A323" s="1941" t="s">
        <v>3355</v>
      </c>
      <c r="B323" s="1901" t="s">
        <v>2241</v>
      </c>
      <c r="C323" s="1905"/>
      <c r="D323" s="1905"/>
      <c r="E323" s="1925">
        <v>0</v>
      </c>
      <c r="F323" s="1920"/>
      <c r="G323" s="1925">
        <v>0</v>
      </c>
      <c r="I323" s="1927"/>
    </row>
    <row r="324" spans="1:9" x14ac:dyDescent="0.25">
      <c r="A324" s="1941" t="s">
        <v>3355</v>
      </c>
      <c r="B324" s="1901" t="s">
        <v>2242</v>
      </c>
      <c r="C324" s="1905"/>
      <c r="D324" s="1905"/>
      <c r="E324" s="1925">
        <v>0</v>
      </c>
      <c r="F324" s="1920"/>
      <c r="G324" s="1925">
        <v>0</v>
      </c>
      <c r="I324" s="1927"/>
    </row>
    <row r="325" spans="1:9" x14ac:dyDescent="0.25">
      <c r="A325" s="1941" t="s">
        <v>3355</v>
      </c>
      <c r="B325" s="1901" t="s">
        <v>2243</v>
      </c>
      <c r="C325" s="1905"/>
      <c r="D325" s="1905"/>
      <c r="E325" s="1925">
        <v>28.47</v>
      </c>
      <c r="F325" s="1920"/>
      <c r="G325" s="1925">
        <v>0</v>
      </c>
      <c r="I325" s="1927"/>
    </row>
    <row r="326" spans="1:9" x14ac:dyDescent="0.25">
      <c r="A326" s="1941" t="s">
        <v>3355</v>
      </c>
      <c r="B326" s="1901" t="s">
        <v>2244</v>
      </c>
      <c r="C326" s="1905"/>
      <c r="D326" s="1905"/>
      <c r="E326" s="1925">
        <v>0</v>
      </c>
      <c r="F326" s="1920"/>
      <c r="G326" s="1925">
        <v>0</v>
      </c>
      <c r="I326" s="1927"/>
    </row>
    <row r="327" spans="1:9" x14ac:dyDescent="0.25">
      <c r="A327" s="1941" t="s">
        <v>3356</v>
      </c>
      <c r="B327" s="1901" t="s">
        <v>2245</v>
      </c>
      <c r="C327" s="1906"/>
      <c r="D327" s="1905"/>
      <c r="E327" s="1925">
        <v>5467.1</v>
      </c>
      <c r="F327" s="1920"/>
      <c r="G327" s="1925">
        <v>6000</v>
      </c>
      <c r="I327" s="1927"/>
    </row>
    <row r="328" spans="1:9" x14ac:dyDescent="0.25">
      <c r="A328" s="1941" t="s">
        <v>3357</v>
      </c>
      <c r="B328" s="1901" t="s">
        <v>2246</v>
      </c>
      <c r="C328" s="1905"/>
      <c r="D328" s="1905"/>
      <c r="E328" s="1925">
        <v>205.55</v>
      </c>
      <c r="F328" s="1920"/>
      <c r="G328" s="1925">
        <v>300</v>
      </c>
      <c r="I328" s="1927"/>
    </row>
    <row r="329" spans="1:9" x14ac:dyDescent="0.25">
      <c r="A329" s="1941" t="s">
        <v>3358</v>
      </c>
      <c r="B329" s="1901" t="s">
        <v>2247</v>
      </c>
      <c r="C329" s="1905"/>
      <c r="D329" s="1905"/>
      <c r="E329" s="1925">
        <v>-70.739999999999995</v>
      </c>
      <c r="F329" s="1920"/>
      <c r="G329" s="1925">
        <v>0</v>
      </c>
      <c r="I329" s="1927"/>
    </row>
    <row r="330" spans="1:9" x14ac:dyDescent="0.25">
      <c r="A330" s="1941" t="s">
        <v>3358</v>
      </c>
      <c r="B330" s="1901" t="s">
        <v>2248</v>
      </c>
      <c r="C330" s="1905"/>
      <c r="D330" s="1905"/>
      <c r="E330" s="1925">
        <v>0</v>
      </c>
      <c r="F330" s="1920"/>
      <c r="G330" s="1925">
        <v>1581.09</v>
      </c>
      <c r="I330" s="1927"/>
    </row>
    <row r="331" spans="1:9" x14ac:dyDescent="0.25">
      <c r="A331" s="1941" t="s">
        <v>3358</v>
      </c>
      <c r="B331" s="1901" t="s">
        <v>2249</v>
      </c>
      <c r="C331" s="1906"/>
      <c r="D331" s="1905"/>
      <c r="E331" s="1925">
        <v>0</v>
      </c>
      <c r="F331" s="1920"/>
      <c r="G331" s="1925">
        <v>525.42999999999995</v>
      </c>
      <c r="I331" s="1927"/>
    </row>
    <row r="332" spans="1:9" x14ac:dyDescent="0.25">
      <c r="A332" s="1941" t="s">
        <v>3358</v>
      </c>
      <c r="B332" s="1901" t="s">
        <v>2250</v>
      </c>
      <c r="C332" s="1906"/>
      <c r="D332" s="1905"/>
      <c r="E332" s="1925">
        <v>249</v>
      </c>
      <c r="F332" s="1920"/>
      <c r="G332" s="1925">
        <v>429</v>
      </c>
      <c r="I332" s="1927"/>
    </row>
    <row r="333" spans="1:9" x14ac:dyDescent="0.25">
      <c r="A333" s="1941" t="s">
        <v>3358</v>
      </c>
      <c r="B333" s="1901" t="s">
        <v>2251</v>
      </c>
      <c r="C333" s="1905"/>
      <c r="D333" s="1905"/>
      <c r="E333" s="1925">
        <v>-1</v>
      </c>
      <c r="F333" s="1920"/>
      <c r="G333" s="1925">
        <v>0</v>
      </c>
      <c r="I333" s="1927"/>
    </row>
    <row r="334" spans="1:9" x14ac:dyDescent="0.25">
      <c r="A334" s="1941" t="s">
        <v>3359</v>
      </c>
      <c r="B334" s="1901" t="s">
        <v>2252</v>
      </c>
      <c r="C334" s="1906"/>
      <c r="D334" s="1905"/>
      <c r="E334" s="1925">
        <v>2876.66</v>
      </c>
      <c r="F334" s="1920"/>
      <c r="G334" s="1925">
        <v>6315</v>
      </c>
      <c r="I334" s="1927"/>
    </row>
    <row r="335" spans="1:9" x14ac:dyDescent="0.25">
      <c r="A335" s="1941" t="s">
        <v>3360</v>
      </c>
      <c r="B335" s="1901" t="s">
        <v>2253</v>
      </c>
      <c r="C335" s="1906"/>
      <c r="D335" s="1906"/>
      <c r="E335" s="1925">
        <v>0</v>
      </c>
      <c r="F335" s="1920"/>
      <c r="G335" s="1925">
        <v>1000</v>
      </c>
      <c r="I335" s="1927"/>
    </row>
    <row r="336" spans="1:9" x14ac:dyDescent="0.25">
      <c r="A336" s="1941" t="s">
        <v>3361</v>
      </c>
      <c r="B336" s="1901" t="s">
        <v>2254</v>
      </c>
      <c r="C336" s="1905"/>
      <c r="D336" s="1905"/>
      <c r="E336" s="1925">
        <v>39127.160000000003</v>
      </c>
      <c r="F336" s="1920"/>
      <c r="G336" s="1925">
        <v>41473</v>
      </c>
      <c r="I336" s="1927"/>
    </row>
    <row r="337" spans="1:9" x14ac:dyDescent="0.25">
      <c r="A337" s="1941">
        <v>400</v>
      </c>
      <c r="B337" s="1901" t="s">
        <v>2256</v>
      </c>
      <c r="C337" s="1906"/>
      <c r="D337" s="1905"/>
      <c r="E337" s="1925">
        <v>80258.27</v>
      </c>
      <c r="F337" s="1920"/>
      <c r="G337" s="1925">
        <v>106923.52</v>
      </c>
      <c r="I337" s="1927"/>
    </row>
    <row r="338" spans="1:9" x14ac:dyDescent="0.25">
      <c r="A338" s="1941" t="s">
        <v>3362</v>
      </c>
      <c r="B338" s="1901" t="s">
        <v>2257</v>
      </c>
      <c r="C338" s="1905"/>
      <c r="D338" s="1905"/>
      <c r="E338" s="1925">
        <v>7166.34</v>
      </c>
      <c r="F338" s="1920"/>
      <c r="G338" s="1925">
        <v>15000</v>
      </c>
      <c r="I338" s="1927"/>
    </row>
    <row r="339" spans="1:9" x14ac:dyDescent="0.25">
      <c r="A339" s="1941" t="s">
        <v>3362</v>
      </c>
      <c r="B339" s="1901" t="s">
        <v>2258</v>
      </c>
      <c r="C339" s="1906"/>
      <c r="D339" s="1905"/>
      <c r="E339" s="1925">
        <v>3624</v>
      </c>
      <c r="F339" s="1920"/>
      <c r="G339" s="1925">
        <v>4000</v>
      </c>
      <c r="I339" s="1927"/>
    </row>
    <row r="340" spans="1:9" x14ac:dyDescent="0.25">
      <c r="A340" s="1941">
        <v>500</v>
      </c>
      <c r="B340" s="1901" t="s">
        <v>1095</v>
      </c>
      <c r="C340" s="1905"/>
      <c r="D340" s="1905"/>
      <c r="E340" s="1925">
        <v>10790.34</v>
      </c>
      <c r="F340" s="1920"/>
      <c r="G340" s="1925">
        <v>19000</v>
      </c>
      <c r="I340" s="1927"/>
    </row>
    <row r="341" spans="1:9" x14ac:dyDescent="0.25">
      <c r="A341" s="1941">
        <v>1100</v>
      </c>
      <c r="B341" s="1901" t="s">
        <v>961</v>
      </c>
      <c r="C341" s="1905"/>
      <c r="D341" s="1905"/>
      <c r="E341" s="1925">
        <v>7074271.3300000001</v>
      </c>
      <c r="F341" s="1920"/>
      <c r="G341" s="1925">
        <v>7149728.9500000002</v>
      </c>
      <c r="I341" s="1927"/>
    </row>
    <row r="342" spans="1:9" x14ac:dyDescent="0.25">
      <c r="A342" s="1941" t="s">
        <v>3363</v>
      </c>
      <c r="B342" s="1901" t="s">
        <v>2260</v>
      </c>
      <c r="C342" s="1905"/>
      <c r="D342" s="1905"/>
      <c r="E342" s="1925">
        <v>41414.5</v>
      </c>
      <c r="F342" s="1920"/>
      <c r="G342" s="1925">
        <v>41415</v>
      </c>
      <c r="I342" s="1927"/>
    </row>
    <row r="343" spans="1:9" x14ac:dyDescent="0.25">
      <c r="A343" s="1941" t="s">
        <v>3363</v>
      </c>
      <c r="B343" s="1901" t="s">
        <v>2260</v>
      </c>
      <c r="C343" s="1906"/>
      <c r="D343" s="1906"/>
      <c r="E343" s="1925">
        <v>0</v>
      </c>
      <c r="F343" s="1920"/>
      <c r="G343" s="1925">
        <v>0</v>
      </c>
      <c r="I343" s="1927"/>
    </row>
    <row r="344" spans="1:9" x14ac:dyDescent="0.25">
      <c r="A344" s="1941" t="s">
        <v>3364</v>
      </c>
      <c r="B344" s="1901" t="s">
        <v>2261</v>
      </c>
      <c r="C344" s="1906"/>
      <c r="D344" s="1905"/>
      <c r="E344" s="1925">
        <v>15240.96</v>
      </c>
      <c r="F344" s="1920"/>
      <c r="G344" s="1925">
        <v>15118</v>
      </c>
      <c r="I344" s="1927"/>
    </row>
    <row r="345" spans="1:9" x14ac:dyDescent="0.25">
      <c r="A345" s="1941" t="s">
        <v>3364</v>
      </c>
      <c r="B345" s="1901" t="s">
        <v>2261</v>
      </c>
      <c r="C345" s="1906"/>
      <c r="D345" s="1905"/>
      <c r="E345" s="1925">
        <v>0</v>
      </c>
      <c r="F345" s="1920"/>
      <c r="G345" s="1925">
        <v>0</v>
      </c>
      <c r="I345" s="1927"/>
    </row>
    <row r="346" spans="1:9" x14ac:dyDescent="0.25">
      <c r="A346" s="1941">
        <v>100</v>
      </c>
      <c r="B346" s="1901" t="s">
        <v>194</v>
      </c>
      <c r="C346" s="1906"/>
      <c r="D346" s="1905"/>
      <c r="E346" s="1925">
        <v>56655.46</v>
      </c>
      <c r="F346" s="1920"/>
      <c r="G346" s="1925">
        <v>56533</v>
      </c>
      <c r="I346" s="1927"/>
    </row>
    <row r="347" spans="1:9" x14ac:dyDescent="0.25">
      <c r="A347" s="1941" t="s">
        <v>3365</v>
      </c>
      <c r="B347" s="1901" t="s">
        <v>2262</v>
      </c>
      <c r="C347" s="1905"/>
      <c r="D347" s="1905"/>
      <c r="E347" s="1925">
        <v>4806.8</v>
      </c>
      <c r="F347" s="1920"/>
      <c r="G347" s="1925">
        <v>4807</v>
      </c>
      <c r="I347" s="1927"/>
    </row>
    <row r="348" spans="1:9" x14ac:dyDescent="0.25">
      <c r="A348" s="1941" t="s">
        <v>3366</v>
      </c>
      <c r="B348" s="1901" t="s">
        <v>2263</v>
      </c>
      <c r="C348" s="1906"/>
      <c r="D348" s="1905"/>
      <c r="E348" s="1925">
        <v>9428.94</v>
      </c>
      <c r="F348" s="1920"/>
      <c r="G348" s="1925">
        <v>16310</v>
      </c>
      <c r="I348" s="1927"/>
    </row>
    <row r="349" spans="1:9" x14ac:dyDescent="0.25">
      <c r="A349" s="1941" t="s">
        <v>3366</v>
      </c>
      <c r="B349" s="1901" t="s">
        <v>2263</v>
      </c>
      <c r="C349" s="1906"/>
      <c r="D349" s="1906"/>
      <c r="E349" s="1925">
        <v>0</v>
      </c>
      <c r="F349" s="1920"/>
      <c r="G349" s="1925">
        <v>0</v>
      </c>
      <c r="I349" s="1927"/>
    </row>
    <row r="350" spans="1:9" x14ac:dyDescent="0.25">
      <c r="A350" s="1941" t="s">
        <v>3367</v>
      </c>
      <c r="B350" s="1901" t="s">
        <v>2264</v>
      </c>
      <c r="C350" s="1906"/>
      <c r="D350" s="1905"/>
      <c r="E350" s="1925">
        <v>116.96</v>
      </c>
      <c r="F350" s="1920"/>
      <c r="G350" s="1925">
        <v>118</v>
      </c>
      <c r="I350" s="1927"/>
    </row>
    <row r="351" spans="1:9" x14ac:dyDescent="0.25">
      <c r="A351" s="1941" t="s">
        <v>3367</v>
      </c>
      <c r="B351" s="1901" t="s">
        <v>2265</v>
      </c>
      <c r="C351" s="1905"/>
      <c r="D351" s="1905"/>
      <c r="E351" s="1925">
        <v>0</v>
      </c>
      <c r="F351" s="1920"/>
      <c r="G351" s="1925">
        <v>0</v>
      </c>
      <c r="I351" s="1927"/>
    </row>
    <row r="352" spans="1:9" x14ac:dyDescent="0.25">
      <c r="A352" s="1941" t="s">
        <v>3367</v>
      </c>
      <c r="B352" s="1901" t="s">
        <v>2265</v>
      </c>
      <c r="C352" s="1905"/>
      <c r="D352" s="1905"/>
      <c r="E352" s="1925">
        <v>0</v>
      </c>
      <c r="F352" s="1920"/>
      <c r="G352" s="1925">
        <v>0</v>
      </c>
      <c r="I352" s="1927"/>
    </row>
    <row r="353" spans="1:9" x14ac:dyDescent="0.25">
      <c r="A353" s="1941" t="s">
        <v>3367</v>
      </c>
      <c r="B353" s="1901" t="s">
        <v>2264</v>
      </c>
      <c r="C353" s="1906"/>
      <c r="D353" s="1905"/>
      <c r="E353" s="1925">
        <v>0</v>
      </c>
      <c r="F353" s="1920"/>
      <c r="G353" s="1925">
        <v>0</v>
      </c>
      <c r="I353" s="1927"/>
    </row>
    <row r="354" spans="1:9" x14ac:dyDescent="0.25">
      <c r="A354" s="1941">
        <v>200</v>
      </c>
      <c r="B354" s="1901" t="s">
        <v>49</v>
      </c>
      <c r="C354" s="1906"/>
      <c r="D354" s="1905"/>
      <c r="E354" s="1925">
        <v>14352.7</v>
      </c>
      <c r="F354" s="1920"/>
      <c r="G354" s="1925">
        <v>21235</v>
      </c>
      <c r="I354" s="1927"/>
    </row>
    <row r="355" spans="1:9" x14ac:dyDescent="0.25">
      <c r="A355" s="1941">
        <v>1200</v>
      </c>
      <c r="B355" s="1901" t="s">
        <v>2266</v>
      </c>
      <c r="C355" s="1906"/>
      <c r="D355" s="1905"/>
      <c r="E355" s="1925">
        <v>71008.160000000003</v>
      </c>
      <c r="F355" s="1920"/>
      <c r="G355" s="1925">
        <v>77768</v>
      </c>
      <c r="I355" s="1927"/>
    </row>
    <row r="356" spans="1:9" x14ac:dyDescent="0.25">
      <c r="A356" s="1941" t="s">
        <v>3363</v>
      </c>
      <c r="B356" s="1901" t="s">
        <v>2267</v>
      </c>
      <c r="C356" s="1905"/>
      <c r="D356" s="1905"/>
      <c r="E356" s="1925">
        <v>281096.34999999998</v>
      </c>
      <c r="F356" s="1920"/>
      <c r="G356" s="1925">
        <v>281096</v>
      </c>
      <c r="I356" s="1927"/>
    </row>
    <row r="357" spans="1:9" x14ac:dyDescent="0.25">
      <c r="A357" s="1941" t="s">
        <v>3363</v>
      </c>
      <c r="B357" s="1901" t="s">
        <v>2267</v>
      </c>
      <c r="C357" s="1906"/>
      <c r="D357" s="1905"/>
      <c r="E357" s="1925">
        <v>178505.46</v>
      </c>
      <c r="F357" s="1920"/>
      <c r="G357" s="1925">
        <v>178505</v>
      </c>
      <c r="I357" s="1927"/>
    </row>
    <row r="358" spans="1:9" x14ac:dyDescent="0.25">
      <c r="A358" s="1941" t="s">
        <v>3363</v>
      </c>
      <c r="B358" s="1901" t="s">
        <v>2267</v>
      </c>
      <c r="C358" s="1906"/>
      <c r="D358" s="1905"/>
      <c r="E358" s="1925">
        <v>108323.19</v>
      </c>
      <c r="F358" s="1920"/>
      <c r="G358" s="1925">
        <v>108323</v>
      </c>
      <c r="I358" s="1927"/>
    </row>
    <row r="359" spans="1:9" x14ac:dyDescent="0.25">
      <c r="A359" s="1941" t="s">
        <v>3363</v>
      </c>
      <c r="B359" s="1901" t="s">
        <v>2267</v>
      </c>
      <c r="C359" s="1906"/>
      <c r="D359" s="1905"/>
      <c r="E359" s="1925">
        <v>75728</v>
      </c>
      <c r="F359" s="1920"/>
      <c r="G359" s="1925">
        <v>75728</v>
      </c>
      <c r="I359" s="1927"/>
    </row>
    <row r="360" spans="1:9" x14ac:dyDescent="0.25">
      <c r="A360" s="1941" t="s">
        <v>3363</v>
      </c>
      <c r="B360" s="1901" t="s">
        <v>2267</v>
      </c>
      <c r="C360" s="1905"/>
      <c r="D360" s="1905"/>
      <c r="E360" s="1925">
        <v>0</v>
      </c>
      <c r="F360" s="1920"/>
      <c r="G360" s="1925">
        <v>0</v>
      </c>
      <c r="I360" s="1927"/>
    </row>
    <row r="361" spans="1:9" x14ac:dyDescent="0.25">
      <c r="A361" s="1941" t="s">
        <v>3363</v>
      </c>
      <c r="B361" s="1901" t="s">
        <v>2267</v>
      </c>
      <c r="C361" s="1906"/>
      <c r="D361" s="1905"/>
      <c r="E361" s="1925">
        <v>239861.47</v>
      </c>
      <c r="F361" s="1920"/>
      <c r="G361" s="1925">
        <v>261018</v>
      </c>
      <c r="I361" s="1927"/>
    </row>
    <row r="362" spans="1:9" x14ac:dyDescent="0.25">
      <c r="A362" s="1941" t="s">
        <v>3364</v>
      </c>
      <c r="B362" s="1901" t="s">
        <v>2268</v>
      </c>
      <c r="C362" s="1906"/>
      <c r="D362" s="1905"/>
      <c r="E362" s="1925">
        <v>136394.12</v>
      </c>
      <c r="F362" s="1920"/>
      <c r="G362" s="1925">
        <v>129249</v>
      </c>
      <c r="I362" s="1927"/>
    </row>
    <row r="363" spans="1:9" x14ac:dyDescent="0.25">
      <c r="A363" s="1941" t="s">
        <v>3364</v>
      </c>
      <c r="B363" s="1901" t="s">
        <v>2268</v>
      </c>
      <c r="C363" s="1906"/>
      <c r="D363" s="1906"/>
      <c r="E363" s="1925">
        <v>101985.47</v>
      </c>
      <c r="F363" s="1920"/>
      <c r="G363" s="1925">
        <v>94840</v>
      </c>
      <c r="I363" s="1927"/>
    </row>
    <row r="364" spans="1:9" x14ac:dyDescent="0.25">
      <c r="A364" s="1941" t="s">
        <v>3364</v>
      </c>
      <c r="B364" s="1901" t="s">
        <v>2268</v>
      </c>
      <c r="C364" s="1906"/>
      <c r="D364" s="1906"/>
      <c r="E364" s="1925">
        <v>59014.63</v>
      </c>
      <c r="F364" s="1920"/>
      <c r="G364" s="1925">
        <v>51869</v>
      </c>
      <c r="I364" s="1927"/>
    </row>
    <row r="365" spans="1:9" x14ac:dyDescent="0.25">
      <c r="A365" s="1941" t="s">
        <v>3364</v>
      </c>
      <c r="B365" s="1901" t="s">
        <v>2268</v>
      </c>
      <c r="C365" s="1905"/>
      <c r="D365" s="1905"/>
      <c r="E365" s="1925">
        <v>47544.71</v>
      </c>
      <c r="F365" s="1920"/>
      <c r="G365" s="1925">
        <v>40399</v>
      </c>
      <c r="I365" s="1927"/>
    </row>
    <row r="366" spans="1:9" x14ac:dyDescent="0.25">
      <c r="A366" s="1941" t="s">
        <v>3364</v>
      </c>
      <c r="B366" s="1901" t="s">
        <v>2268</v>
      </c>
      <c r="C366" s="1905"/>
      <c r="D366" s="1905"/>
      <c r="E366" s="1925">
        <v>0</v>
      </c>
      <c r="F366" s="1920"/>
      <c r="G366" s="1925">
        <v>0</v>
      </c>
      <c r="I366" s="1927"/>
    </row>
    <row r="367" spans="1:9" x14ac:dyDescent="0.25">
      <c r="A367" s="1941" t="s">
        <v>3364</v>
      </c>
      <c r="B367" s="1901" t="s">
        <v>2268</v>
      </c>
      <c r="C367" s="1906"/>
      <c r="D367" s="1905"/>
      <c r="E367" s="1925">
        <v>161015.25</v>
      </c>
      <c r="F367" s="1920"/>
      <c r="G367" s="1925">
        <v>153868</v>
      </c>
      <c r="I367" s="1927"/>
    </row>
    <row r="368" spans="1:9" x14ac:dyDescent="0.25">
      <c r="A368" s="1941">
        <v>100</v>
      </c>
      <c r="B368" s="1901" t="s">
        <v>194</v>
      </c>
      <c r="C368" s="1905"/>
      <c r="D368" s="1905"/>
      <c r="E368" s="1925">
        <v>1389468.65</v>
      </c>
      <c r="F368" s="1920"/>
      <c r="G368" s="1925">
        <v>1374895</v>
      </c>
      <c r="I368" s="1927"/>
    </row>
    <row r="369" spans="1:9" x14ac:dyDescent="0.25">
      <c r="A369" s="1941" t="s">
        <v>3365</v>
      </c>
      <c r="B369" s="1901" t="s">
        <v>2269</v>
      </c>
      <c r="C369" s="1905"/>
      <c r="D369" s="1905"/>
      <c r="E369" s="1925">
        <v>32794.080000000002</v>
      </c>
      <c r="F369" s="1920"/>
      <c r="G369" s="1925">
        <v>0</v>
      </c>
      <c r="I369" s="1927"/>
    </row>
    <row r="370" spans="1:9" x14ac:dyDescent="0.25">
      <c r="A370" s="1941" t="s">
        <v>3365</v>
      </c>
      <c r="B370" s="1901" t="s">
        <v>2269</v>
      </c>
      <c r="C370" s="1905"/>
      <c r="D370" s="1905"/>
      <c r="E370" s="1925">
        <v>20724.939999999999</v>
      </c>
      <c r="F370" s="1920"/>
      <c r="G370" s="1925">
        <v>0</v>
      </c>
      <c r="I370" s="1927"/>
    </row>
    <row r="371" spans="1:9" x14ac:dyDescent="0.25">
      <c r="A371" s="1941" t="s">
        <v>3365</v>
      </c>
      <c r="B371" s="1901" t="s">
        <v>2269</v>
      </c>
      <c r="C371" s="1906"/>
      <c r="D371" s="1905"/>
      <c r="E371" s="1925">
        <v>12519.5</v>
      </c>
      <c r="F371" s="1920"/>
      <c r="G371" s="1925">
        <v>0</v>
      </c>
      <c r="I371" s="1927"/>
    </row>
    <row r="372" spans="1:9" x14ac:dyDescent="0.25">
      <c r="A372" s="1941" t="s">
        <v>3365</v>
      </c>
      <c r="B372" s="1901" t="s">
        <v>2269</v>
      </c>
      <c r="C372" s="1906"/>
      <c r="D372" s="1905"/>
      <c r="E372" s="1925">
        <v>8772.41</v>
      </c>
      <c r="F372" s="1920"/>
      <c r="G372" s="1925">
        <v>0</v>
      </c>
      <c r="I372" s="1927"/>
    </row>
    <row r="373" spans="1:9" x14ac:dyDescent="0.25">
      <c r="A373" s="1941" t="s">
        <v>3365</v>
      </c>
      <c r="B373" s="1901" t="s">
        <v>2269</v>
      </c>
      <c r="C373" s="1905"/>
      <c r="D373" s="1905"/>
      <c r="E373" s="1925">
        <v>0</v>
      </c>
      <c r="F373" s="1920"/>
      <c r="G373" s="1925">
        <v>104653</v>
      </c>
      <c r="I373" s="1927"/>
    </row>
    <row r="374" spans="1:9" x14ac:dyDescent="0.25">
      <c r="A374" s="1941" t="s">
        <v>3365</v>
      </c>
      <c r="B374" s="1901" t="s">
        <v>2269</v>
      </c>
      <c r="C374" s="1905"/>
      <c r="D374" s="1905"/>
      <c r="E374" s="1925">
        <v>26742.42</v>
      </c>
      <c r="F374" s="1920"/>
      <c r="G374" s="1925">
        <v>0</v>
      </c>
      <c r="I374" s="1927"/>
    </row>
    <row r="375" spans="1:9" x14ac:dyDescent="0.25">
      <c r="A375" s="1941" t="s">
        <v>3366</v>
      </c>
      <c r="B375" s="1901" t="s">
        <v>2270</v>
      </c>
      <c r="C375" s="1906"/>
      <c r="D375" s="1906"/>
      <c r="E375" s="1925">
        <v>101129.11</v>
      </c>
      <c r="F375" s="1920"/>
      <c r="G375" s="1925">
        <v>0</v>
      </c>
      <c r="I375" s="1927"/>
    </row>
    <row r="376" spans="1:9" x14ac:dyDescent="0.25">
      <c r="A376" s="1941" t="s">
        <v>3366</v>
      </c>
      <c r="B376" s="1901" t="s">
        <v>2270</v>
      </c>
      <c r="C376" s="1905"/>
      <c r="D376" s="1905"/>
      <c r="E376" s="1925">
        <v>70835</v>
      </c>
      <c r="F376" s="1920"/>
      <c r="G376" s="1925">
        <v>0</v>
      </c>
      <c r="I376" s="1927"/>
    </row>
    <row r="377" spans="1:9" x14ac:dyDescent="0.25">
      <c r="A377" s="1941" t="s">
        <v>3366</v>
      </c>
      <c r="B377" s="1901" t="s">
        <v>2270</v>
      </c>
      <c r="C377" s="1905"/>
      <c r="D377" s="1905"/>
      <c r="E377" s="1925">
        <v>27976.69</v>
      </c>
      <c r="F377" s="1920"/>
      <c r="G377" s="1925">
        <v>0</v>
      </c>
      <c r="I377" s="1927"/>
    </row>
    <row r="378" spans="1:9" x14ac:dyDescent="0.25">
      <c r="A378" s="1941" t="s">
        <v>3366</v>
      </c>
      <c r="B378" s="1901" t="s">
        <v>2270</v>
      </c>
      <c r="C378" s="1905"/>
      <c r="D378" s="1905"/>
      <c r="E378" s="1925">
        <v>31272.11</v>
      </c>
      <c r="F378" s="1920"/>
      <c r="G378" s="1925">
        <v>0</v>
      </c>
      <c r="I378" s="1927"/>
    </row>
    <row r="379" spans="1:9" x14ac:dyDescent="0.25">
      <c r="A379" s="1941" t="s">
        <v>3366</v>
      </c>
      <c r="B379" s="1901" t="s">
        <v>2270</v>
      </c>
      <c r="C379" s="1906"/>
      <c r="D379" s="1905"/>
      <c r="E379" s="1925">
        <v>0</v>
      </c>
      <c r="F379" s="1920"/>
      <c r="G379" s="1925">
        <v>324868</v>
      </c>
      <c r="I379" s="1927"/>
    </row>
    <row r="380" spans="1:9" x14ac:dyDescent="0.25">
      <c r="A380" s="1941" t="s">
        <v>3366</v>
      </c>
      <c r="B380" s="1901" t="s">
        <v>2270</v>
      </c>
      <c r="C380" s="1906"/>
      <c r="D380" s="1905"/>
      <c r="E380" s="1925">
        <v>106812.31</v>
      </c>
      <c r="F380" s="1920"/>
      <c r="G380" s="1925">
        <v>0</v>
      </c>
      <c r="I380" s="1927"/>
    </row>
    <row r="381" spans="1:9" x14ac:dyDescent="0.25">
      <c r="A381" s="1941" t="s">
        <v>3367</v>
      </c>
      <c r="B381" s="1901" t="s">
        <v>2271</v>
      </c>
      <c r="C381" s="1906"/>
      <c r="D381" s="1905"/>
      <c r="E381" s="1925">
        <v>0</v>
      </c>
      <c r="F381" s="1920"/>
      <c r="G381" s="1925">
        <v>0</v>
      </c>
      <c r="I381" s="1927"/>
    </row>
    <row r="382" spans="1:9" x14ac:dyDescent="0.25">
      <c r="A382" s="1941" t="s">
        <v>3367</v>
      </c>
      <c r="B382" s="1901" t="s">
        <v>2271</v>
      </c>
      <c r="C382" s="1906"/>
      <c r="D382" s="1905"/>
      <c r="E382" s="1925">
        <v>0</v>
      </c>
      <c r="F382" s="1920"/>
      <c r="G382" s="1925">
        <v>0</v>
      </c>
      <c r="I382" s="1927"/>
    </row>
    <row r="383" spans="1:9" x14ac:dyDescent="0.25">
      <c r="A383" s="1941" t="s">
        <v>3367</v>
      </c>
      <c r="B383" s="1901" t="s">
        <v>2271</v>
      </c>
      <c r="C383" s="1905"/>
      <c r="D383" s="1905"/>
      <c r="E383" s="1925">
        <v>0</v>
      </c>
      <c r="F383" s="1920"/>
      <c r="G383" s="1925">
        <v>0</v>
      </c>
      <c r="I383" s="1927"/>
    </row>
    <row r="384" spans="1:9" x14ac:dyDescent="0.25">
      <c r="A384" s="1941" t="s">
        <v>3367</v>
      </c>
      <c r="B384" s="1901" t="s">
        <v>2271</v>
      </c>
      <c r="C384" s="1905"/>
      <c r="D384" s="1905"/>
      <c r="E384" s="1925">
        <v>0</v>
      </c>
      <c r="F384" s="1920"/>
      <c r="G384" s="1925">
        <v>0</v>
      </c>
      <c r="I384" s="1927"/>
    </row>
    <row r="385" spans="1:9" x14ac:dyDescent="0.25">
      <c r="A385" s="1941" t="s">
        <v>3367</v>
      </c>
      <c r="B385" s="1901" t="s">
        <v>2271</v>
      </c>
      <c r="C385" s="1906"/>
      <c r="D385" s="1906"/>
      <c r="E385" s="1925">
        <v>0</v>
      </c>
      <c r="F385" s="1920"/>
      <c r="G385" s="1925">
        <v>2485</v>
      </c>
      <c r="I385" s="1927"/>
    </row>
    <row r="386" spans="1:9" x14ac:dyDescent="0.25">
      <c r="A386" s="1941" t="s">
        <v>3367</v>
      </c>
      <c r="B386" s="1901" t="s">
        <v>2271</v>
      </c>
      <c r="C386" s="1905"/>
      <c r="D386" s="1905"/>
      <c r="E386" s="1925">
        <v>0</v>
      </c>
      <c r="F386" s="1920"/>
      <c r="G386" s="1925">
        <v>0</v>
      </c>
      <c r="I386" s="1927"/>
    </row>
    <row r="387" spans="1:9" x14ac:dyDescent="0.25">
      <c r="A387" s="1941" t="s">
        <v>3367</v>
      </c>
      <c r="B387" s="1901" t="s">
        <v>2272</v>
      </c>
      <c r="C387" s="1905"/>
      <c r="D387" s="1905"/>
      <c r="E387" s="1925">
        <v>776.57</v>
      </c>
      <c r="F387" s="1920"/>
      <c r="G387" s="1925">
        <v>0</v>
      </c>
      <c r="I387" s="1927"/>
    </row>
    <row r="388" spans="1:9" x14ac:dyDescent="0.25">
      <c r="A388" s="1941" t="s">
        <v>3367</v>
      </c>
      <c r="B388" s="1901" t="s">
        <v>2272</v>
      </c>
      <c r="C388" s="1905"/>
      <c r="D388" s="1905"/>
      <c r="E388" s="1925">
        <v>528.20000000000005</v>
      </c>
      <c r="F388" s="1920"/>
      <c r="G388" s="1925">
        <v>0</v>
      </c>
      <c r="I388" s="1927"/>
    </row>
    <row r="389" spans="1:9" x14ac:dyDescent="0.25">
      <c r="A389" s="1941" t="s">
        <v>3367</v>
      </c>
      <c r="B389" s="1901" t="s">
        <v>2272</v>
      </c>
      <c r="C389" s="1906"/>
      <c r="D389" s="1905"/>
      <c r="E389" s="1925">
        <v>260.52</v>
      </c>
      <c r="F389" s="1920"/>
      <c r="G389" s="1925">
        <v>0</v>
      </c>
      <c r="I389" s="1927"/>
    </row>
    <row r="390" spans="1:9" x14ac:dyDescent="0.25">
      <c r="A390" s="1941" t="s">
        <v>3367</v>
      </c>
      <c r="B390" s="1901" t="s">
        <v>2272</v>
      </c>
      <c r="C390" s="1906"/>
      <c r="D390" s="1905"/>
      <c r="E390" s="1925">
        <v>269.5</v>
      </c>
      <c r="F390" s="1920"/>
      <c r="G390" s="1925">
        <v>0</v>
      </c>
      <c r="I390" s="1927"/>
    </row>
    <row r="391" spans="1:9" x14ac:dyDescent="0.25">
      <c r="A391" s="1941" t="s">
        <v>3367</v>
      </c>
      <c r="B391" s="1901" t="s">
        <v>2272</v>
      </c>
      <c r="C391" s="1906"/>
      <c r="D391" s="1905"/>
      <c r="E391" s="1925">
        <v>0</v>
      </c>
      <c r="F391" s="1920"/>
      <c r="G391" s="1925">
        <v>0</v>
      </c>
      <c r="I391" s="1927"/>
    </row>
    <row r="392" spans="1:9" x14ac:dyDescent="0.25">
      <c r="A392" s="1941" t="s">
        <v>3367</v>
      </c>
      <c r="B392" s="1901" t="s">
        <v>2272</v>
      </c>
      <c r="C392" s="1905"/>
      <c r="D392" s="1905"/>
      <c r="E392" s="1925">
        <v>859.16</v>
      </c>
      <c r="F392" s="1920"/>
      <c r="G392" s="1925">
        <v>0</v>
      </c>
      <c r="I392" s="1927"/>
    </row>
    <row r="393" spans="1:9" x14ac:dyDescent="0.25">
      <c r="A393" s="1941">
        <v>200</v>
      </c>
      <c r="B393" s="1901" t="s">
        <v>49</v>
      </c>
      <c r="C393" s="1905"/>
      <c r="D393" s="1905"/>
      <c r="E393" s="1925">
        <v>442272.52</v>
      </c>
      <c r="F393" s="1920"/>
      <c r="G393" s="1925">
        <v>432006</v>
      </c>
      <c r="I393" s="1927"/>
    </row>
    <row r="394" spans="1:9" x14ac:dyDescent="0.25">
      <c r="A394" s="1941" t="s">
        <v>3368</v>
      </c>
      <c r="B394" s="1901" t="s">
        <v>2273</v>
      </c>
      <c r="C394" s="1906"/>
      <c r="D394" s="1906"/>
      <c r="E394" s="1925">
        <v>3787.08</v>
      </c>
      <c r="F394" s="1920"/>
      <c r="G394" s="1925">
        <v>4000</v>
      </c>
      <c r="I394" s="1927"/>
    </row>
    <row r="395" spans="1:9" x14ac:dyDescent="0.25">
      <c r="A395" s="1941">
        <v>400</v>
      </c>
      <c r="B395" s="1901" t="s">
        <v>2256</v>
      </c>
      <c r="C395" s="1905"/>
      <c r="D395" s="1905"/>
      <c r="E395" s="1925">
        <v>3787.08</v>
      </c>
      <c r="F395" s="1920"/>
      <c r="G395" s="1925">
        <v>4000</v>
      </c>
      <c r="I395" s="1927"/>
    </row>
    <row r="396" spans="1:9" x14ac:dyDescent="0.25">
      <c r="A396" s="1941">
        <v>1200</v>
      </c>
      <c r="B396" s="1901" t="s">
        <v>2274</v>
      </c>
      <c r="C396" s="1906"/>
      <c r="D396" s="1905"/>
      <c r="E396" s="1925">
        <v>1835528.25</v>
      </c>
      <c r="F396" s="1920"/>
      <c r="G396" s="1925">
        <v>1810901</v>
      </c>
      <c r="I396" s="1927"/>
    </row>
    <row r="397" spans="1:9" x14ac:dyDescent="0.25">
      <c r="A397" s="1941" t="s">
        <v>3369</v>
      </c>
      <c r="B397" s="1901" t="s">
        <v>2275</v>
      </c>
      <c r="C397" s="1906"/>
      <c r="D397" s="1905"/>
      <c r="E397" s="1925">
        <v>0</v>
      </c>
      <c r="F397" s="1920"/>
      <c r="G397" s="1925">
        <v>100</v>
      </c>
      <c r="I397" s="1927"/>
    </row>
    <row r="398" spans="1:9" x14ac:dyDescent="0.25">
      <c r="A398" s="1941">
        <v>600</v>
      </c>
      <c r="B398" s="1901" t="s">
        <v>1096</v>
      </c>
      <c r="C398" s="1906"/>
      <c r="D398" s="1905"/>
      <c r="E398" s="1925">
        <v>0</v>
      </c>
      <c r="F398" s="1920"/>
      <c r="G398" s="1925">
        <v>100</v>
      </c>
      <c r="I398" s="1927"/>
    </row>
    <row r="399" spans="1:9" x14ac:dyDescent="0.25">
      <c r="A399" s="1941">
        <v>1200</v>
      </c>
      <c r="B399" s="1901" t="s">
        <v>2276</v>
      </c>
      <c r="C399" s="1906"/>
      <c r="D399" s="1905"/>
      <c r="E399" s="1925">
        <v>0</v>
      </c>
      <c r="F399" s="1920"/>
      <c r="G399" s="1925">
        <v>100</v>
      </c>
      <c r="I399" s="1927"/>
    </row>
    <row r="400" spans="1:9" x14ac:dyDescent="0.25">
      <c r="A400" s="1941" t="s">
        <v>3369</v>
      </c>
      <c r="B400" s="1901" t="s">
        <v>2277</v>
      </c>
      <c r="C400" s="1905"/>
      <c r="D400" s="1905"/>
      <c r="E400" s="1925">
        <v>236128.9</v>
      </c>
      <c r="F400" s="1920"/>
      <c r="G400" s="1925">
        <v>235000</v>
      </c>
      <c r="I400" s="1927"/>
    </row>
    <row r="401" spans="1:9" x14ac:dyDescent="0.25">
      <c r="A401" s="1941">
        <v>600</v>
      </c>
      <c r="B401" s="1901" t="s">
        <v>1096</v>
      </c>
      <c r="C401" s="1906"/>
      <c r="D401" s="1905"/>
      <c r="E401" s="1925">
        <v>236128.9</v>
      </c>
      <c r="F401" s="1920"/>
      <c r="G401" s="1925">
        <v>235000</v>
      </c>
      <c r="I401" s="1927"/>
    </row>
    <row r="402" spans="1:9" x14ac:dyDescent="0.25">
      <c r="A402" s="1941">
        <v>1200</v>
      </c>
      <c r="B402" s="1901" t="s">
        <v>2278</v>
      </c>
      <c r="C402" s="1906"/>
      <c r="D402" s="1906"/>
      <c r="E402" s="1925">
        <v>236128.9</v>
      </c>
      <c r="F402" s="1920"/>
      <c r="G402" s="1925">
        <v>235000</v>
      </c>
      <c r="I402" s="1927"/>
    </row>
    <row r="403" spans="1:9" x14ac:dyDescent="0.25">
      <c r="A403" s="1941" t="s">
        <v>3363</v>
      </c>
      <c r="B403" s="1901" t="s">
        <v>2279</v>
      </c>
      <c r="C403" s="1905"/>
      <c r="D403" s="1905"/>
      <c r="E403" s="1925">
        <v>74865.11</v>
      </c>
      <c r="F403" s="1920"/>
      <c r="G403" s="1925">
        <v>0</v>
      </c>
      <c r="I403" s="1927"/>
    </row>
    <row r="404" spans="1:9" x14ac:dyDescent="0.25">
      <c r="A404" s="1941" t="s">
        <v>3363</v>
      </c>
      <c r="B404" s="1901" t="s">
        <v>2279</v>
      </c>
      <c r="C404" s="1905"/>
      <c r="D404" s="1905"/>
      <c r="E404" s="1925">
        <v>0</v>
      </c>
      <c r="F404" s="1920"/>
      <c r="G404" s="1925">
        <v>107175</v>
      </c>
      <c r="I404" s="1927"/>
    </row>
    <row r="405" spans="1:9" x14ac:dyDescent="0.25">
      <c r="A405" s="1941" t="s">
        <v>3363</v>
      </c>
      <c r="B405" s="1901" t="s">
        <v>2279</v>
      </c>
      <c r="C405" s="1905"/>
      <c r="D405" s="1905"/>
      <c r="E405" s="1925">
        <v>35420.5</v>
      </c>
      <c r="F405" s="1920"/>
      <c r="G405" s="1925">
        <v>0</v>
      </c>
      <c r="I405" s="1927"/>
    </row>
    <row r="406" spans="1:9" x14ac:dyDescent="0.25">
      <c r="A406" s="1941" t="s">
        <v>3370</v>
      </c>
      <c r="B406" s="1901" t="s">
        <v>2280</v>
      </c>
      <c r="C406" s="1905"/>
      <c r="D406" s="1905"/>
      <c r="E406" s="1925">
        <v>0</v>
      </c>
      <c r="F406" s="1920"/>
      <c r="G406" s="1925">
        <v>3000</v>
      </c>
      <c r="I406" s="1927"/>
    </row>
    <row r="407" spans="1:9" x14ac:dyDescent="0.25">
      <c r="A407" s="1941" t="s">
        <v>3370</v>
      </c>
      <c r="B407" s="1901" t="s">
        <v>2280</v>
      </c>
      <c r="C407" s="1906"/>
      <c r="D407" s="1906"/>
      <c r="E407" s="1925">
        <v>0</v>
      </c>
      <c r="F407" s="1920"/>
      <c r="G407" s="1925">
        <v>3000</v>
      </c>
      <c r="I407" s="1927"/>
    </row>
    <row r="408" spans="1:9" x14ac:dyDescent="0.25">
      <c r="A408" s="1941" t="s">
        <v>3364</v>
      </c>
      <c r="B408" s="1901" t="s">
        <v>2281</v>
      </c>
      <c r="C408" s="1905"/>
      <c r="D408" s="1905"/>
      <c r="E408" s="1925">
        <v>16404.849999999999</v>
      </c>
      <c r="F408" s="1920"/>
      <c r="G408" s="1925">
        <v>0</v>
      </c>
      <c r="I408" s="1927"/>
    </row>
    <row r="409" spans="1:9" x14ac:dyDescent="0.25">
      <c r="A409" s="1941" t="s">
        <v>3364</v>
      </c>
      <c r="B409" s="1901" t="s">
        <v>2281</v>
      </c>
      <c r="C409" s="1905"/>
      <c r="D409" s="1905"/>
      <c r="E409" s="1925">
        <v>0</v>
      </c>
      <c r="F409" s="1920"/>
      <c r="G409" s="1925">
        <v>53966</v>
      </c>
      <c r="I409" s="1927"/>
    </row>
    <row r="410" spans="1:9" x14ac:dyDescent="0.25">
      <c r="A410" s="1941" t="s">
        <v>3364</v>
      </c>
      <c r="B410" s="1901" t="s">
        <v>2281</v>
      </c>
      <c r="C410" s="1905"/>
      <c r="D410" s="1905"/>
      <c r="E410" s="1925">
        <v>37148.959999999999</v>
      </c>
      <c r="F410" s="1920"/>
      <c r="G410" s="1925">
        <v>0</v>
      </c>
      <c r="I410" s="1927"/>
    </row>
    <row r="411" spans="1:9" x14ac:dyDescent="0.25">
      <c r="A411" s="1941">
        <v>100</v>
      </c>
      <c r="B411" s="1901" t="s">
        <v>194</v>
      </c>
      <c r="C411" s="1905"/>
      <c r="D411" s="1905"/>
      <c r="E411" s="1925">
        <v>163839.42000000001</v>
      </c>
      <c r="F411" s="1920"/>
      <c r="G411" s="1925">
        <v>167141</v>
      </c>
      <c r="I411" s="1927"/>
    </row>
    <row r="412" spans="1:9" x14ac:dyDescent="0.25">
      <c r="A412" s="1941" t="s">
        <v>3365</v>
      </c>
      <c r="B412" s="1901" t="s">
        <v>2282</v>
      </c>
      <c r="C412" s="1905"/>
      <c r="D412" s="1905"/>
      <c r="E412" s="1925">
        <v>8676.32</v>
      </c>
      <c r="F412" s="1920"/>
      <c r="G412" s="1925">
        <v>0</v>
      </c>
      <c r="I412" s="1927"/>
    </row>
    <row r="413" spans="1:9" x14ac:dyDescent="0.25">
      <c r="A413" s="1941" t="s">
        <v>3365</v>
      </c>
      <c r="B413" s="1901" t="s">
        <v>2282</v>
      </c>
      <c r="C413" s="1905"/>
      <c r="D413" s="1905"/>
      <c r="E413" s="1925">
        <v>0</v>
      </c>
      <c r="F413" s="1920"/>
      <c r="G413" s="1925">
        <v>12336</v>
      </c>
      <c r="I413" s="1927"/>
    </row>
    <row r="414" spans="1:9" x14ac:dyDescent="0.25">
      <c r="A414" s="1941" t="s">
        <v>3365</v>
      </c>
      <c r="B414" s="1901" t="s">
        <v>2282</v>
      </c>
      <c r="C414" s="1906"/>
      <c r="D414" s="1905"/>
      <c r="E414" s="1925">
        <v>4073.6</v>
      </c>
      <c r="F414" s="1920"/>
      <c r="G414" s="1925">
        <v>0</v>
      </c>
      <c r="I414" s="1927"/>
    </row>
    <row r="415" spans="1:9" x14ac:dyDescent="0.25">
      <c r="A415" s="1941" t="s">
        <v>3366</v>
      </c>
      <c r="B415" s="1901" t="s">
        <v>2283</v>
      </c>
      <c r="C415" s="1906"/>
      <c r="D415" s="1905"/>
      <c r="E415" s="1925">
        <v>9514.4</v>
      </c>
      <c r="F415" s="1920"/>
      <c r="G415" s="1925">
        <v>0</v>
      </c>
      <c r="I415" s="1927"/>
    </row>
    <row r="416" spans="1:9" x14ac:dyDescent="0.25">
      <c r="A416" s="1941" t="s">
        <v>3366</v>
      </c>
      <c r="B416" s="1901" t="s">
        <v>2283</v>
      </c>
      <c r="C416" s="1906"/>
      <c r="D416" s="1905"/>
      <c r="E416" s="1925">
        <v>0</v>
      </c>
      <c r="F416" s="1920"/>
      <c r="G416" s="1925">
        <v>17699</v>
      </c>
      <c r="I416" s="1927"/>
    </row>
    <row r="417" spans="1:9" x14ac:dyDescent="0.25">
      <c r="A417" s="1941" t="s">
        <v>3366</v>
      </c>
      <c r="B417" s="1901" t="s">
        <v>2283</v>
      </c>
      <c r="C417" s="1905"/>
      <c r="D417" s="1905"/>
      <c r="E417" s="1925">
        <v>8155.2</v>
      </c>
      <c r="F417" s="1920"/>
      <c r="G417" s="1925">
        <v>0</v>
      </c>
      <c r="I417" s="1927"/>
    </row>
    <row r="418" spans="1:9" x14ac:dyDescent="0.25">
      <c r="A418" s="1941" t="s">
        <v>3367</v>
      </c>
      <c r="B418" s="1901" t="s">
        <v>2284</v>
      </c>
      <c r="C418" s="1905"/>
      <c r="D418" s="1905"/>
      <c r="E418" s="1925">
        <v>0</v>
      </c>
      <c r="F418" s="1920"/>
      <c r="G418" s="1925">
        <v>0</v>
      </c>
      <c r="I418" s="1927"/>
    </row>
    <row r="419" spans="1:9" x14ac:dyDescent="0.25">
      <c r="A419" s="1941" t="s">
        <v>3367</v>
      </c>
      <c r="B419" s="1901" t="s">
        <v>2284</v>
      </c>
      <c r="C419" s="1906"/>
      <c r="D419" s="1906"/>
      <c r="E419" s="1925">
        <v>0</v>
      </c>
      <c r="F419" s="1920"/>
      <c r="G419" s="1925">
        <v>235</v>
      </c>
      <c r="I419" s="1927"/>
    </row>
    <row r="420" spans="1:9" x14ac:dyDescent="0.25">
      <c r="A420" s="1941" t="s">
        <v>3367</v>
      </c>
      <c r="B420" s="1901" t="s">
        <v>2284</v>
      </c>
      <c r="C420" s="1906"/>
      <c r="D420" s="1905"/>
      <c r="E420" s="1925">
        <v>0</v>
      </c>
      <c r="F420" s="1920"/>
      <c r="G420" s="1925">
        <v>0</v>
      </c>
      <c r="I420" s="1927"/>
    </row>
    <row r="421" spans="1:9" x14ac:dyDescent="0.25">
      <c r="A421" s="1941" t="s">
        <v>3367</v>
      </c>
      <c r="B421" s="1901" t="s">
        <v>2285</v>
      </c>
      <c r="C421" s="1905"/>
      <c r="D421" s="1905"/>
      <c r="E421" s="1925">
        <v>119.9</v>
      </c>
      <c r="F421" s="1920"/>
      <c r="G421" s="1925">
        <v>0</v>
      </c>
      <c r="I421" s="1927"/>
    </row>
    <row r="422" spans="1:9" x14ac:dyDescent="0.25">
      <c r="A422" s="1941" t="s">
        <v>3367</v>
      </c>
      <c r="B422" s="1901" t="s">
        <v>2286</v>
      </c>
      <c r="C422" s="1905"/>
      <c r="D422" s="1905"/>
      <c r="E422" s="1925">
        <v>0</v>
      </c>
      <c r="F422" s="1920"/>
      <c r="G422" s="1925">
        <v>0</v>
      </c>
      <c r="I422" s="1927"/>
    </row>
    <row r="423" spans="1:9" x14ac:dyDescent="0.25">
      <c r="A423" s="1941" t="s">
        <v>3367</v>
      </c>
      <c r="B423" s="1901" t="s">
        <v>2285</v>
      </c>
      <c r="C423" s="1905"/>
      <c r="D423" s="1905"/>
      <c r="E423" s="1925">
        <v>115.3</v>
      </c>
      <c r="F423" s="1920"/>
      <c r="G423" s="1925">
        <v>0</v>
      </c>
      <c r="I423" s="1927"/>
    </row>
    <row r="424" spans="1:9" x14ac:dyDescent="0.25">
      <c r="A424" s="1941">
        <v>200</v>
      </c>
      <c r="B424" s="1901" t="s">
        <v>49</v>
      </c>
      <c r="C424" s="1906"/>
      <c r="D424" s="1905"/>
      <c r="E424" s="1925">
        <v>30654.720000000001</v>
      </c>
      <c r="F424" s="1920"/>
      <c r="G424" s="1925">
        <v>30270</v>
      </c>
      <c r="I424" s="1927"/>
    </row>
    <row r="425" spans="1:9" x14ac:dyDescent="0.25">
      <c r="A425" s="1941" t="s">
        <v>3371</v>
      </c>
      <c r="B425" s="1901" t="s">
        <v>2287</v>
      </c>
      <c r="C425" s="1905"/>
      <c r="D425" s="1905"/>
      <c r="E425" s="1925">
        <v>3854.24</v>
      </c>
      <c r="F425" s="1920"/>
      <c r="G425" s="1925">
        <v>3854.24</v>
      </c>
      <c r="I425" s="1927"/>
    </row>
    <row r="426" spans="1:9" x14ac:dyDescent="0.25">
      <c r="A426" s="1941">
        <v>300</v>
      </c>
      <c r="B426" s="1901" t="s">
        <v>1100</v>
      </c>
      <c r="C426" s="1905"/>
      <c r="D426" s="1905"/>
      <c r="E426" s="1925">
        <v>3854.24</v>
      </c>
      <c r="F426" s="1920"/>
      <c r="G426" s="1925">
        <v>3854.24</v>
      </c>
      <c r="I426" s="1927"/>
    </row>
    <row r="427" spans="1:9" x14ac:dyDescent="0.25">
      <c r="A427" s="1941" t="s">
        <v>3368</v>
      </c>
      <c r="B427" s="1901" t="s">
        <v>2288</v>
      </c>
      <c r="C427" s="1905"/>
      <c r="D427" s="1905"/>
      <c r="E427" s="1925">
        <v>5459.72</v>
      </c>
      <c r="F427" s="1920"/>
      <c r="G427" s="1925">
        <v>4105</v>
      </c>
      <c r="I427" s="1927"/>
    </row>
    <row r="428" spans="1:9" x14ac:dyDescent="0.25">
      <c r="A428" s="1941">
        <v>400</v>
      </c>
      <c r="B428" s="1901" t="s">
        <v>2256</v>
      </c>
      <c r="C428" s="1906"/>
      <c r="D428" s="1905"/>
      <c r="E428" s="1925">
        <v>5459.72</v>
      </c>
      <c r="F428" s="1920"/>
      <c r="G428" s="1925">
        <v>4105</v>
      </c>
      <c r="I428" s="1927"/>
    </row>
    <row r="429" spans="1:9" x14ac:dyDescent="0.25">
      <c r="A429" s="1941" t="s">
        <v>3372</v>
      </c>
      <c r="B429" s="1901" t="s">
        <v>2289</v>
      </c>
      <c r="C429" s="1906"/>
      <c r="D429" s="1906"/>
      <c r="E429" s="1925">
        <v>0</v>
      </c>
      <c r="F429" s="1920"/>
      <c r="G429" s="1925">
        <v>1500</v>
      </c>
      <c r="I429" s="1927"/>
    </row>
    <row r="430" spans="1:9" x14ac:dyDescent="0.25">
      <c r="A430" s="1941">
        <v>500</v>
      </c>
      <c r="B430" s="1901" t="s">
        <v>1095</v>
      </c>
      <c r="C430" s="1906"/>
      <c r="D430" s="1906"/>
      <c r="E430" s="1925">
        <v>0</v>
      </c>
      <c r="F430" s="1920"/>
      <c r="G430" s="1925">
        <v>1500</v>
      </c>
      <c r="I430" s="1927"/>
    </row>
    <row r="431" spans="1:9" x14ac:dyDescent="0.25">
      <c r="A431" s="1941">
        <v>1200</v>
      </c>
      <c r="B431" s="1901" t="s">
        <v>2290</v>
      </c>
      <c r="C431" s="1906"/>
      <c r="D431" s="1905"/>
      <c r="E431" s="1925">
        <v>203808.1</v>
      </c>
      <c r="F431" s="1920"/>
      <c r="G431" s="1925">
        <v>206870.24</v>
      </c>
      <c r="I431" s="1927"/>
    </row>
    <row r="432" spans="1:9" x14ac:dyDescent="0.25">
      <c r="A432" s="1941" t="s">
        <v>3373</v>
      </c>
      <c r="B432" s="1901" t="s">
        <v>2291</v>
      </c>
      <c r="C432" s="1906"/>
      <c r="D432" s="1905"/>
      <c r="E432" s="1925">
        <v>73871.34</v>
      </c>
      <c r="F432" s="1920"/>
      <c r="G432" s="1925">
        <v>0</v>
      </c>
      <c r="I432" s="1927"/>
    </row>
    <row r="433" spans="1:9" x14ac:dyDescent="0.25">
      <c r="A433" s="1941" t="s">
        <v>3373</v>
      </c>
      <c r="B433" s="1901" t="s">
        <v>2291</v>
      </c>
      <c r="C433" s="1906"/>
      <c r="D433" s="1905"/>
      <c r="E433" s="1925">
        <v>72256.320000000007</v>
      </c>
      <c r="F433" s="1920"/>
      <c r="G433" s="1925">
        <v>0</v>
      </c>
      <c r="I433" s="1927"/>
    </row>
    <row r="434" spans="1:9" x14ac:dyDescent="0.25">
      <c r="A434" s="1941" t="s">
        <v>3373</v>
      </c>
      <c r="B434" s="1901" t="s">
        <v>2291</v>
      </c>
      <c r="C434" s="1906"/>
      <c r="D434" s="1905"/>
      <c r="E434" s="1925">
        <v>0</v>
      </c>
      <c r="F434" s="1920"/>
      <c r="G434" s="1925">
        <v>146453</v>
      </c>
      <c r="I434" s="1927"/>
    </row>
    <row r="435" spans="1:9" x14ac:dyDescent="0.25">
      <c r="A435" s="1941" t="s">
        <v>3374</v>
      </c>
      <c r="B435" s="1901" t="s">
        <v>2292</v>
      </c>
      <c r="C435" s="1906"/>
      <c r="D435" s="1905"/>
      <c r="E435" s="1925">
        <v>62105.82</v>
      </c>
      <c r="F435" s="1920"/>
      <c r="G435" s="1925">
        <v>0</v>
      </c>
      <c r="I435" s="1927"/>
    </row>
    <row r="436" spans="1:9" x14ac:dyDescent="0.25">
      <c r="A436" s="1941" t="s">
        <v>3374</v>
      </c>
      <c r="B436" s="1901" t="s">
        <v>2292</v>
      </c>
      <c r="C436" s="1906"/>
      <c r="D436" s="1905"/>
      <c r="E436" s="1925">
        <v>142680.39000000001</v>
      </c>
      <c r="F436" s="1920"/>
      <c r="G436" s="1925">
        <v>0</v>
      </c>
      <c r="I436" s="1927"/>
    </row>
    <row r="437" spans="1:9" x14ac:dyDescent="0.25">
      <c r="A437" s="1941" t="s">
        <v>3374</v>
      </c>
      <c r="B437" s="1901" t="s">
        <v>2293</v>
      </c>
      <c r="C437" s="1905"/>
      <c r="D437" s="1905"/>
      <c r="E437" s="1925">
        <v>0</v>
      </c>
      <c r="F437" s="1920"/>
      <c r="G437" s="1925">
        <v>223582</v>
      </c>
      <c r="I437" s="1927"/>
    </row>
    <row r="438" spans="1:9" x14ac:dyDescent="0.25">
      <c r="A438" s="1941">
        <v>100</v>
      </c>
      <c r="B438" s="1901" t="s">
        <v>194</v>
      </c>
      <c r="C438" s="1906"/>
      <c r="D438" s="1905"/>
      <c r="E438" s="1925">
        <v>350913.87</v>
      </c>
      <c r="F438" s="1920"/>
      <c r="G438" s="1925">
        <v>370035</v>
      </c>
      <c r="I438" s="1927"/>
    </row>
    <row r="439" spans="1:9" x14ac:dyDescent="0.25">
      <c r="A439" s="1941" t="s">
        <v>3375</v>
      </c>
      <c r="B439" s="1901" t="s">
        <v>2294</v>
      </c>
      <c r="C439" s="1906"/>
      <c r="D439" s="1906"/>
      <c r="E439" s="1925">
        <v>8615</v>
      </c>
      <c r="F439" s="1920"/>
      <c r="G439" s="1925">
        <v>0</v>
      </c>
      <c r="I439" s="1927"/>
    </row>
    <row r="440" spans="1:9" x14ac:dyDescent="0.25">
      <c r="A440" s="1941" t="s">
        <v>3375</v>
      </c>
      <c r="B440" s="1901" t="s">
        <v>2294</v>
      </c>
      <c r="C440" s="1906"/>
      <c r="D440" s="1906"/>
      <c r="E440" s="1925">
        <v>8391.6</v>
      </c>
      <c r="F440" s="1920"/>
      <c r="G440" s="1925">
        <v>0</v>
      </c>
      <c r="I440" s="1927"/>
    </row>
    <row r="441" spans="1:9" x14ac:dyDescent="0.25">
      <c r="A441" s="1941" t="s">
        <v>3375</v>
      </c>
      <c r="B441" s="1901" t="s">
        <v>2294</v>
      </c>
      <c r="C441" s="1906"/>
      <c r="D441" s="1906"/>
      <c r="E441" s="1925">
        <v>0</v>
      </c>
      <c r="F441" s="1920"/>
      <c r="G441" s="1925">
        <v>16900</v>
      </c>
      <c r="I441" s="1927"/>
    </row>
    <row r="442" spans="1:9" x14ac:dyDescent="0.25">
      <c r="A442" s="1941" t="s">
        <v>3376</v>
      </c>
      <c r="B442" s="1901" t="s">
        <v>2295</v>
      </c>
      <c r="C442" s="1906"/>
      <c r="D442" s="1905"/>
      <c r="E442" s="1925">
        <v>28956.12</v>
      </c>
      <c r="F442" s="1920"/>
      <c r="G442" s="1925">
        <v>0</v>
      </c>
      <c r="I442" s="1927"/>
    </row>
    <row r="443" spans="1:9" x14ac:dyDescent="0.25">
      <c r="A443" s="1941" t="s">
        <v>3376</v>
      </c>
      <c r="B443" s="1901" t="s">
        <v>2295</v>
      </c>
      <c r="C443" s="1906"/>
      <c r="D443" s="1906"/>
      <c r="E443" s="1925">
        <v>71943.17</v>
      </c>
      <c r="F443" s="1920"/>
      <c r="G443" s="1925">
        <v>0</v>
      </c>
      <c r="I443" s="1927"/>
    </row>
    <row r="444" spans="1:9" x14ac:dyDescent="0.25">
      <c r="A444" s="1941" t="s">
        <v>3376</v>
      </c>
      <c r="B444" s="1901" t="s">
        <v>2295</v>
      </c>
      <c r="C444" s="1905"/>
      <c r="D444" s="1905"/>
      <c r="E444" s="1925">
        <v>0</v>
      </c>
      <c r="F444" s="1920"/>
      <c r="G444" s="1925">
        <v>112815</v>
      </c>
      <c r="I444" s="1927"/>
    </row>
    <row r="445" spans="1:9" x14ac:dyDescent="0.25">
      <c r="A445" s="1941" t="s">
        <v>3377</v>
      </c>
      <c r="B445" s="1901" t="s">
        <v>2296</v>
      </c>
      <c r="C445" s="1906"/>
      <c r="D445" s="1905"/>
      <c r="E445" s="1925">
        <v>0</v>
      </c>
      <c r="F445" s="1920"/>
      <c r="G445" s="1925">
        <v>0</v>
      </c>
      <c r="I445" s="1927"/>
    </row>
    <row r="446" spans="1:9" x14ac:dyDescent="0.25">
      <c r="A446" s="1941" t="s">
        <v>3377</v>
      </c>
      <c r="B446" s="1901" t="s">
        <v>2296</v>
      </c>
      <c r="C446" s="1906"/>
      <c r="D446" s="1906"/>
      <c r="E446" s="1925">
        <v>0</v>
      </c>
      <c r="F446" s="1920"/>
      <c r="G446" s="1925">
        <v>0</v>
      </c>
      <c r="I446" s="1927"/>
    </row>
    <row r="447" spans="1:9" x14ac:dyDescent="0.25">
      <c r="A447" s="1941" t="s">
        <v>3377</v>
      </c>
      <c r="B447" s="1901" t="s">
        <v>2296</v>
      </c>
      <c r="C447" s="1906"/>
      <c r="D447" s="1905"/>
      <c r="E447" s="1925">
        <v>0</v>
      </c>
      <c r="F447" s="1920"/>
      <c r="G447" s="1925">
        <v>1061</v>
      </c>
      <c r="I447" s="1927"/>
    </row>
    <row r="448" spans="1:9" x14ac:dyDescent="0.25">
      <c r="A448" s="1941" t="s">
        <v>3377</v>
      </c>
      <c r="B448" s="1901" t="s">
        <v>2297</v>
      </c>
      <c r="C448" s="1906"/>
      <c r="D448" s="1905"/>
      <c r="E448" s="1925">
        <v>305.74</v>
      </c>
      <c r="F448" s="1920"/>
      <c r="G448" s="1925">
        <v>0</v>
      </c>
      <c r="I448" s="1927"/>
    </row>
    <row r="449" spans="1:9" x14ac:dyDescent="0.25">
      <c r="A449" s="1941" t="s">
        <v>3377</v>
      </c>
      <c r="B449" s="1901" t="s">
        <v>2297</v>
      </c>
      <c r="C449" s="1906"/>
      <c r="D449" s="1905"/>
      <c r="E449" s="1925">
        <v>650.98</v>
      </c>
      <c r="F449" s="1920"/>
      <c r="G449" s="1925">
        <v>0</v>
      </c>
      <c r="I449" s="1927"/>
    </row>
    <row r="450" spans="1:9" x14ac:dyDescent="0.25">
      <c r="A450" s="1941">
        <v>200</v>
      </c>
      <c r="B450" s="1901" t="s">
        <v>49</v>
      </c>
      <c r="C450" s="1906"/>
      <c r="D450" s="1905"/>
      <c r="E450" s="1925">
        <v>118862.61</v>
      </c>
      <c r="F450" s="1920"/>
      <c r="G450" s="1925">
        <v>130776</v>
      </c>
      <c r="I450" s="1927"/>
    </row>
    <row r="451" spans="1:9" x14ac:dyDescent="0.25">
      <c r="A451" s="1941" t="s">
        <v>3378</v>
      </c>
      <c r="B451" s="1901" t="s">
        <v>2298</v>
      </c>
      <c r="C451" s="1906"/>
      <c r="D451" s="1906"/>
      <c r="E451" s="1925">
        <v>3997.55</v>
      </c>
      <c r="F451" s="1920"/>
      <c r="G451" s="1925">
        <v>4000</v>
      </c>
      <c r="I451" s="1927"/>
    </row>
    <row r="452" spans="1:9" x14ac:dyDescent="0.25">
      <c r="A452" s="1941" t="s">
        <v>3379</v>
      </c>
      <c r="B452" s="1901" t="s">
        <v>2299</v>
      </c>
      <c r="C452" s="1906"/>
      <c r="D452" s="1905"/>
      <c r="E452" s="1925">
        <v>306.86</v>
      </c>
      <c r="F452" s="1920"/>
      <c r="G452" s="1925">
        <v>500</v>
      </c>
      <c r="I452" s="1927"/>
    </row>
    <row r="453" spans="1:9" x14ac:dyDescent="0.25">
      <c r="A453" s="1941">
        <v>400</v>
      </c>
      <c r="B453" s="1901" t="s">
        <v>2256</v>
      </c>
      <c r="C453" s="1906"/>
      <c r="D453" s="1905"/>
      <c r="E453" s="1925">
        <v>4304.41</v>
      </c>
      <c r="F453" s="1920"/>
      <c r="G453" s="1925">
        <v>4500</v>
      </c>
      <c r="I453" s="1927"/>
    </row>
    <row r="454" spans="1:9" x14ac:dyDescent="0.25">
      <c r="A454" s="1941">
        <v>1220</v>
      </c>
      <c r="B454" s="1901" t="s">
        <v>2300</v>
      </c>
      <c r="C454" s="1906"/>
      <c r="D454" s="1905"/>
      <c r="E454" s="1925">
        <v>474080.89</v>
      </c>
      <c r="F454" s="1920"/>
      <c r="G454" s="1925">
        <v>505311</v>
      </c>
      <c r="I454" s="1927"/>
    </row>
    <row r="455" spans="1:9" x14ac:dyDescent="0.25">
      <c r="A455" s="1941" t="s">
        <v>3739</v>
      </c>
      <c r="B455" s="1901" t="s">
        <v>2301</v>
      </c>
      <c r="C455" s="1906"/>
      <c r="D455" s="1905"/>
      <c r="E455" s="1925">
        <v>77084.639999999999</v>
      </c>
      <c r="F455" s="1920"/>
      <c r="G455" s="1925">
        <v>0</v>
      </c>
      <c r="I455" s="1927"/>
    </row>
    <row r="456" spans="1:9" x14ac:dyDescent="0.25">
      <c r="A456" s="1941" t="s">
        <v>3739</v>
      </c>
      <c r="B456" s="1901" t="s">
        <v>2301</v>
      </c>
      <c r="C456" s="1906"/>
      <c r="D456" s="1906"/>
      <c r="E456" s="1925">
        <v>0</v>
      </c>
      <c r="F456" s="1920"/>
      <c r="G456" s="1925">
        <v>77085</v>
      </c>
      <c r="I456" s="1927"/>
    </row>
    <row r="457" spans="1:9" x14ac:dyDescent="0.25">
      <c r="A457" s="1941" t="s">
        <v>3740</v>
      </c>
      <c r="B457" s="1901" t="s">
        <v>2302</v>
      </c>
      <c r="C457" s="1906"/>
      <c r="D457" s="1905"/>
      <c r="E457" s="1925">
        <v>12497.41</v>
      </c>
      <c r="F457" s="1920"/>
      <c r="G457" s="1925">
        <v>0</v>
      </c>
      <c r="I457" s="1927"/>
    </row>
    <row r="458" spans="1:9" x14ac:dyDescent="0.25">
      <c r="A458" s="1941" t="s">
        <v>3740</v>
      </c>
      <c r="B458" s="1901" t="s">
        <v>2302</v>
      </c>
      <c r="C458" s="1906"/>
      <c r="D458" s="1905"/>
      <c r="E458" s="1925">
        <v>0</v>
      </c>
      <c r="F458" s="1920"/>
      <c r="G458" s="1925">
        <v>15856</v>
      </c>
      <c r="I458" s="1927"/>
    </row>
    <row r="459" spans="1:9" x14ac:dyDescent="0.25">
      <c r="A459" s="1941">
        <v>100</v>
      </c>
      <c r="B459" s="1901" t="s">
        <v>194</v>
      </c>
      <c r="C459" s="1906"/>
      <c r="D459" s="1905"/>
      <c r="E459" s="1925">
        <v>89582.05</v>
      </c>
      <c r="F459" s="1920"/>
      <c r="G459" s="1925">
        <v>92941</v>
      </c>
      <c r="I459" s="1927"/>
    </row>
    <row r="460" spans="1:9" x14ac:dyDescent="0.25">
      <c r="A460" s="1941" t="s">
        <v>3741</v>
      </c>
      <c r="B460" s="1901" t="s">
        <v>2303</v>
      </c>
      <c r="C460" s="1906"/>
      <c r="D460" s="1905"/>
      <c r="E460" s="1925">
        <v>8957.2000000000007</v>
      </c>
      <c r="F460" s="1920"/>
      <c r="G460" s="1925">
        <v>0</v>
      </c>
      <c r="I460" s="1927"/>
    </row>
    <row r="461" spans="1:9" x14ac:dyDescent="0.25">
      <c r="A461" s="1941" t="s">
        <v>3741</v>
      </c>
      <c r="B461" s="1901" t="s">
        <v>2303</v>
      </c>
      <c r="C461" s="1906"/>
      <c r="D461" s="1906"/>
      <c r="E461" s="1925">
        <v>0</v>
      </c>
      <c r="F461" s="1920"/>
      <c r="G461" s="1925">
        <v>8923</v>
      </c>
      <c r="I461" s="1927"/>
    </row>
    <row r="462" spans="1:9" x14ac:dyDescent="0.25">
      <c r="A462" s="1941" t="s">
        <v>3742</v>
      </c>
      <c r="B462" s="1901" t="s">
        <v>2304</v>
      </c>
      <c r="C462" s="1906"/>
      <c r="D462" s="1906"/>
      <c r="E462" s="1925">
        <v>14498.23</v>
      </c>
      <c r="F462" s="1920"/>
      <c r="G462" s="1925">
        <v>0</v>
      </c>
      <c r="I462" s="1927"/>
    </row>
    <row r="463" spans="1:9" x14ac:dyDescent="0.25">
      <c r="A463" s="1941" t="s">
        <v>3742</v>
      </c>
      <c r="B463" s="1901" t="s">
        <v>2304</v>
      </c>
      <c r="C463" s="1906"/>
      <c r="D463" s="1905"/>
      <c r="E463" s="1925">
        <v>0</v>
      </c>
      <c r="F463" s="1920"/>
      <c r="G463" s="1925">
        <v>12233</v>
      </c>
      <c r="I463" s="1927"/>
    </row>
    <row r="464" spans="1:9" x14ac:dyDescent="0.25">
      <c r="A464" s="1941" t="s">
        <v>3743</v>
      </c>
      <c r="B464" s="1901" t="s">
        <v>2305</v>
      </c>
      <c r="C464" s="1905"/>
      <c r="D464" s="1905"/>
      <c r="E464" s="1925">
        <v>0</v>
      </c>
      <c r="F464" s="1920"/>
      <c r="G464" s="1925">
        <v>0</v>
      </c>
      <c r="I464" s="1927"/>
    </row>
    <row r="465" spans="1:9" x14ac:dyDescent="0.25">
      <c r="A465" s="1941" t="s">
        <v>3743</v>
      </c>
      <c r="B465" s="1901" t="s">
        <v>2305</v>
      </c>
      <c r="C465" s="1906"/>
      <c r="D465" s="1905"/>
      <c r="E465" s="1925">
        <v>0</v>
      </c>
      <c r="F465" s="1920"/>
      <c r="G465" s="1925">
        <v>118</v>
      </c>
      <c r="I465" s="1927"/>
    </row>
    <row r="466" spans="1:9" x14ac:dyDescent="0.25">
      <c r="A466" s="1941" t="s">
        <v>3743</v>
      </c>
      <c r="B466" s="1901" t="s">
        <v>2306</v>
      </c>
      <c r="C466" s="1906"/>
      <c r="D466" s="1905"/>
      <c r="E466" s="1925">
        <v>133.91999999999999</v>
      </c>
      <c r="F466" s="1920"/>
      <c r="G466" s="1925">
        <v>0</v>
      </c>
      <c r="I466" s="1927"/>
    </row>
    <row r="467" spans="1:9" x14ac:dyDescent="0.25">
      <c r="A467" s="1941" t="s">
        <v>3743</v>
      </c>
      <c r="B467" s="1901" t="s">
        <v>2306</v>
      </c>
      <c r="C467" s="1906"/>
      <c r="D467" s="1905"/>
      <c r="E467" s="1925">
        <v>0</v>
      </c>
      <c r="F467" s="1920"/>
      <c r="G467" s="1925">
        <v>0</v>
      </c>
      <c r="I467" s="1927"/>
    </row>
    <row r="468" spans="1:9" x14ac:dyDescent="0.25">
      <c r="A468" s="1941">
        <v>200</v>
      </c>
      <c r="B468" s="1901" t="s">
        <v>49</v>
      </c>
      <c r="C468" s="1906"/>
      <c r="D468" s="1905"/>
      <c r="E468" s="1925">
        <v>23589.35</v>
      </c>
      <c r="F468" s="1920"/>
      <c r="G468" s="1925">
        <v>21274</v>
      </c>
      <c r="I468" s="1927"/>
    </row>
    <row r="469" spans="1:9" x14ac:dyDescent="0.25">
      <c r="A469" s="1941" t="s">
        <v>3744</v>
      </c>
      <c r="B469" s="1901" t="s">
        <v>2307</v>
      </c>
      <c r="C469" s="1906"/>
      <c r="D469" s="1905"/>
      <c r="E469" s="1925">
        <v>525</v>
      </c>
      <c r="F469" s="1920"/>
      <c r="G469" s="1925">
        <v>1000</v>
      </c>
      <c r="I469" s="1927"/>
    </row>
    <row r="470" spans="1:9" x14ac:dyDescent="0.25">
      <c r="A470" s="1941">
        <v>400</v>
      </c>
      <c r="B470" s="1901" t="s">
        <v>2256</v>
      </c>
      <c r="C470" s="1906"/>
      <c r="D470" s="1905"/>
      <c r="E470" s="1925">
        <v>525</v>
      </c>
      <c r="F470" s="1920"/>
      <c r="G470" s="1925">
        <v>1000</v>
      </c>
      <c r="I470" s="1927"/>
    </row>
    <row r="471" spans="1:9" x14ac:dyDescent="0.25">
      <c r="A471" s="1941">
        <v>1226</v>
      </c>
      <c r="B471" s="1901" t="s">
        <v>2091</v>
      </c>
      <c r="C471" s="1906"/>
      <c r="D471" s="1905"/>
      <c r="E471" s="1925">
        <v>113696.4</v>
      </c>
      <c r="F471" s="1920"/>
      <c r="G471" s="1925">
        <v>115215</v>
      </c>
      <c r="I471" s="1927"/>
    </row>
    <row r="472" spans="1:9" x14ac:dyDescent="0.25">
      <c r="A472" s="1941" t="s">
        <v>3380</v>
      </c>
      <c r="B472" s="1901" t="s">
        <v>2308</v>
      </c>
      <c r="C472" s="1906"/>
      <c r="D472" s="1905"/>
      <c r="E472" s="1925">
        <v>0</v>
      </c>
      <c r="F472" s="1920"/>
      <c r="G472" s="1925">
        <v>1980</v>
      </c>
      <c r="I472" s="1927"/>
    </row>
    <row r="473" spans="1:9" x14ac:dyDescent="0.25">
      <c r="A473" s="1941" t="s">
        <v>3380</v>
      </c>
      <c r="B473" s="1901" t="s">
        <v>2309</v>
      </c>
      <c r="C473" s="1906"/>
      <c r="D473" s="1905"/>
      <c r="E473" s="1925">
        <v>361543.98</v>
      </c>
      <c r="F473" s="1920"/>
      <c r="G473" s="1925">
        <v>456759</v>
      </c>
      <c r="I473" s="1927"/>
    </row>
    <row r="474" spans="1:9" x14ac:dyDescent="0.25">
      <c r="A474" s="1941" t="s">
        <v>3381</v>
      </c>
      <c r="B474" s="1901" t="s">
        <v>2310</v>
      </c>
      <c r="C474" s="1906"/>
      <c r="D474" s="1906"/>
      <c r="E474" s="1925">
        <v>11569</v>
      </c>
      <c r="F474" s="1920"/>
      <c r="G474" s="1925">
        <v>11569</v>
      </c>
      <c r="I474" s="1927"/>
    </row>
    <row r="475" spans="1:9" x14ac:dyDescent="0.25">
      <c r="A475" s="1941" t="s">
        <v>3382</v>
      </c>
      <c r="B475" s="1901" t="s">
        <v>2311</v>
      </c>
      <c r="C475" s="1906"/>
      <c r="D475" s="1905"/>
      <c r="E475" s="1925">
        <v>84067.68</v>
      </c>
      <c r="F475" s="1920"/>
      <c r="G475" s="1925">
        <v>84068</v>
      </c>
      <c r="I475" s="1927"/>
    </row>
    <row r="476" spans="1:9" x14ac:dyDescent="0.25">
      <c r="A476" s="1941" t="s">
        <v>3383</v>
      </c>
      <c r="B476" s="1901" t="s">
        <v>2312</v>
      </c>
      <c r="C476" s="1906"/>
      <c r="D476" s="1905"/>
      <c r="E476" s="1925">
        <v>1862.5</v>
      </c>
      <c r="F476" s="1920"/>
      <c r="G476" s="1925">
        <v>5000</v>
      </c>
      <c r="I476" s="1927"/>
    </row>
    <row r="477" spans="1:9" x14ac:dyDescent="0.25">
      <c r="A477" s="1941" t="s">
        <v>3384</v>
      </c>
      <c r="B477" s="1901" t="s">
        <v>2313</v>
      </c>
      <c r="C477" s="1906"/>
      <c r="D477" s="1905"/>
      <c r="E477" s="1925">
        <v>523.48</v>
      </c>
      <c r="F477" s="1920"/>
      <c r="G477" s="1925">
        <v>1000</v>
      </c>
      <c r="I477" s="1927"/>
    </row>
    <row r="478" spans="1:9" x14ac:dyDescent="0.25">
      <c r="A478" s="1941">
        <v>100</v>
      </c>
      <c r="B478" s="1901" t="s">
        <v>194</v>
      </c>
      <c r="C478" s="1906"/>
      <c r="D478" s="1905"/>
      <c r="E478" s="1925">
        <v>459566.64</v>
      </c>
      <c r="F478" s="1920"/>
      <c r="G478" s="1925">
        <v>560376</v>
      </c>
      <c r="I478" s="1927"/>
    </row>
    <row r="479" spans="1:9" x14ac:dyDescent="0.25">
      <c r="A479" s="1941" t="s">
        <v>3385</v>
      </c>
      <c r="B479" s="1901" t="s">
        <v>2314</v>
      </c>
      <c r="C479" s="1906"/>
      <c r="D479" s="1905"/>
      <c r="E479" s="1925">
        <v>51098.400000000001</v>
      </c>
      <c r="F479" s="1920"/>
      <c r="G479" s="1925">
        <v>50000</v>
      </c>
      <c r="I479" s="1927"/>
    </row>
    <row r="480" spans="1:9" x14ac:dyDescent="0.25">
      <c r="A480" s="1941" t="s">
        <v>3386</v>
      </c>
      <c r="B480" s="1901" t="s">
        <v>2315</v>
      </c>
      <c r="C480" s="1906"/>
      <c r="D480" s="1905"/>
      <c r="E480" s="1925">
        <v>40434.28</v>
      </c>
      <c r="F480" s="1920"/>
      <c r="G480" s="1925">
        <v>38987</v>
      </c>
      <c r="I480" s="1927"/>
    </row>
    <row r="481" spans="1:9" x14ac:dyDescent="0.25">
      <c r="A481" s="1941" t="s">
        <v>3387</v>
      </c>
      <c r="B481" s="1901" t="s">
        <v>2316</v>
      </c>
      <c r="C481" s="1906"/>
      <c r="D481" s="1905"/>
      <c r="E481" s="1925">
        <v>84897.66</v>
      </c>
      <c r="F481" s="1920"/>
      <c r="G481" s="1925">
        <v>84896</v>
      </c>
      <c r="I481" s="1927"/>
    </row>
    <row r="482" spans="1:9" x14ac:dyDescent="0.25">
      <c r="A482" s="1941" t="s">
        <v>3388</v>
      </c>
      <c r="B482" s="1901" t="s">
        <v>2317</v>
      </c>
      <c r="C482" s="1905"/>
      <c r="D482" s="1905"/>
      <c r="E482" s="1925">
        <v>880.11</v>
      </c>
      <c r="F482" s="1920"/>
      <c r="G482" s="1925">
        <v>950</v>
      </c>
      <c r="I482" s="1927"/>
    </row>
    <row r="483" spans="1:9" x14ac:dyDescent="0.25">
      <c r="A483" s="1941">
        <v>200</v>
      </c>
      <c r="B483" s="1901" t="s">
        <v>49</v>
      </c>
      <c r="C483" s="1905"/>
      <c r="D483" s="1905"/>
      <c r="E483" s="1925">
        <v>177310.45</v>
      </c>
      <c r="F483" s="1920"/>
      <c r="G483" s="1925">
        <v>174833</v>
      </c>
      <c r="I483" s="1927"/>
    </row>
    <row r="484" spans="1:9" x14ac:dyDescent="0.25">
      <c r="A484" s="1941" t="s">
        <v>3389</v>
      </c>
      <c r="B484" s="1901" t="s">
        <v>2318</v>
      </c>
      <c r="C484" s="1905"/>
      <c r="D484" s="1905"/>
      <c r="E484" s="1925">
        <v>3230.07</v>
      </c>
      <c r="F484" s="1920"/>
      <c r="G484" s="1925">
        <v>5762</v>
      </c>
      <c r="I484" s="1927"/>
    </row>
    <row r="485" spans="1:9" x14ac:dyDescent="0.25">
      <c r="A485" s="1941" t="s">
        <v>3390</v>
      </c>
      <c r="B485" s="1901" t="s">
        <v>2319</v>
      </c>
      <c r="C485" s="1906"/>
      <c r="D485" s="1906"/>
      <c r="E485" s="1925">
        <v>250</v>
      </c>
      <c r="F485" s="1920"/>
      <c r="G485" s="1925">
        <v>897</v>
      </c>
      <c r="I485" s="1927"/>
    </row>
    <row r="486" spans="1:9" x14ac:dyDescent="0.25">
      <c r="A486" s="1941" t="s">
        <v>3391</v>
      </c>
      <c r="B486" s="1901" t="s">
        <v>2320</v>
      </c>
      <c r="C486" s="1906"/>
      <c r="D486" s="1905"/>
      <c r="E486" s="1925">
        <v>0</v>
      </c>
      <c r="F486" s="1920"/>
      <c r="G486" s="1925">
        <v>126</v>
      </c>
      <c r="I486" s="1927"/>
    </row>
    <row r="487" spans="1:9" x14ac:dyDescent="0.25">
      <c r="A487" s="1941" t="s">
        <v>3392</v>
      </c>
      <c r="B487" s="1901" t="s">
        <v>2313</v>
      </c>
      <c r="C487" s="1906"/>
      <c r="D487" s="1905"/>
      <c r="E487" s="1925">
        <v>0</v>
      </c>
      <c r="G487" s="1925">
        <v>0</v>
      </c>
      <c r="I487" s="1927"/>
    </row>
    <row r="488" spans="1:9" x14ac:dyDescent="0.25">
      <c r="A488" s="1941" t="s">
        <v>3393</v>
      </c>
      <c r="B488" s="1901" t="s">
        <v>2321</v>
      </c>
      <c r="C488" s="1905"/>
      <c r="D488" s="1905"/>
      <c r="E488" s="1925">
        <v>12846</v>
      </c>
      <c r="F488" s="1921"/>
      <c r="G488" s="1925">
        <v>12846</v>
      </c>
      <c r="I488" s="1927"/>
    </row>
    <row r="489" spans="1:9" x14ac:dyDescent="0.25">
      <c r="A489" s="1941" t="s">
        <v>3394</v>
      </c>
      <c r="B489" s="1901" t="s">
        <v>2322</v>
      </c>
      <c r="C489" s="1906"/>
      <c r="D489" s="1906"/>
      <c r="E489" s="1925">
        <v>0</v>
      </c>
      <c r="F489" s="1920"/>
      <c r="G489" s="1925">
        <v>3886</v>
      </c>
      <c r="I489" s="1927"/>
    </row>
    <row r="490" spans="1:9" x14ac:dyDescent="0.25">
      <c r="A490" s="1941" t="s">
        <v>3394</v>
      </c>
      <c r="B490" s="1901" t="s">
        <v>2323</v>
      </c>
      <c r="C490" s="1906"/>
      <c r="D490" s="1905"/>
      <c r="E490" s="1925">
        <v>19370.54</v>
      </c>
      <c r="F490" s="1921"/>
      <c r="G490" s="1925">
        <v>52100</v>
      </c>
      <c r="I490" s="1927"/>
    </row>
    <row r="491" spans="1:9" x14ac:dyDescent="0.25">
      <c r="A491" s="1941" t="s">
        <v>3395</v>
      </c>
      <c r="B491" s="1901" t="s">
        <v>2324</v>
      </c>
      <c r="C491" s="1906"/>
      <c r="D491" s="1905"/>
      <c r="E491" s="1925">
        <v>587.65</v>
      </c>
      <c r="F491" s="1921"/>
      <c r="G491" s="1925">
        <v>588</v>
      </c>
      <c r="I491" s="1927"/>
    </row>
    <row r="492" spans="1:9" x14ac:dyDescent="0.25">
      <c r="A492" s="1941">
        <v>300</v>
      </c>
      <c r="B492" s="1901" t="s">
        <v>1100</v>
      </c>
      <c r="C492" s="1906"/>
      <c r="D492" s="1906"/>
      <c r="E492" s="1925">
        <v>36284.26</v>
      </c>
      <c r="F492" s="1921"/>
      <c r="G492" s="1925">
        <v>76205</v>
      </c>
      <c r="I492" s="1927"/>
    </row>
    <row r="493" spans="1:9" x14ac:dyDescent="0.25">
      <c r="A493" s="1941" t="s">
        <v>3396</v>
      </c>
      <c r="B493" s="1901" t="s">
        <v>2325</v>
      </c>
      <c r="C493" s="1906"/>
      <c r="D493" s="1906"/>
      <c r="E493" s="1925">
        <v>2897.27</v>
      </c>
      <c r="F493" s="1921"/>
      <c r="G493" s="1925">
        <v>2912</v>
      </c>
      <c r="I493" s="1927"/>
    </row>
    <row r="494" spans="1:9" x14ac:dyDescent="0.25">
      <c r="A494" s="1941" t="s">
        <v>3397</v>
      </c>
      <c r="B494" s="1901" t="s">
        <v>2326</v>
      </c>
      <c r="C494" s="1906"/>
      <c r="D494" s="1905"/>
      <c r="E494" s="1925">
        <v>15750</v>
      </c>
      <c r="F494" s="1920"/>
      <c r="G494" s="1925">
        <v>17685</v>
      </c>
      <c r="I494" s="1927"/>
    </row>
    <row r="495" spans="1:9" x14ac:dyDescent="0.25">
      <c r="A495" s="1941" t="s">
        <v>3396</v>
      </c>
      <c r="B495" s="1901" t="s">
        <v>2327</v>
      </c>
      <c r="C495" s="1902"/>
      <c r="D495" s="1902"/>
      <c r="E495" s="1925">
        <v>6564.58</v>
      </c>
      <c r="F495" s="1920"/>
      <c r="G495" s="1925">
        <v>6582</v>
      </c>
      <c r="I495" s="1927"/>
    </row>
    <row r="496" spans="1:9" x14ac:dyDescent="0.25">
      <c r="A496" s="1941" t="s">
        <v>3397</v>
      </c>
      <c r="B496" s="1901" t="s">
        <v>2328</v>
      </c>
      <c r="C496" s="1906"/>
      <c r="D496" s="1906"/>
      <c r="E496" s="1925">
        <v>18096</v>
      </c>
      <c r="F496" s="1920"/>
      <c r="G496" s="1925">
        <v>20294</v>
      </c>
      <c r="I496" s="1927"/>
    </row>
    <row r="497" spans="1:9" x14ac:dyDescent="0.25">
      <c r="A497" s="1941" t="s">
        <v>3396</v>
      </c>
      <c r="B497" s="1901" t="s">
        <v>2329</v>
      </c>
      <c r="C497" s="1902"/>
      <c r="D497" s="1902"/>
      <c r="E497" s="1925">
        <v>24483.39</v>
      </c>
      <c r="F497" s="1920"/>
      <c r="G497" s="1925">
        <v>82552</v>
      </c>
      <c r="I497" s="1927"/>
    </row>
    <row r="498" spans="1:9" x14ac:dyDescent="0.25">
      <c r="A498" s="1941" t="s">
        <v>3397</v>
      </c>
      <c r="B498" s="1901" t="s">
        <v>2330</v>
      </c>
      <c r="C498" s="1906"/>
      <c r="D498" s="1906"/>
      <c r="E498" s="1925">
        <v>0</v>
      </c>
      <c r="F498" s="1920"/>
      <c r="G498" s="1925">
        <v>500</v>
      </c>
      <c r="I498" s="1927"/>
    </row>
    <row r="499" spans="1:9" x14ac:dyDescent="0.25">
      <c r="A499" s="1941" t="s">
        <v>3398</v>
      </c>
      <c r="B499" s="1901" t="s">
        <v>2331</v>
      </c>
      <c r="C499" s="1902"/>
      <c r="D499" s="1902"/>
      <c r="E499" s="1925">
        <v>877.62</v>
      </c>
      <c r="F499" s="1920"/>
      <c r="G499" s="1925">
        <v>1000</v>
      </c>
      <c r="I499" s="1927"/>
    </row>
    <row r="500" spans="1:9" x14ac:dyDescent="0.25">
      <c r="A500" s="1941">
        <v>400</v>
      </c>
      <c r="B500" s="1901" t="s">
        <v>2256</v>
      </c>
      <c r="C500" s="1902"/>
      <c r="D500" s="1902"/>
      <c r="E500" s="1925">
        <v>68668.86</v>
      </c>
      <c r="F500" s="1920"/>
      <c r="G500" s="1925">
        <v>131525</v>
      </c>
      <c r="I500" s="1927"/>
    </row>
    <row r="501" spans="1:9" x14ac:dyDescent="0.25">
      <c r="A501" s="1941" t="s">
        <v>3399</v>
      </c>
      <c r="B501" s="1901" t="s">
        <v>2332</v>
      </c>
      <c r="C501" s="1906"/>
      <c r="D501" s="1906"/>
      <c r="E501" s="1925">
        <v>4862.58</v>
      </c>
      <c r="F501" s="1917"/>
      <c r="G501" s="1925">
        <v>4863</v>
      </c>
      <c r="I501" s="1927"/>
    </row>
    <row r="502" spans="1:9" x14ac:dyDescent="0.25">
      <c r="A502" s="1941">
        <v>500</v>
      </c>
      <c r="B502" s="1901" t="s">
        <v>1095</v>
      </c>
      <c r="C502" s="1906"/>
      <c r="D502" s="1906"/>
      <c r="E502" s="1925">
        <v>4862.58</v>
      </c>
      <c r="F502" s="1917"/>
      <c r="G502" s="1925">
        <v>4863</v>
      </c>
      <c r="I502" s="1927"/>
    </row>
    <row r="503" spans="1:9" x14ac:dyDescent="0.25">
      <c r="A503" s="1941">
        <v>1250</v>
      </c>
      <c r="B503" s="1901" t="s">
        <v>2333</v>
      </c>
      <c r="C503" s="1902"/>
      <c r="D503" s="1902"/>
      <c r="E503" s="1925">
        <v>746692.79</v>
      </c>
      <c r="F503" s="1920"/>
      <c r="G503" s="1925">
        <v>947802</v>
      </c>
      <c r="I503" s="1927"/>
    </row>
    <row r="504" spans="1:9" x14ac:dyDescent="0.25">
      <c r="A504" s="1941" t="s">
        <v>3629</v>
      </c>
      <c r="B504" s="1901" t="s">
        <v>2334</v>
      </c>
      <c r="C504" s="1906"/>
      <c r="D504" s="1906"/>
      <c r="E504" s="1925">
        <v>175497.72</v>
      </c>
      <c r="F504" s="1916"/>
      <c r="G504" s="1925">
        <v>213744</v>
      </c>
      <c r="I504" s="1927"/>
    </row>
    <row r="505" spans="1:9" x14ac:dyDescent="0.25">
      <c r="A505" s="1941" t="s">
        <v>3629</v>
      </c>
      <c r="B505" s="1901" t="s">
        <v>2334</v>
      </c>
      <c r="C505" s="1906"/>
      <c r="D505" s="1906"/>
      <c r="E505" s="1925">
        <v>38520.82</v>
      </c>
      <c r="F505" s="1916"/>
      <c r="G505" s="1925">
        <v>45895</v>
      </c>
      <c r="I505" s="1927"/>
    </row>
    <row r="506" spans="1:9" x14ac:dyDescent="0.25">
      <c r="A506" s="1941" t="s">
        <v>3630</v>
      </c>
      <c r="B506" s="1901" t="s">
        <v>2335</v>
      </c>
      <c r="C506" s="1905"/>
      <c r="D506" s="1905"/>
      <c r="E506" s="1925">
        <v>75239.16</v>
      </c>
      <c r="F506" s="1916"/>
      <c r="G506" s="1925">
        <v>45819</v>
      </c>
      <c r="I506" s="1927"/>
    </row>
    <row r="507" spans="1:9" x14ac:dyDescent="0.25">
      <c r="A507" s="1941" t="s">
        <v>3630</v>
      </c>
      <c r="B507" s="1901" t="s">
        <v>2336</v>
      </c>
      <c r="C507" s="1905"/>
      <c r="D507" s="1905"/>
      <c r="E507" s="1925">
        <v>8626</v>
      </c>
      <c r="F507" s="1916"/>
      <c r="G507" s="1925">
        <v>8826</v>
      </c>
      <c r="I507" s="1927"/>
    </row>
    <row r="508" spans="1:9" x14ac:dyDescent="0.25">
      <c r="A508" s="1941" t="s">
        <v>3631</v>
      </c>
      <c r="B508" s="1901" t="s">
        <v>2337</v>
      </c>
      <c r="C508" s="1906"/>
      <c r="D508" s="1906"/>
      <c r="E508" s="1925">
        <v>8200</v>
      </c>
      <c r="F508" s="1916"/>
      <c r="G508" s="1925">
        <v>8200</v>
      </c>
      <c r="I508" s="1927"/>
    </row>
    <row r="509" spans="1:9" x14ac:dyDescent="0.25">
      <c r="A509" s="1941" t="s">
        <v>3631</v>
      </c>
      <c r="B509" s="1901" t="s">
        <v>2337</v>
      </c>
      <c r="C509" s="1905"/>
      <c r="D509" s="1905"/>
      <c r="E509" s="1925">
        <v>5000</v>
      </c>
      <c r="F509" s="1917"/>
      <c r="G509" s="1925">
        <v>5000</v>
      </c>
      <c r="I509" s="1927"/>
    </row>
    <row r="510" spans="1:9" x14ac:dyDescent="0.25">
      <c r="A510" s="1941" t="s">
        <v>3632</v>
      </c>
      <c r="B510" s="1901" t="s">
        <v>2338</v>
      </c>
      <c r="C510" s="1906"/>
      <c r="D510" s="1906"/>
      <c r="E510" s="1925">
        <v>1431.69</v>
      </c>
      <c r="F510" s="1916"/>
      <c r="G510" s="1925">
        <v>29420</v>
      </c>
      <c r="I510" s="1927"/>
    </row>
    <row r="511" spans="1:9" x14ac:dyDescent="0.25">
      <c r="A511" s="1941" t="s">
        <v>3633</v>
      </c>
      <c r="B511" s="1901" t="s">
        <v>2339</v>
      </c>
      <c r="C511" s="1906"/>
      <c r="D511" s="1906"/>
      <c r="E511" s="1925">
        <v>92965.1</v>
      </c>
      <c r="F511" s="1917"/>
      <c r="G511" s="1925">
        <v>116411</v>
      </c>
      <c r="I511" s="1927"/>
    </row>
    <row r="512" spans="1:9" x14ac:dyDescent="0.25">
      <c r="A512" s="1941" t="s">
        <v>3633</v>
      </c>
      <c r="B512" s="1901" t="s">
        <v>2340</v>
      </c>
      <c r="C512" s="1906"/>
      <c r="D512" s="1906"/>
      <c r="E512" s="1925">
        <v>18733.57</v>
      </c>
      <c r="F512" s="1917"/>
      <c r="G512" s="1925">
        <v>21141</v>
      </c>
      <c r="I512" s="1927"/>
    </row>
    <row r="513" spans="1:9" x14ac:dyDescent="0.25">
      <c r="A513" s="1941" t="s">
        <v>3634</v>
      </c>
      <c r="B513" s="1901" t="s">
        <v>2341</v>
      </c>
      <c r="C513" s="1906"/>
      <c r="D513" s="1906"/>
      <c r="E513" s="1925">
        <v>4000</v>
      </c>
      <c r="F513" s="1917"/>
      <c r="G513" s="1925">
        <v>4000</v>
      </c>
      <c r="I513" s="1927"/>
    </row>
    <row r="514" spans="1:9" x14ac:dyDescent="0.25">
      <c r="A514" s="1941" t="s">
        <v>3635</v>
      </c>
      <c r="B514" s="1901" t="s">
        <v>2342</v>
      </c>
      <c r="C514" s="1906"/>
      <c r="D514" s="1906"/>
      <c r="E514" s="1925">
        <v>33705</v>
      </c>
      <c r="F514" s="1917"/>
      <c r="G514" s="1925">
        <v>29658</v>
      </c>
      <c r="I514" s="1927"/>
    </row>
    <row r="515" spans="1:9" x14ac:dyDescent="0.25">
      <c r="A515" s="1941" t="s">
        <v>3635</v>
      </c>
      <c r="B515" s="1901" t="s">
        <v>2342</v>
      </c>
      <c r="C515" s="1906"/>
      <c r="D515" s="1906"/>
      <c r="E515" s="1925">
        <v>14560.56</v>
      </c>
      <c r="F515" s="1917"/>
      <c r="G515" s="1925">
        <v>15000</v>
      </c>
      <c r="I515" s="1927"/>
    </row>
    <row r="516" spans="1:9" x14ac:dyDescent="0.25">
      <c r="A516" s="1941" t="s">
        <v>3636</v>
      </c>
      <c r="B516" s="1901" t="s">
        <v>2343</v>
      </c>
      <c r="C516" s="1906"/>
      <c r="D516" s="1906"/>
      <c r="E516" s="1925">
        <v>5000</v>
      </c>
      <c r="F516" s="1917"/>
      <c r="G516" s="1925">
        <v>5000</v>
      </c>
      <c r="I516" s="1927"/>
    </row>
    <row r="517" spans="1:9" x14ac:dyDescent="0.25">
      <c r="A517" s="1941" t="s">
        <v>3637</v>
      </c>
      <c r="B517" s="1901" t="s">
        <v>2344</v>
      </c>
      <c r="C517" s="1906"/>
      <c r="D517" s="1906"/>
      <c r="E517" s="1925">
        <v>2875.24</v>
      </c>
      <c r="F517" s="1917"/>
      <c r="G517" s="1925">
        <v>2942</v>
      </c>
      <c r="I517" s="1927"/>
    </row>
    <row r="518" spans="1:9" x14ac:dyDescent="0.25">
      <c r="A518" s="1941">
        <v>100</v>
      </c>
      <c r="B518" s="1901" t="s">
        <v>194</v>
      </c>
      <c r="C518" s="1906"/>
      <c r="D518" s="1906"/>
      <c r="E518" s="1925">
        <v>484354.86</v>
      </c>
      <c r="F518" s="1917"/>
      <c r="G518" s="1925">
        <v>551056</v>
      </c>
      <c r="I518" s="1927"/>
    </row>
    <row r="519" spans="1:9" x14ac:dyDescent="0.25">
      <c r="A519" s="1941" t="s">
        <v>3638</v>
      </c>
      <c r="B519" s="1901" t="s">
        <v>2345</v>
      </c>
      <c r="C519" s="1906"/>
      <c r="D519" s="1906"/>
      <c r="E519" s="1925">
        <v>27066.99</v>
      </c>
      <c r="F519" s="1917"/>
      <c r="G519" s="1925">
        <v>25124</v>
      </c>
      <c r="I519" s="1927"/>
    </row>
    <row r="520" spans="1:9" x14ac:dyDescent="0.25">
      <c r="A520" s="1941" t="s">
        <v>3638</v>
      </c>
      <c r="B520" s="1901" t="s">
        <v>2345</v>
      </c>
      <c r="C520" s="1906"/>
      <c r="D520" s="1906"/>
      <c r="E520" s="1925">
        <v>2149.9699999999998</v>
      </c>
      <c r="F520" s="1917"/>
      <c r="G520" s="1925">
        <v>0</v>
      </c>
      <c r="I520" s="1927"/>
    </row>
    <row r="521" spans="1:9" x14ac:dyDescent="0.25">
      <c r="A521" s="1941" t="s">
        <v>3639</v>
      </c>
      <c r="B521" s="1901" t="s">
        <v>2346</v>
      </c>
      <c r="C521" s="1906"/>
      <c r="D521" s="1906"/>
      <c r="E521" s="1925">
        <v>74409.97</v>
      </c>
      <c r="F521" s="1917"/>
      <c r="G521" s="1925">
        <v>76687</v>
      </c>
      <c r="I521" s="1927"/>
    </row>
    <row r="522" spans="1:9" x14ac:dyDescent="0.25">
      <c r="A522" s="1941" t="s">
        <v>3639</v>
      </c>
      <c r="B522" s="1901" t="s">
        <v>2346</v>
      </c>
      <c r="C522" s="1906"/>
      <c r="D522" s="1906"/>
      <c r="E522" s="1925">
        <v>0</v>
      </c>
      <c r="F522" s="1916"/>
      <c r="G522" s="1925">
        <v>0</v>
      </c>
      <c r="I522" s="1927"/>
    </row>
    <row r="523" spans="1:9" x14ac:dyDescent="0.25">
      <c r="A523" s="1941" t="s">
        <v>3640</v>
      </c>
      <c r="B523" s="1901" t="s">
        <v>2347</v>
      </c>
      <c r="C523" s="1906"/>
      <c r="D523" s="1906"/>
      <c r="E523" s="1925">
        <v>248.01</v>
      </c>
      <c r="F523" s="1916"/>
      <c r="G523" s="1925">
        <v>758</v>
      </c>
      <c r="I523" s="1927"/>
    </row>
    <row r="524" spans="1:9" x14ac:dyDescent="0.25">
      <c r="A524" s="1941" t="s">
        <v>3640</v>
      </c>
      <c r="B524" s="1901" t="s">
        <v>2347</v>
      </c>
      <c r="C524" s="1906"/>
      <c r="D524" s="1906"/>
      <c r="E524" s="1925">
        <v>39.200000000000003</v>
      </c>
      <c r="F524" s="1916"/>
      <c r="G524" s="1925">
        <v>0</v>
      </c>
      <c r="I524" s="1927"/>
    </row>
    <row r="525" spans="1:9" x14ac:dyDescent="0.25">
      <c r="A525" s="1941" t="s">
        <v>3640</v>
      </c>
      <c r="B525" s="1901" t="s">
        <v>2348</v>
      </c>
      <c r="C525" s="1902"/>
      <c r="D525" s="1902"/>
      <c r="E525" s="1925">
        <v>604.48</v>
      </c>
      <c r="F525" s="1920"/>
      <c r="G525" s="1925">
        <v>0</v>
      </c>
      <c r="I525" s="1927"/>
    </row>
    <row r="526" spans="1:9" x14ac:dyDescent="0.25">
      <c r="A526" s="1941">
        <v>200</v>
      </c>
      <c r="B526" s="1901" t="s">
        <v>49</v>
      </c>
      <c r="C526" s="1906"/>
      <c r="D526" s="1906"/>
      <c r="E526" s="1925">
        <v>104518.62</v>
      </c>
      <c r="F526" s="1917"/>
      <c r="G526" s="1925">
        <v>102569</v>
      </c>
      <c r="I526" s="1927"/>
    </row>
    <row r="527" spans="1:9" x14ac:dyDescent="0.25">
      <c r="A527" s="1941" t="s">
        <v>3641</v>
      </c>
      <c r="B527" s="1901" t="s">
        <v>2349</v>
      </c>
      <c r="C527" s="1902"/>
      <c r="D527" s="1901"/>
      <c r="E527" s="1925">
        <v>6600</v>
      </c>
      <c r="F527" s="1920"/>
      <c r="G527" s="1925">
        <v>6000</v>
      </c>
      <c r="I527" s="1927"/>
    </row>
    <row r="528" spans="1:9" x14ac:dyDescent="0.25">
      <c r="A528" s="1941" t="s">
        <v>3642</v>
      </c>
      <c r="B528" s="1901" t="s">
        <v>2350</v>
      </c>
      <c r="C528" s="1905"/>
      <c r="D528" s="1906"/>
      <c r="E528" s="1925">
        <v>1823</v>
      </c>
      <c r="F528" s="1917"/>
      <c r="G528" s="1925">
        <v>2000</v>
      </c>
      <c r="I528" s="1927"/>
    </row>
    <row r="529" spans="1:9" x14ac:dyDescent="0.25">
      <c r="A529" s="1941" t="s">
        <v>3643</v>
      </c>
      <c r="B529" s="1901" t="s">
        <v>2351</v>
      </c>
      <c r="C529" s="1906"/>
      <c r="D529" s="1906"/>
      <c r="E529" s="1925">
        <v>5420.83</v>
      </c>
      <c r="F529" s="1917"/>
      <c r="G529" s="1925">
        <v>6500</v>
      </c>
      <c r="I529" s="1927"/>
    </row>
    <row r="530" spans="1:9" x14ac:dyDescent="0.25">
      <c r="A530" s="1941" t="s">
        <v>3643</v>
      </c>
      <c r="B530" s="1901" t="s">
        <v>2351</v>
      </c>
      <c r="C530" s="1905"/>
      <c r="D530" s="1906"/>
      <c r="E530" s="1925">
        <v>2105.35</v>
      </c>
      <c r="F530" s="1917"/>
      <c r="G530" s="1925">
        <v>2500</v>
      </c>
      <c r="I530" s="1927"/>
    </row>
    <row r="531" spans="1:9" x14ac:dyDescent="0.25">
      <c r="A531" s="1941">
        <v>300</v>
      </c>
      <c r="B531" s="1901" t="s">
        <v>1100</v>
      </c>
      <c r="C531" s="1905"/>
      <c r="D531" s="1906"/>
      <c r="E531" s="1925">
        <v>15949.18</v>
      </c>
      <c r="F531" s="1917"/>
      <c r="G531" s="1925">
        <v>17000</v>
      </c>
      <c r="I531" s="1927"/>
    </row>
    <row r="532" spans="1:9" x14ac:dyDescent="0.25">
      <c r="A532" s="1941" t="s">
        <v>3644</v>
      </c>
      <c r="B532" s="1901" t="s">
        <v>2352</v>
      </c>
      <c r="C532" s="1905"/>
      <c r="D532" s="1906"/>
      <c r="E532" s="1925">
        <v>21098.39</v>
      </c>
      <c r="F532" s="1917"/>
      <c r="G532" s="1925">
        <v>21000</v>
      </c>
      <c r="I532" s="1927"/>
    </row>
    <row r="533" spans="1:9" x14ac:dyDescent="0.25">
      <c r="A533" s="1941" t="s">
        <v>3644</v>
      </c>
      <c r="B533" s="1901" t="s">
        <v>2352</v>
      </c>
      <c r="C533" s="1905"/>
      <c r="D533" s="1905"/>
      <c r="E533" s="1925">
        <v>11512.62</v>
      </c>
      <c r="F533" s="1917"/>
      <c r="G533" s="1925">
        <v>11506</v>
      </c>
      <c r="I533" s="1927"/>
    </row>
    <row r="534" spans="1:9" x14ac:dyDescent="0.25">
      <c r="A534" s="1941" t="s">
        <v>3645</v>
      </c>
      <c r="B534" s="1901" t="s">
        <v>2353</v>
      </c>
      <c r="C534" s="1905"/>
      <c r="D534" s="1906"/>
      <c r="E534" s="1925">
        <v>12029.94</v>
      </c>
      <c r="F534" s="1917"/>
      <c r="G534" s="1925">
        <v>10000</v>
      </c>
      <c r="I534" s="1927"/>
    </row>
    <row r="535" spans="1:9" x14ac:dyDescent="0.25">
      <c r="A535" s="1941" t="s">
        <v>3645</v>
      </c>
      <c r="B535" s="1901" t="s">
        <v>2353</v>
      </c>
      <c r="C535" s="1905"/>
      <c r="D535" s="1906"/>
      <c r="E535" s="1925">
        <v>6503</v>
      </c>
      <c r="F535" s="1917"/>
      <c r="G535" s="1925">
        <v>8676</v>
      </c>
      <c r="I535" s="1927"/>
    </row>
    <row r="536" spans="1:9" x14ac:dyDescent="0.25">
      <c r="A536" s="1941" t="s">
        <v>3646</v>
      </c>
      <c r="B536" s="1901" t="s">
        <v>2354</v>
      </c>
      <c r="C536" s="1905"/>
      <c r="D536" s="1906"/>
      <c r="E536" s="1925">
        <v>957.22</v>
      </c>
      <c r="F536" s="1920"/>
      <c r="G536" s="1925">
        <v>1000</v>
      </c>
      <c r="I536" s="1927"/>
    </row>
    <row r="537" spans="1:9" x14ac:dyDescent="0.25">
      <c r="A537" s="1941" t="s">
        <v>3646</v>
      </c>
      <c r="B537" s="1901" t="s">
        <v>2354</v>
      </c>
      <c r="C537" s="1905"/>
      <c r="D537" s="1906"/>
      <c r="E537" s="1925">
        <v>1861.24</v>
      </c>
      <c r="F537" s="1920"/>
      <c r="G537" s="1925">
        <v>2000</v>
      </c>
      <c r="I537" s="1927"/>
    </row>
    <row r="538" spans="1:9" x14ac:dyDescent="0.25">
      <c r="A538" s="1941" t="s">
        <v>3647</v>
      </c>
      <c r="B538" s="1901" t="s">
        <v>2355</v>
      </c>
      <c r="C538" s="1902"/>
      <c r="D538" s="1901"/>
      <c r="E538" s="1925">
        <v>2526.5300000000002</v>
      </c>
      <c r="F538" s="1920"/>
      <c r="G538" s="1925">
        <v>2000</v>
      </c>
      <c r="I538" s="1927"/>
    </row>
    <row r="539" spans="1:9" x14ac:dyDescent="0.25">
      <c r="A539" s="1941" t="s">
        <v>3647</v>
      </c>
      <c r="B539" s="1901" t="s">
        <v>2355</v>
      </c>
      <c r="C539" s="1906"/>
      <c r="D539" s="1906"/>
      <c r="E539" s="1925">
        <v>844.23</v>
      </c>
      <c r="F539" s="1920"/>
      <c r="G539" s="1925">
        <v>1500</v>
      </c>
      <c r="I539" s="1927"/>
    </row>
    <row r="540" spans="1:9" x14ac:dyDescent="0.25">
      <c r="A540" s="1941">
        <v>400</v>
      </c>
      <c r="B540" s="1901" t="s">
        <v>2256</v>
      </c>
      <c r="C540" s="1902"/>
      <c r="D540" s="1902"/>
      <c r="E540" s="1925">
        <v>57333.17</v>
      </c>
      <c r="F540" s="1920"/>
      <c r="G540" s="1925">
        <v>57682</v>
      </c>
      <c r="I540" s="1927"/>
    </row>
    <row r="541" spans="1:9" x14ac:dyDescent="0.25">
      <c r="A541" s="1941" t="s">
        <v>3648</v>
      </c>
      <c r="B541" s="1901" t="s">
        <v>2356</v>
      </c>
      <c r="C541" s="1906"/>
      <c r="D541" s="1906"/>
      <c r="E541" s="1925">
        <v>1800</v>
      </c>
      <c r="F541" s="1920"/>
      <c r="G541" s="1925">
        <v>1800</v>
      </c>
      <c r="I541" s="1927"/>
    </row>
    <row r="542" spans="1:9" x14ac:dyDescent="0.25">
      <c r="A542" s="1941" t="s">
        <v>3648</v>
      </c>
      <c r="B542" s="1901" t="s">
        <v>2356</v>
      </c>
      <c r="C542" s="1906"/>
      <c r="D542" s="1906"/>
      <c r="E542" s="1925">
        <v>2909.67</v>
      </c>
      <c r="F542" s="1920"/>
      <c r="G542" s="1925">
        <v>2909</v>
      </c>
      <c r="I542" s="1927"/>
    </row>
    <row r="543" spans="1:9" x14ac:dyDescent="0.25">
      <c r="A543" s="1941">
        <v>500</v>
      </c>
      <c r="B543" s="1901" t="s">
        <v>1095</v>
      </c>
      <c r="C543" s="1906"/>
      <c r="D543" s="1905"/>
      <c r="E543" s="1925">
        <v>4709.67</v>
      </c>
      <c r="F543" s="1920"/>
      <c r="G543" s="1925">
        <v>4709</v>
      </c>
      <c r="I543" s="1927"/>
    </row>
    <row r="544" spans="1:9" x14ac:dyDescent="0.25">
      <c r="A544" s="1941">
        <v>1275</v>
      </c>
      <c r="B544" s="1901" t="s">
        <v>1130</v>
      </c>
      <c r="C544" s="1906"/>
      <c r="D544" s="1905"/>
      <c r="E544" s="1925">
        <v>666865.5</v>
      </c>
      <c r="F544" s="1920"/>
      <c r="G544" s="1925">
        <v>733016</v>
      </c>
      <c r="I544" s="1927"/>
    </row>
    <row r="545" spans="1:9" x14ac:dyDescent="0.25">
      <c r="A545" s="1941" t="s">
        <v>3762</v>
      </c>
      <c r="B545" s="1901" t="s">
        <v>2357</v>
      </c>
      <c r="C545" s="1906"/>
      <c r="D545" s="1905"/>
      <c r="E545" s="1925">
        <v>600</v>
      </c>
      <c r="F545" s="1920"/>
      <c r="G545" s="1925">
        <v>2000</v>
      </c>
      <c r="I545" s="1927"/>
    </row>
    <row r="546" spans="1:9" x14ac:dyDescent="0.25">
      <c r="A546" s="1941">
        <v>100</v>
      </c>
      <c r="B546" s="1901" t="s">
        <v>194</v>
      </c>
      <c r="C546" s="1906"/>
      <c r="D546" s="1905"/>
      <c r="E546" s="1925">
        <v>600</v>
      </c>
      <c r="F546" s="1920"/>
      <c r="G546" s="1925">
        <v>2000</v>
      </c>
      <c r="I546" s="1927"/>
    </row>
    <row r="547" spans="1:9" x14ac:dyDescent="0.25">
      <c r="A547" s="1941" t="s">
        <v>3763</v>
      </c>
      <c r="B547" s="1901" t="s">
        <v>2358</v>
      </c>
      <c r="C547" s="1906"/>
      <c r="D547" s="1905"/>
      <c r="E547" s="1925">
        <v>190</v>
      </c>
      <c r="F547" s="1920"/>
      <c r="G547" s="1925">
        <v>200</v>
      </c>
      <c r="I547" s="1927"/>
    </row>
    <row r="548" spans="1:9" x14ac:dyDescent="0.25">
      <c r="A548" s="1941">
        <v>300</v>
      </c>
      <c r="B548" s="1901" t="s">
        <v>1100</v>
      </c>
      <c r="C548" s="1906"/>
      <c r="D548" s="1905"/>
      <c r="E548" s="1925">
        <v>190</v>
      </c>
      <c r="F548" s="1920"/>
      <c r="G548" s="1925">
        <v>200</v>
      </c>
      <c r="I548" s="1927"/>
    </row>
    <row r="549" spans="1:9" x14ac:dyDescent="0.25">
      <c r="A549" s="1941" t="s">
        <v>3764</v>
      </c>
      <c r="B549" s="1901" t="s">
        <v>2359</v>
      </c>
      <c r="C549" s="1906"/>
      <c r="D549" s="1905"/>
      <c r="E549" s="1925">
        <v>836.87</v>
      </c>
      <c r="F549" s="1920"/>
      <c r="G549" s="1925">
        <v>850</v>
      </c>
      <c r="I549" s="1927"/>
    </row>
    <row r="550" spans="1:9" x14ac:dyDescent="0.25">
      <c r="A550" s="1941">
        <v>400</v>
      </c>
      <c r="B550" s="1901" t="s">
        <v>2256</v>
      </c>
      <c r="C550" s="1906"/>
      <c r="D550" s="1905"/>
      <c r="E550" s="1925">
        <v>836.87</v>
      </c>
      <c r="F550" s="1921"/>
      <c r="G550" s="1925">
        <v>850</v>
      </c>
      <c r="I550" s="1927"/>
    </row>
    <row r="551" spans="1:9" x14ac:dyDescent="0.25">
      <c r="A551" s="1941">
        <v>1500</v>
      </c>
      <c r="B551" s="1901" t="s">
        <v>2097</v>
      </c>
      <c r="C551" s="1906"/>
      <c r="D551" s="1905"/>
      <c r="E551" s="1925">
        <v>1626.87</v>
      </c>
      <c r="F551" s="1920"/>
      <c r="G551" s="1925">
        <v>3050</v>
      </c>
      <c r="I551" s="1927"/>
    </row>
    <row r="552" spans="1:9" x14ac:dyDescent="0.25">
      <c r="A552" s="1941" t="s">
        <v>3763</v>
      </c>
      <c r="B552" s="1901" t="s">
        <v>2360</v>
      </c>
      <c r="C552" s="1906"/>
      <c r="D552" s="1905"/>
      <c r="E552" s="1925">
        <v>100</v>
      </c>
      <c r="F552" s="1917"/>
      <c r="G552" s="1925">
        <v>200</v>
      </c>
      <c r="I552" s="1927"/>
    </row>
    <row r="553" spans="1:9" x14ac:dyDescent="0.25">
      <c r="A553" s="1941">
        <v>300</v>
      </c>
      <c r="B553" s="1901" t="s">
        <v>1100</v>
      </c>
      <c r="C553" s="1906"/>
      <c r="D553" s="1905"/>
      <c r="E553" s="1925">
        <v>100</v>
      </c>
      <c r="F553" s="1917"/>
      <c r="G553" s="1925">
        <v>200</v>
      </c>
      <c r="I553" s="1927"/>
    </row>
    <row r="554" spans="1:9" x14ac:dyDescent="0.25">
      <c r="A554" s="1941" t="s">
        <v>3764</v>
      </c>
      <c r="B554" s="1901" t="s">
        <v>2361</v>
      </c>
      <c r="C554" s="1906"/>
      <c r="D554" s="1905"/>
      <c r="E554" s="1925">
        <v>0</v>
      </c>
      <c r="F554" s="1917"/>
      <c r="G554" s="1925">
        <v>1000</v>
      </c>
      <c r="I554" s="1927"/>
    </row>
    <row r="555" spans="1:9" x14ac:dyDescent="0.25">
      <c r="A555" s="1941">
        <v>400</v>
      </c>
      <c r="B555" s="1901" t="s">
        <v>2256</v>
      </c>
      <c r="C555" s="1906"/>
      <c r="D555" s="1905"/>
      <c r="E555" s="1925">
        <v>0</v>
      </c>
      <c r="F555" s="1917"/>
      <c r="G555" s="1925">
        <v>1000</v>
      </c>
      <c r="I555" s="1927"/>
    </row>
    <row r="556" spans="1:9" x14ac:dyDescent="0.25">
      <c r="A556" s="1941" t="s">
        <v>3765</v>
      </c>
      <c r="B556" s="1901" t="s">
        <v>2362</v>
      </c>
      <c r="C556" s="1906"/>
      <c r="D556" s="1906"/>
      <c r="E556" s="1925">
        <v>0</v>
      </c>
      <c r="F556" s="1917"/>
      <c r="G556" s="1925">
        <v>500</v>
      </c>
      <c r="I556" s="1927"/>
    </row>
    <row r="557" spans="1:9" x14ac:dyDescent="0.25">
      <c r="A557" s="1941">
        <v>500</v>
      </c>
      <c r="B557" s="1901" t="s">
        <v>1095</v>
      </c>
      <c r="C557" s="1906"/>
      <c r="D557" s="1905"/>
      <c r="E557" s="1925">
        <v>0</v>
      </c>
      <c r="F557" s="1917"/>
      <c r="G557" s="1925">
        <v>500</v>
      </c>
      <c r="I557" s="1927"/>
    </row>
    <row r="558" spans="1:9" x14ac:dyDescent="0.25">
      <c r="A558" s="1941">
        <v>1511</v>
      </c>
      <c r="B558" s="1901" t="s">
        <v>2363</v>
      </c>
      <c r="C558" s="1905"/>
      <c r="D558" s="1905"/>
      <c r="E558" s="1925">
        <v>100</v>
      </c>
      <c r="F558" s="1917"/>
      <c r="G558" s="1925">
        <v>1700</v>
      </c>
      <c r="I558" s="1927"/>
    </row>
    <row r="559" spans="1:9" x14ac:dyDescent="0.25">
      <c r="A559" s="1941" t="s">
        <v>3762</v>
      </c>
      <c r="B559" s="1901" t="s">
        <v>2364</v>
      </c>
      <c r="C559" s="1901"/>
      <c r="D559" s="1902"/>
      <c r="E559" s="1925">
        <v>665</v>
      </c>
      <c r="F559" s="1920"/>
      <c r="G559" s="1925">
        <v>1000</v>
      </c>
      <c r="I559" s="1927"/>
    </row>
    <row r="560" spans="1:9" x14ac:dyDescent="0.25">
      <c r="A560" s="1941" t="s">
        <v>3766</v>
      </c>
      <c r="B560" s="1901" t="s">
        <v>2365</v>
      </c>
      <c r="C560" s="1906"/>
      <c r="D560" s="1906"/>
      <c r="E560" s="1925">
        <v>2280</v>
      </c>
      <c r="F560" s="1917"/>
      <c r="G560" s="1925">
        <v>2400</v>
      </c>
      <c r="I560" s="1927"/>
    </row>
    <row r="561" spans="1:9" x14ac:dyDescent="0.25">
      <c r="A561" s="1941">
        <v>100</v>
      </c>
      <c r="B561" s="1901" t="s">
        <v>194</v>
      </c>
      <c r="C561" s="1901"/>
      <c r="D561" s="1902"/>
      <c r="E561" s="1925">
        <v>2945</v>
      </c>
      <c r="F561" s="1920"/>
      <c r="G561" s="1925">
        <v>3400</v>
      </c>
      <c r="I561" s="1927"/>
    </row>
    <row r="562" spans="1:9" x14ac:dyDescent="0.25">
      <c r="A562" s="1941" t="s">
        <v>3767</v>
      </c>
      <c r="B562" s="1901" t="s">
        <v>2366</v>
      </c>
      <c r="C562" s="1906"/>
      <c r="D562" s="1906"/>
      <c r="E562" s="1925">
        <v>262.95999999999998</v>
      </c>
      <c r="F562" s="1917"/>
      <c r="G562" s="1925">
        <v>277</v>
      </c>
      <c r="I562" s="1927"/>
    </row>
    <row r="563" spans="1:9" x14ac:dyDescent="0.25">
      <c r="A563" s="1941">
        <v>200</v>
      </c>
      <c r="B563" s="1901" t="s">
        <v>49</v>
      </c>
      <c r="C563" s="1901"/>
      <c r="D563" s="1902"/>
      <c r="E563" s="1925">
        <v>262.95999999999998</v>
      </c>
      <c r="F563" s="1920"/>
      <c r="G563" s="1925">
        <v>277</v>
      </c>
      <c r="I563" s="1927"/>
    </row>
    <row r="564" spans="1:9" x14ac:dyDescent="0.25">
      <c r="A564" s="1941" t="s">
        <v>3764</v>
      </c>
      <c r="B564" s="1901" t="s">
        <v>2367</v>
      </c>
      <c r="C564" s="1901"/>
      <c r="D564" s="1901"/>
      <c r="E564" s="1925">
        <v>779.41</v>
      </c>
      <c r="F564" s="1920"/>
      <c r="G564" s="1925">
        <v>750</v>
      </c>
      <c r="I564" s="1927"/>
    </row>
    <row r="565" spans="1:9" x14ac:dyDescent="0.25">
      <c r="A565" s="1941" t="s">
        <v>3768</v>
      </c>
      <c r="B565" s="1901" t="s">
        <v>2368</v>
      </c>
      <c r="C565" s="1906"/>
      <c r="D565" s="1906"/>
      <c r="E565" s="1925">
        <v>0</v>
      </c>
      <c r="F565" s="1917"/>
      <c r="G565" s="1925">
        <v>100</v>
      </c>
      <c r="I565" s="1927"/>
    </row>
    <row r="566" spans="1:9" x14ac:dyDescent="0.25">
      <c r="A566" s="1941">
        <v>400</v>
      </c>
      <c r="B566" s="1901" t="s">
        <v>2256</v>
      </c>
      <c r="C566" s="1906"/>
      <c r="D566" s="1906"/>
      <c r="E566" s="1925">
        <v>779.41</v>
      </c>
      <c r="F566" s="1917"/>
      <c r="G566" s="1925">
        <v>850</v>
      </c>
      <c r="I566" s="1927"/>
    </row>
    <row r="567" spans="1:9" x14ac:dyDescent="0.25">
      <c r="A567" s="1941" t="s">
        <v>3769</v>
      </c>
      <c r="B567" s="1901" t="s">
        <v>2369</v>
      </c>
      <c r="C567" s="1902"/>
      <c r="D567" s="1901"/>
      <c r="E567" s="1925">
        <v>0</v>
      </c>
      <c r="F567" s="1920"/>
      <c r="G567" s="1925">
        <v>200</v>
      </c>
      <c r="I567" s="1927"/>
    </row>
    <row r="568" spans="1:9" x14ac:dyDescent="0.25">
      <c r="A568" s="1941">
        <v>600</v>
      </c>
      <c r="B568" s="1901" t="s">
        <v>1096</v>
      </c>
      <c r="C568" s="1906"/>
      <c r="D568" s="1906"/>
      <c r="E568" s="1925">
        <v>0</v>
      </c>
      <c r="F568" s="1916"/>
      <c r="G568" s="1925">
        <v>200</v>
      </c>
      <c r="I568" s="1927"/>
    </row>
    <row r="569" spans="1:9" x14ac:dyDescent="0.25">
      <c r="A569" s="1941">
        <v>1512</v>
      </c>
      <c r="B569" s="1901" t="s">
        <v>2370</v>
      </c>
      <c r="C569" s="1906"/>
      <c r="D569" s="1906"/>
      <c r="E569" s="1925">
        <v>3987.37</v>
      </c>
      <c r="F569" s="1916"/>
      <c r="G569" s="1925">
        <v>4727</v>
      </c>
      <c r="I569" s="1927"/>
    </row>
    <row r="570" spans="1:9" x14ac:dyDescent="0.25">
      <c r="A570" s="1941" t="s">
        <v>3780</v>
      </c>
      <c r="B570" s="1901" t="s">
        <v>2371</v>
      </c>
      <c r="C570" s="1906"/>
      <c r="D570" s="1906"/>
      <c r="E570" s="1925">
        <v>83064.27</v>
      </c>
      <c r="F570" s="1917"/>
      <c r="G570" s="1925">
        <v>83065</v>
      </c>
      <c r="I570" s="1927"/>
    </row>
    <row r="571" spans="1:9" x14ac:dyDescent="0.25">
      <c r="A571" s="1941">
        <v>100</v>
      </c>
      <c r="B571" s="1901" t="s">
        <v>194</v>
      </c>
      <c r="C571" s="1906"/>
      <c r="D571" s="1906"/>
      <c r="E571" s="1925">
        <v>83064.27</v>
      </c>
      <c r="F571" s="1916"/>
      <c r="G571" s="1925">
        <v>83065</v>
      </c>
      <c r="I571" s="1927"/>
    </row>
    <row r="572" spans="1:9" x14ac:dyDescent="0.25">
      <c r="A572" s="1941" t="s">
        <v>3767</v>
      </c>
      <c r="B572" s="1901" t="s">
        <v>2372</v>
      </c>
      <c r="C572" s="1902"/>
      <c r="D572" s="1901"/>
      <c r="E572" s="1925">
        <v>9659.8799999999992</v>
      </c>
      <c r="F572" s="1920"/>
      <c r="G572" s="1925">
        <v>14970</v>
      </c>
      <c r="I572" s="1927"/>
    </row>
    <row r="573" spans="1:9" x14ac:dyDescent="0.25">
      <c r="A573" s="1941" t="s">
        <v>3770</v>
      </c>
      <c r="B573" s="1901" t="s">
        <v>2373</v>
      </c>
      <c r="C573" s="1906"/>
      <c r="D573" s="1906"/>
      <c r="E573" s="1925">
        <v>12232.8</v>
      </c>
      <c r="F573" s="1917"/>
      <c r="G573" s="1925">
        <v>16310</v>
      </c>
      <c r="I573" s="1927"/>
    </row>
    <row r="574" spans="1:9" x14ac:dyDescent="0.25">
      <c r="A574" s="1941" t="s">
        <v>3771</v>
      </c>
      <c r="B574" s="1901" t="s">
        <v>2374</v>
      </c>
      <c r="C574" s="1902"/>
      <c r="D574" s="1901"/>
      <c r="E574" s="1925">
        <v>88.2</v>
      </c>
      <c r="F574" s="1920"/>
      <c r="G574" s="1925">
        <v>118</v>
      </c>
      <c r="I574" s="1927"/>
    </row>
    <row r="575" spans="1:9" x14ac:dyDescent="0.25">
      <c r="A575" s="1941">
        <v>200</v>
      </c>
      <c r="B575" s="1901" t="s">
        <v>49</v>
      </c>
      <c r="C575" s="1905"/>
      <c r="D575" s="1906"/>
      <c r="E575" s="1925">
        <v>21980.880000000001</v>
      </c>
      <c r="F575" s="1917"/>
      <c r="G575" s="1925">
        <v>31398</v>
      </c>
      <c r="I575" s="1927"/>
    </row>
    <row r="576" spans="1:9" x14ac:dyDescent="0.25">
      <c r="A576" s="1941" t="s">
        <v>3763</v>
      </c>
      <c r="B576" s="1901" t="s">
        <v>2375</v>
      </c>
      <c r="C576" s="1905"/>
      <c r="D576" s="1906"/>
      <c r="E576" s="1925">
        <v>540.84</v>
      </c>
      <c r="F576" s="1917"/>
      <c r="G576" s="1925">
        <v>1500</v>
      </c>
      <c r="I576" s="1927"/>
    </row>
    <row r="577" spans="1:9" x14ac:dyDescent="0.25">
      <c r="A577" s="1941">
        <v>300</v>
      </c>
      <c r="B577" s="1901" t="s">
        <v>1100</v>
      </c>
      <c r="C577" s="1905"/>
      <c r="D577" s="1906"/>
      <c r="E577" s="1925">
        <v>540.84</v>
      </c>
      <c r="F577" s="1917"/>
      <c r="G577" s="1925">
        <v>1500</v>
      </c>
      <c r="I577" s="1927"/>
    </row>
    <row r="578" spans="1:9" x14ac:dyDescent="0.25">
      <c r="A578" s="1941" t="s">
        <v>3764</v>
      </c>
      <c r="B578" s="1901" t="s">
        <v>2376</v>
      </c>
      <c r="C578" s="1905"/>
      <c r="D578" s="1906"/>
      <c r="E578" s="1925">
        <v>1119.2</v>
      </c>
      <c r="F578" s="1917"/>
      <c r="G578" s="1925">
        <v>2000</v>
      </c>
      <c r="I578" s="1927"/>
    </row>
    <row r="579" spans="1:9" x14ac:dyDescent="0.25">
      <c r="A579" s="1941" t="s">
        <v>3768</v>
      </c>
      <c r="B579" s="1901" t="s">
        <v>2377</v>
      </c>
      <c r="C579" s="1905"/>
      <c r="D579" s="1906"/>
      <c r="E579" s="1925">
        <v>706.8</v>
      </c>
      <c r="F579" s="1917"/>
      <c r="G579" s="1925">
        <v>500</v>
      </c>
      <c r="I579" s="1927"/>
    </row>
    <row r="580" spans="1:9" x14ac:dyDescent="0.25">
      <c r="A580" s="1941" t="s">
        <v>3772</v>
      </c>
      <c r="B580" s="1901" t="s">
        <v>2378</v>
      </c>
      <c r="C580" s="1905"/>
      <c r="D580" s="1906"/>
      <c r="E580" s="1925">
        <v>7500</v>
      </c>
      <c r="F580" s="1917"/>
      <c r="G580" s="1925">
        <v>7500</v>
      </c>
      <c r="I580" s="1927"/>
    </row>
    <row r="581" spans="1:9" s="1901" customFormat="1" ht="12.75" x14ac:dyDescent="0.2">
      <c r="A581" s="1941">
        <v>400</v>
      </c>
      <c r="B581" s="1901" t="s">
        <v>2256</v>
      </c>
      <c r="C581" s="1902"/>
      <c r="D581" s="1902"/>
      <c r="E581" s="1925">
        <v>9326</v>
      </c>
      <c r="F581" s="1921"/>
      <c r="G581" s="1925">
        <v>10000</v>
      </c>
      <c r="I581" s="1927"/>
    </row>
    <row r="582" spans="1:9" s="1901" customFormat="1" x14ac:dyDescent="0.25">
      <c r="A582" s="1941" t="s">
        <v>3765</v>
      </c>
      <c r="B582" s="1901" t="s">
        <v>2379</v>
      </c>
      <c r="C582" s="1905"/>
      <c r="D582" s="1906"/>
      <c r="E582" s="1925">
        <v>2600</v>
      </c>
      <c r="F582" s="1917"/>
      <c r="G582" s="1925">
        <v>2600</v>
      </c>
      <c r="I582" s="1927"/>
    </row>
    <row r="583" spans="1:9" s="1901" customFormat="1" ht="12.75" x14ac:dyDescent="0.2">
      <c r="A583" s="1941">
        <v>500</v>
      </c>
      <c r="B583" s="1901" t="s">
        <v>1095</v>
      </c>
      <c r="E583" s="1925">
        <v>2600</v>
      </c>
      <c r="F583" s="1921"/>
      <c r="G583" s="1925">
        <v>2600</v>
      </c>
      <c r="I583" s="1927"/>
    </row>
    <row r="584" spans="1:9" s="1901" customFormat="1" x14ac:dyDescent="0.25">
      <c r="A584" s="1941" t="s">
        <v>3773</v>
      </c>
      <c r="B584" s="1901" t="s">
        <v>2380</v>
      </c>
      <c r="C584" s="1906"/>
      <c r="D584" s="1905"/>
      <c r="E584" s="1925">
        <v>403</v>
      </c>
      <c r="F584" s="1920"/>
      <c r="G584" s="1925">
        <v>500</v>
      </c>
      <c r="I584" s="1927"/>
    </row>
    <row r="585" spans="1:9" s="1901" customFormat="1" x14ac:dyDescent="0.25">
      <c r="A585" s="1941">
        <v>600</v>
      </c>
      <c r="B585" s="1901" t="s">
        <v>1096</v>
      </c>
      <c r="C585" s="1906"/>
      <c r="D585" s="1905"/>
      <c r="E585" s="1925">
        <v>403</v>
      </c>
      <c r="F585" s="1920"/>
      <c r="G585" s="1925">
        <v>500</v>
      </c>
      <c r="I585" s="1927"/>
    </row>
    <row r="586" spans="1:9" s="1901" customFormat="1" x14ac:dyDescent="0.25">
      <c r="A586" s="1941">
        <v>1500</v>
      </c>
      <c r="B586" s="1901" t="s">
        <v>2381</v>
      </c>
      <c r="C586" s="1906"/>
      <c r="D586" s="1905"/>
      <c r="E586" s="1925">
        <v>117914.99</v>
      </c>
      <c r="F586" s="1921"/>
      <c r="G586" s="1925">
        <v>129063</v>
      </c>
      <c r="I586" s="1927"/>
    </row>
    <row r="587" spans="1:9" s="1901" customFormat="1" x14ac:dyDescent="0.25">
      <c r="A587" s="1941" t="s">
        <v>3774</v>
      </c>
      <c r="B587" s="1901" t="s">
        <v>2382</v>
      </c>
      <c r="C587" s="1906"/>
      <c r="D587" s="1905"/>
      <c r="E587" s="1925">
        <v>28348</v>
      </c>
      <c r="F587" s="1920"/>
      <c r="G587" s="1925">
        <v>28348</v>
      </c>
      <c r="I587" s="1927"/>
    </row>
    <row r="588" spans="1:9" s="1901" customFormat="1" x14ac:dyDescent="0.25">
      <c r="A588" s="1941">
        <v>100</v>
      </c>
      <c r="B588" s="1901" t="s">
        <v>194</v>
      </c>
      <c r="C588" s="1906"/>
      <c r="D588" s="1906"/>
      <c r="E588" s="1925">
        <v>28348</v>
      </c>
      <c r="F588" s="1920"/>
      <c r="G588" s="1925">
        <v>28348</v>
      </c>
      <c r="I588" s="1927"/>
    </row>
    <row r="589" spans="1:9" s="1901" customFormat="1" x14ac:dyDescent="0.25">
      <c r="A589" s="1941" t="s">
        <v>3767</v>
      </c>
      <c r="B589" s="1901" t="s">
        <v>2383</v>
      </c>
      <c r="C589" s="1906"/>
      <c r="D589" s="1905"/>
      <c r="E589" s="1925">
        <v>2174.2600000000002</v>
      </c>
      <c r="F589" s="1920"/>
      <c r="G589" s="1925">
        <v>2820</v>
      </c>
      <c r="I589" s="1927"/>
    </row>
    <row r="590" spans="1:9" s="1901" customFormat="1" x14ac:dyDescent="0.25">
      <c r="A590" s="1941">
        <v>200</v>
      </c>
      <c r="B590" s="1901" t="s">
        <v>49</v>
      </c>
      <c r="C590" s="1906"/>
      <c r="D590" s="1905"/>
      <c r="E590" s="1925">
        <v>2174.2600000000002</v>
      </c>
      <c r="F590" s="1920"/>
      <c r="G590" s="1925">
        <v>2820</v>
      </c>
      <c r="I590" s="1927"/>
    </row>
    <row r="591" spans="1:9" s="1901" customFormat="1" x14ac:dyDescent="0.25">
      <c r="A591" s="1941" t="s">
        <v>3775</v>
      </c>
      <c r="B591" s="1901" t="s">
        <v>2384</v>
      </c>
      <c r="C591" s="1906"/>
      <c r="D591" s="1905"/>
      <c r="E591" s="1925">
        <v>8752.5</v>
      </c>
      <c r="F591" s="1920"/>
      <c r="G591" s="1925">
        <v>13000</v>
      </c>
      <c r="I591" s="1927"/>
    </row>
    <row r="592" spans="1:9" s="1901" customFormat="1" x14ac:dyDescent="0.25">
      <c r="A592" s="1941" t="s">
        <v>3776</v>
      </c>
      <c r="B592" s="1901" t="s">
        <v>2385</v>
      </c>
      <c r="C592" s="1906"/>
      <c r="D592" s="1905"/>
      <c r="E592" s="1925">
        <v>1171.01</v>
      </c>
      <c r="F592" s="1920"/>
      <c r="G592" s="1925">
        <v>1800</v>
      </c>
      <c r="I592" s="1927"/>
    </row>
    <row r="593" spans="1:9" s="1901" customFormat="1" x14ac:dyDescent="0.25">
      <c r="A593" s="1941">
        <v>300</v>
      </c>
      <c r="B593" s="1901" t="s">
        <v>1100</v>
      </c>
      <c r="C593" s="1906"/>
      <c r="D593" s="1905"/>
      <c r="E593" s="1925">
        <v>9923.51</v>
      </c>
      <c r="F593" s="1920"/>
      <c r="G593" s="1925">
        <v>14800</v>
      </c>
      <c r="I593" s="1927"/>
    </row>
    <row r="594" spans="1:9" s="1901" customFormat="1" x14ac:dyDescent="0.25">
      <c r="A594" s="1941" t="s">
        <v>3764</v>
      </c>
      <c r="B594" s="1901" t="s">
        <v>2386</v>
      </c>
      <c r="C594" s="1906"/>
      <c r="D594" s="1905"/>
      <c r="E594" s="1925">
        <v>2945.94</v>
      </c>
      <c r="F594" s="1920"/>
      <c r="G594" s="1925">
        <v>4000</v>
      </c>
      <c r="I594" s="1927"/>
    </row>
    <row r="595" spans="1:9" s="1901" customFormat="1" ht="12.75" x14ac:dyDescent="0.2">
      <c r="A595" s="1941" t="s">
        <v>3777</v>
      </c>
      <c r="B595" s="1901" t="s">
        <v>2387</v>
      </c>
      <c r="C595" s="1902"/>
      <c r="D595" s="1902"/>
      <c r="E595" s="1925">
        <v>4140.46</v>
      </c>
      <c r="F595" s="1920"/>
      <c r="G595" s="1925">
        <v>4145</v>
      </c>
      <c r="I595" s="1927"/>
    </row>
    <row r="596" spans="1:9" s="1901" customFormat="1" x14ac:dyDescent="0.25">
      <c r="A596" s="1941" t="s">
        <v>3778</v>
      </c>
      <c r="B596" s="1901" t="s">
        <v>2388</v>
      </c>
      <c r="C596" s="1906"/>
      <c r="D596" s="1906"/>
      <c r="E596" s="1925">
        <v>1536.25</v>
      </c>
      <c r="F596" s="1920"/>
      <c r="G596" s="1925">
        <v>2000</v>
      </c>
      <c r="I596" s="1927"/>
    </row>
    <row r="597" spans="1:9" s="1901" customFormat="1" ht="12.75" x14ac:dyDescent="0.2">
      <c r="A597" s="1941">
        <v>400</v>
      </c>
      <c r="B597" s="1901" t="s">
        <v>2256</v>
      </c>
      <c r="C597" s="1902"/>
      <c r="D597" s="1902"/>
      <c r="E597" s="1925">
        <v>8622.65</v>
      </c>
      <c r="F597" s="1920"/>
      <c r="G597" s="1925">
        <v>10145</v>
      </c>
      <c r="I597" s="1927"/>
    </row>
    <row r="598" spans="1:9" s="1901" customFormat="1" x14ac:dyDescent="0.25">
      <c r="A598" s="1941" t="s">
        <v>3765</v>
      </c>
      <c r="B598" s="1901" t="s">
        <v>2389</v>
      </c>
      <c r="C598" s="1906"/>
      <c r="D598" s="1906"/>
      <c r="E598" s="1925">
        <v>0</v>
      </c>
      <c r="F598" s="1920"/>
      <c r="G598" s="1925">
        <v>2000</v>
      </c>
      <c r="I598" s="1927"/>
    </row>
    <row r="599" spans="1:9" s="1901" customFormat="1" ht="12.75" x14ac:dyDescent="0.2">
      <c r="A599" s="1941">
        <v>500</v>
      </c>
      <c r="B599" s="1901" t="s">
        <v>1095</v>
      </c>
      <c r="C599" s="1902"/>
      <c r="D599" s="1902"/>
      <c r="E599" s="1925">
        <v>0</v>
      </c>
      <c r="F599" s="1920"/>
      <c r="G599" s="1925">
        <v>2000</v>
      </c>
      <c r="I599" s="1927"/>
    </row>
    <row r="600" spans="1:9" s="1901" customFormat="1" ht="12.75" x14ac:dyDescent="0.2">
      <c r="A600" s="1941" t="s">
        <v>3773</v>
      </c>
      <c r="B600" s="1901" t="s">
        <v>2390</v>
      </c>
      <c r="D600" s="1902"/>
      <c r="E600" s="1925">
        <v>2608.4899999999998</v>
      </c>
      <c r="F600" s="1920"/>
      <c r="G600" s="1925">
        <v>5000</v>
      </c>
      <c r="I600" s="1927"/>
    </row>
    <row r="601" spans="1:9" s="1901" customFormat="1" x14ac:dyDescent="0.25">
      <c r="A601" s="1941">
        <v>600</v>
      </c>
      <c r="B601" s="1901" t="s">
        <v>1096</v>
      </c>
      <c r="C601" s="1906"/>
      <c r="D601" s="1906"/>
      <c r="E601" s="1925">
        <v>2608.56</v>
      </c>
      <c r="F601" s="1917"/>
      <c r="G601" s="1925">
        <v>5000</v>
      </c>
      <c r="I601" s="1927"/>
    </row>
    <row r="602" spans="1:9" s="1901" customFormat="1" x14ac:dyDescent="0.25">
      <c r="A602" s="1941">
        <v>1500</v>
      </c>
      <c r="B602" s="1901" t="s">
        <v>2391</v>
      </c>
      <c r="C602" s="1906"/>
      <c r="D602" s="1906"/>
      <c r="E602" s="1925">
        <v>51676.98</v>
      </c>
      <c r="F602" s="1917"/>
      <c r="G602" s="1925">
        <v>63113</v>
      </c>
      <c r="I602" s="1927"/>
    </row>
    <row r="603" spans="1:9" s="1901" customFormat="1" ht="12.75" x14ac:dyDescent="0.2">
      <c r="A603" s="1941" t="s">
        <v>3779</v>
      </c>
      <c r="B603" s="1901" t="s">
        <v>2392</v>
      </c>
      <c r="C603" s="1902"/>
      <c r="D603" s="1902"/>
      <c r="E603" s="1925">
        <v>7745</v>
      </c>
      <c r="F603" s="1920"/>
      <c r="G603" s="1925">
        <v>7745</v>
      </c>
      <c r="I603" s="1927"/>
    </row>
    <row r="604" spans="1:9" s="1901" customFormat="1" x14ac:dyDescent="0.25">
      <c r="A604" s="1941">
        <v>100</v>
      </c>
      <c r="B604" s="1901" t="s">
        <v>194</v>
      </c>
      <c r="C604" s="1906"/>
      <c r="D604" s="1906"/>
      <c r="E604" s="1925">
        <v>7745</v>
      </c>
      <c r="F604" s="1916"/>
      <c r="G604" s="1925">
        <v>7745</v>
      </c>
      <c r="I604" s="1927"/>
    </row>
    <row r="605" spans="1:9" s="1901" customFormat="1" x14ac:dyDescent="0.25">
      <c r="A605" s="1941" t="s">
        <v>3767</v>
      </c>
      <c r="B605" s="1901" t="s">
        <v>2393</v>
      </c>
      <c r="C605" s="1906"/>
      <c r="D605" s="1906"/>
      <c r="E605" s="1925">
        <v>764.31</v>
      </c>
      <c r="F605" s="1917"/>
      <c r="G605" s="1925">
        <v>764</v>
      </c>
      <c r="I605" s="1927"/>
    </row>
    <row r="606" spans="1:9" s="1901" customFormat="1" x14ac:dyDescent="0.25">
      <c r="A606" s="1941">
        <v>200</v>
      </c>
      <c r="B606" s="1901" t="s">
        <v>49</v>
      </c>
      <c r="C606" s="1906"/>
      <c r="D606" s="1906"/>
      <c r="E606" s="1925">
        <v>764.31</v>
      </c>
      <c r="F606" s="1916"/>
      <c r="G606" s="1925">
        <v>764</v>
      </c>
      <c r="I606" s="1927"/>
    </row>
    <row r="607" spans="1:9" s="1901" customFormat="1" x14ac:dyDescent="0.25">
      <c r="A607" s="1941">
        <v>1560</v>
      </c>
      <c r="B607" s="1901" t="s">
        <v>2394</v>
      </c>
      <c r="C607" s="1905"/>
      <c r="D607" s="1905"/>
      <c r="E607" s="1925">
        <v>8509.31</v>
      </c>
      <c r="F607" s="1917"/>
      <c r="G607" s="1925">
        <v>8509</v>
      </c>
      <c r="I607" s="1927"/>
    </row>
    <row r="608" spans="1:9" s="1901" customFormat="1" x14ac:dyDescent="0.25">
      <c r="A608" s="1941">
        <v>1000</v>
      </c>
      <c r="B608" s="1901" t="s">
        <v>456</v>
      </c>
      <c r="C608" s="1906"/>
      <c r="D608" s="1906"/>
      <c r="E608" s="1925">
        <v>11605895.84</v>
      </c>
      <c r="F608" s="1916"/>
      <c r="G608" s="1925">
        <v>11991874.189999999</v>
      </c>
      <c r="I608" s="1927"/>
    </row>
    <row r="609" spans="1:9" s="1901" customFormat="1" x14ac:dyDescent="0.25">
      <c r="A609" s="1941" t="s">
        <v>3535</v>
      </c>
      <c r="B609" s="1901" t="s">
        <v>2395</v>
      </c>
      <c r="C609" s="1906"/>
      <c r="D609" s="1906"/>
      <c r="E609" s="1925">
        <v>36666.660000000003</v>
      </c>
      <c r="F609" s="1917"/>
      <c r="G609" s="1925">
        <v>36667</v>
      </c>
      <c r="I609" s="1927"/>
    </row>
    <row r="610" spans="1:9" s="1901" customFormat="1" x14ac:dyDescent="0.25">
      <c r="A610" s="1941" t="s">
        <v>3535</v>
      </c>
      <c r="B610" s="1901" t="s">
        <v>2396</v>
      </c>
      <c r="C610" s="1906"/>
      <c r="D610" s="1906"/>
      <c r="E610" s="1925">
        <v>50752.9</v>
      </c>
      <c r="F610" s="1917"/>
      <c r="G610" s="1925">
        <v>50676</v>
      </c>
      <c r="I610" s="1927"/>
    </row>
    <row r="611" spans="1:9" s="1901" customFormat="1" x14ac:dyDescent="0.25">
      <c r="A611" s="1941" t="s">
        <v>3535</v>
      </c>
      <c r="B611" s="1901" t="s">
        <v>2397</v>
      </c>
      <c r="C611" s="1906"/>
      <c r="D611" s="1906"/>
      <c r="E611" s="1925">
        <v>0</v>
      </c>
      <c r="F611" s="1917"/>
      <c r="G611" s="1925">
        <v>0</v>
      </c>
      <c r="I611" s="1927"/>
    </row>
    <row r="612" spans="1:9" s="1901" customFormat="1" x14ac:dyDescent="0.25">
      <c r="A612" s="1941">
        <v>100</v>
      </c>
      <c r="B612" s="1901" t="s">
        <v>194</v>
      </c>
      <c r="C612" s="1906"/>
      <c r="D612" s="1906"/>
      <c r="E612" s="1925">
        <v>87419.56</v>
      </c>
      <c r="F612" s="1916"/>
      <c r="G612" s="1925">
        <v>87343</v>
      </c>
      <c r="I612" s="1927"/>
    </row>
    <row r="613" spans="1:9" s="1901" customFormat="1" ht="12.75" x14ac:dyDescent="0.2">
      <c r="A613" s="1941" t="s">
        <v>3536</v>
      </c>
      <c r="B613" s="1901" t="s">
        <v>2398</v>
      </c>
      <c r="C613" s="1902"/>
      <c r="E613" s="1925">
        <v>5290.52</v>
      </c>
      <c r="F613" s="1920"/>
      <c r="G613" s="1925">
        <v>5769</v>
      </c>
      <c r="I613" s="1927"/>
    </row>
    <row r="614" spans="1:9" s="1901" customFormat="1" x14ac:dyDescent="0.25">
      <c r="A614" s="1941" t="s">
        <v>3536</v>
      </c>
      <c r="B614" s="1901" t="s">
        <v>2399</v>
      </c>
      <c r="C614" s="1906"/>
      <c r="D614" s="1906"/>
      <c r="E614" s="1925">
        <v>7314.24</v>
      </c>
      <c r="F614" s="1917"/>
      <c r="G614" s="1925">
        <v>7309</v>
      </c>
      <c r="I614" s="1927"/>
    </row>
    <row r="615" spans="1:9" s="1901" customFormat="1" ht="12.75" x14ac:dyDescent="0.2">
      <c r="A615" s="1941" t="s">
        <v>3536</v>
      </c>
      <c r="B615" s="1901" t="s">
        <v>2400</v>
      </c>
      <c r="C615" s="1902"/>
      <c r="E615" s="1925">
        <v>0</v>
      </c>
      <c r="F615" s="1920"/>
      <c r="G615" s="1925">
        <v>0</v>
      </c>
      <c r="I615" s="1927"/>
    </row>
    <row r="616" spans="1:9" s="1901" customFormat="1" x14ac:dyDescent="0.25">
      <c r="A616" s="1941" t="s">
        <v>3537</v>
      </c>
      <c r="B616" s="1901" t="s">
        <v>2401</v>
      </c>
      <c r="C616" s="1906"/>
      <c r="D616" s="1906"/>
      <c r="E616" s="1925">
        <v>0</v>
      </c>
      <c r="F616" s="1917"/>
      <c r="G616" s="1925">
        <v>0</v>
      </c>
      <c r="I616" s="1927"/>
    </row>
    <row r="617" spans="1:9" s="1901" customFormat="1" x14ac:dyDescent="0.25">
      <c r="A617" s="1941" t="s">
        <v>3537</v>
      </c>
      <c r="B617" s="1901" t="s">
        <v>2402</v>
      </c>
      <c r="C617" s="1905"/>
      <c r="D617" s="1906"/>
      <c r="E617" s="1925">
        <v>24893.71</v>
      </c>
      <c r="F617" s="1917"/>
      <c r="G617" s="1925">
        <v>24894</v>
      </c>
      <c r="I617" s="1927"/>
    </row>
    <row r="618" spans="1:9" s="1901" customFormat="1" x14ac:dyDescent="0.25">
      <c r="A618" s="1941" t="s">
        <v>3537</v>
      </c>
      <c r="B618" s="1901" t="s">
        <v>2403</v>
      </c>
      <c r="C618" s="1906"/>
      <c r="D618" s="1906"/>
      <c r="E618" s="1925">
        <v>0</v>
      </c>
      <c r="F618" s="1917"/>
      <c r="G618" s="1925">
        <v>0</v>
      </c>
      <c r="I618" s="1927"/>
    </row>
    <row r="619" spans="1:9" s="1901" customFormat="1" x14ac:dyDescent="0.25">
      <c r="A619" s="1941" t="s">
        <v>3538</v>
      </c>
      <c r="B619" s="1901" t="s">
        <v>2404</v>
      </c>
      <c r="C619" s="1905"/>
      <c r="D619" s="1906"/>
      <c r="E619" s="1925">
        <v>53.9</v>
      </c>
      <c r="F619" s="1917"/>
      <c r="G619" s="1925">
        <v>59</v>
      </c>
      <c r="I619" s="1927"/>
    </row>
    <row r="620" spans="1:9" s="1901" customFormat="1" ht="12.75" x14ac:dyDescent="0.2">
      <c r="A620" s="1941" t="s">
        <v>3538</v>
      </c>
      <c r="B620" s="1901" t="s">
        <v>2405</v>
      </c>
      <c r="C620" s="1902"/>
      <c r="D620" s="1902"/>
      <c r="E620" s="1925">
        <v>248.88</v>
      </c>
      <c r="F620" s="1920"/>
      <c r="G620" s="1925">
        <v>543</v>
      </c>
      <c r="I620" s="1927"/>
    </row>
    <row r="621" spans="1:9" s="1901" customFormat="1" x14ac:dyDescent="0.25">
      <c r="A621" s="1941" t="s">
        <v>3538</v>
      </c>
      <c r="B621" s="1901" t="s">
        <v>2406</v>
      </c>
      <c r="C621" s="1906"/>
      <c r="D621" s="1906"/>
      <c r="E621" s="1925">
        <v>0</v>
      </c>
      <c r="F621" s="1920"/>
      <c r="G621" s="1925">
        <v>0</v>
      </c>
      <c r="I621" s="1927"/>
    </row>
    <row r="622" spans="1:9" s="1901" customFormat="1" ht="12.75" x14ac:dyDescent="0.2">
      <c r="A622" s="1941">
        <v>200</v>
      </c>
      <c r="B622" s="1901" t="s">
        <v>49</v>
      </c>
      <c r="C622" s="1902"/>
      <c r="D622" s="1902"/>
      <c r="E622" s="1925">
        <v>37801.25</v>
      </c>
      <c r="F622" s="1920"/>
      <c r="G622" s="1925">
        <v>38574</v>
      </c>
      <c r="I622" s="1927"/>
    </row>
    <row r="623" spans="1:9" s="1901" customFormat="1" x14ac:dyDescent="0.25">
      <c r="A623" s="1941" t="s">
        <v>3539</v>
      </c>
      <c r="B623" s="1901" t="s">
        <v>2407</v>
      </c>
      <c r="C623" s="1905"/>
      <c r="D623" s="1905"/>
      <c r="E623" s="1925">
        <v>4447.55</v>
      </c>
      <c r="F623" s="1920"/>
      <c r="G623" s="1925">
        <v>4500</v>
      </c>
      <c r="I623" s="1927"/>
    </row>
    <row r="624" spans="1:9" s="1901" customFormat="1" x14ac:dyDescent="0.25">
      <c r="A624" s="1941">
        <v>400</v>
      </c>
      <c r="B624" s="1901" t="s">
        <v>2256</v>
      </c>
      <c r="C624" s="1906"/>
      <c r="D624" s="1905"/>
      <c r="E624" s="1925">
        <v>4447.55</v>
      </c>
      <c r="F624" s="1920"/>
      <c r="G624" s="1925">
        <v>4500</v>
      </c>
      <c r="I624" s="1927"/>
    </row>
    <row r="625" spans="1:9" s="1901" customFormat="1" x14ac:dyDescent="0.25">
      <c r="A625" s="1941">
        <v>2112</v>
      </c>
      <c r="B625" s="1901" t="s">
        <v>2408</v>
      </c>
      <c r="C625" s="1906"/>
      <c r="D625" s="1905"/>
      <c r="E625" s="1925">
        <v>129668.36</v>
      </c>
      <c r="F625" s="1920"/>
      <c r="G625" s="1925">
        <v>130417</v>
      </c>
      <c r="I625" s="1927"/>
    </row>
    <row r="626" spans="1:9" s="1901" customFormat="1" x14ac:dyDescent="0.25">
      <c r="A626" s="1941" t="s">
        <v>3585</v>
      </c>
      <c r="B626" s="1901" t="s">
        <v>2409</v>
      </c>
      <c r="C626" s="1906"/>
      <c r="D626" s="1905"/>
      <c r="E626" s="1925">
        <v>103741.6</v>
      </c>
      <c r="F626" s="1920"/>
      <c r="G626" s="1925">
        <v>103742</v>
      </c>
      <c r="I626" s="1927"/>
    </row>
    <row r="627" spans="1:9" x14ac:dyDescent="0.25">
      <c r="A627" s="1941" t="s">
        <v>3586</v>
      </c>
      <c r="B627" s="1901" t="s">
        <v>2410</v>
      </c>
      <c r="C627" s="1905"/>
      <c r="D627" s="1905"/>
      <c r="E627" s="1925">
        <v>9000</v>
      </c>
      <c r="F627" s="1920"/>
      <c r="G627" s="1925">
        <v>9000</v>
      </c>
      <c r="I627" s="1927"/>
    </row>
    <row r="628" spans="1:9" x14ac:dyDescent="0.25">
      <c r="A628" s="1941">
        <v>100</v>
      </c>
      <c r="B628" s="1901" t="s">
        <v>194</v>
      </c>
      <c r="C628" s="1905"/>
      <c r="D628" s="1905"/>
      <c r="E628" s="1925">
        <v>112741.6</v>
      </c>
      <c r="F628" s="1920"/>
      <c r="G628" s="1925">
        <v>112742</v>
      </c>
      <c r="I628" s="1927"/>
    </row>
    <row r="629" spans="1:9" x14ac:dyDescent="0.25">
      <c r="A629" s="1941" t="s">
        <v>3587</v>
      </c>
      <c r="B629" s="1901" t="s">
        <v>2411</v>
      </c>
      <c r="C629" s="1905"/>
      <c r="D629" s="1905"/>
      <c r="E629" s="1925">
        <v>10835.59</v>
      </c>
      <c r="F629" s="1920"/>
      <c r="G629" s="1925">
        <v>10835</v>
      </c>
      <c r="I629" s="1927"/>
    </row>
    <row r="630" spans="1:9" x14ac:dyDescent="0.25">
      <c r="A630" s="1941" t="s">
        <v>3588</v>
      </c>
      <c r="B630" s="1901" t="s">
        <v>2412</v>
      </c>
      <c r="C630" s="1905"/>
      <c r="D630" s="1905"/>
      <c r="E630" s="1925">
        <v>19028.8</v>
      </c>
      <c r="F630" s="1920"/>
      <c r="G630" s="1925">
        <v>19028</v>
      </c>
      <c r="I630" s="1927"/>
    </row>
    <row r="631" spans="1:9" x14ac:dyDescent="0.25">
      <c r="A631" s="1941" t="s">
        <v>3589</v>
      </c>
      <c r="B631" s="1901" t="s">
        <v>2413</v>
      </c>
      <c r="C631" s="1906"/>
      <c r="D631" s="1905"/>
      <c r="E631" s="1925">
        <v>137.19999999999999</v>
      </c>
      <c r="G631" s="1925">
        <v>138</v>
      </c>
      <c r="I631" s="1927"/>
    </row>
    <row r="632" spans="1:9" x14ac:dyDescent="0.25">
      <c r="A632" s="1941">
        <v>200</v>
      </c>
      <c r="B632" s="1901" t="s">
        <v>49</v>
      </c>
      <c r="C632" s="1905"/>
      <c r="D632" s="1905"/>
      <c r="E632" s="1925">
        <v>30001.59</v>
      </c>
      <c r="F632" s="1921"/>
      <c r="G632" s="1925">
        <v>30001</v>
      </c>
      <c r="I632" s="1927"/>
    </row>
    <row r="633" spans="1:9" x14ac:dyDescent="0.25">
      <c r="A633" s="1941" t="s">
        <v>3590</v>
      </c>
      <c r="B633" s="1901" t="s">
        <v>2414</v>
      </c>
      <c r="C633" s="1906"/>
      <c r="D633" s="1905"/>
      <c r="E633" s="1925">
        <v>87561.75</v>
      </c>
      <c r="F633" s="1921"/>
      <c r="G633" s="1925">
        <v>87562</v>
      </c>
      <c r="I633" s="1927"/>
    </row>
    <row r="634" spans="1:9" x14ac:dyDescent="0.25">
      <c r="A634" s="1941">
        <v>300</v>
      </c>
      <c r="B634" s="1901" t="s">
        <v>1100</v>
      </c>
      <c r="C634" s="1906"/>
      <c r="D634" s="1905"/>
      <c r="E634" s="1925">
        <v>87561.75</v>
      </c>
      <c r="F634" s="1920"/>
      <c r="G634" s="1925">
        <v>87562</v>
      </c>
      <c r="I634" s="1927"/>
    </row>
    <row r="635" spans="1:9" x14ac:dyDescent="0.25">
      <c r="A635" s="1941" t="s">
        <v>3591</v>
      </c>
      <c r="B635" s="1901" t="s">
        <v>2415</v>
      </c>
      <c r="C635" s="1905"/>
      <c r="D635" s="1905"/>
      <c r="E635" s="1925">
        <v>0</v>
      </c>
      <c r="F635" s="1920"/>
      <c r="G635" s="1925">
        <v>100</v>
      </c>
      <c r="I635" s="1927"/>
    </row>
    <row r="636" spans="1:9" x14ac:dyDescent="0.25">
      <c r="A636" s="1941">
        <v>400</v>
      </c>
      <c r="B636" s="1901" t="s">
        <v>2256</v>
      </c>
      <c r="C636" s="1906"/>
      <c r="D636" s="1905"/>
      <c r="E636" s="1925">
        <v>0</v>
      </c>
      <c r="F636" s="1920"/>
      <c r="G636" s="1925">
        <v>100</v>
      </c>
      <c r="I636" s="1927"/>
    </row>
    <row r="637" spans="1:9" x14ac:dyDescent="0.25">
      <c r="A637" s="1941">
        <v>2113</v>
      </c>
      <c r="B637" s="1901" t="s">
        <v>2416</v>
      </c>
      <c r="C637" s="1905"/>
      <c r="D637" s="1905"/>
      <c r="E637" s="1925">
        <v>230304.94</v>
      </c>
      <c r="F637" s="1920"/>
      <c r="G637" s="1925">
        <v>230405</v>
      </c>
      <c r="I637" s="1927"/>
    </row>
    <row r="638" spans="1:9" x14ac:dyDescent="0.25">
      <c r="A638" s="1941" t="s">
        <v>3752</v>
      </c>
      <c r="B638" s="1901" t="s">
        <v>2417</v>
      </c>
      <c r="C638" s="1906"/>
      <c r="D638" s="1905"/>
      <c r="E638" s="1925">
        <v>81756</v>
      </c>
      <c r="F638" s="1920"/>
      <c r="G638" s="1925">
        <v>81755</v>
      </c>
      <c r="I638" s="1927"/>
    </row>
    <row r="639" spans="1:9" x14ac:dyDescent="0.25">
      <c r="A639" s="1941">
        <v>100</v>
      </c>
      <c r="B639" s="1901" t="s">
        <v>194</v>
      </c>
      <c r="C639" s="1906"/>
      <c r="D639" s="1905"/>
      <c r="E639" s="1925">
        <v>81756</v>
      </c>
      <c r="F639" s="1920"/>
      <c r="G639" s="1925">
        <v>81755</v>
      </c>
      <c r="I639" s="1927"/>
    </row>
    <row r="640" spans="1:9" x14ac:dyDescent="0.25">
      <c r="A640" s="1941" t="s">
        <v>3753</v>
      </c>
      <c r="B640" s="1901" t="s">
        <v>2418</v>
      </c>
      <c r="C640" s="1906"/>
      <c r="D640" s="1905"/>
      <c r="E640" s="1925">
        <v>9936.75</v>
      </c>
      <c r="F640" s="1920"/>
      <c r="G640" s="1925">
        <v>9892</v>
      </c>
      <c r="I640" s="1927"/>
    </row>
    <row r="641" spans="1:9" x14ac:dyDescent="0.25">
      <c r="A641" s="1941" t="s">
        <v>3754</v>
      </c>
      <c r="B641" s="1901" t="s">
        <v>2419</v>
      </c>
      <c r="C641" s="1906"/>
      <c r="D641" s="1905"/>
      <c r="E641" s="1925">
        <v>24893.71</v>
      </c>
      <c r="F641" s="1920"/>
      <c r="G641" s="1925">
        <v>24894</v>
      </c>
      <c r="I641" s="1927"/>
    </row>
    <row r="642" spans="1:9" x14ac:dyDescent="0.25">
      <c r="A642" s="1941" t="s">
        <v>3755</v>
      </c>
      <c r="B642" s="1901" t="s">
        <v>2420</v>
      </c>
      <c r="C642" s="1906"/>
      <c r="D642" s="1905"/>
      <c r="E642" s="1925">
        <v>542.88</v>
      </c>
      <c r="F642" s="1920"/>
      <c r="G642" s="1925">
        <v>543</v>
      </c>
      <c r="I642" s="1927"/>
    </row>
    <row r="643" spans="1:9" x14ac:dyDescent="0.25">
      <c r="A643" s="1941" t="s">
        <v>3756</v>
      </c>
      <c r="B643" s="1901" t="s">
        <v>2421</v>
      </c>
      <c r="C643" s="1906"/>
      <c r="D643" s="1905"/>
      <c r="E643" s="1925">
        <v>499.92</v>
      </c>
      <c r="F643" s="1920"/>
      <c r="G643" s="1925">
        <v>500</v>
      </c>
      <c r="I643" s="1927"/>
    </row>
    <row r="644" spans="1:9" x14ac:dyDescent="0.25">
      <c r="A644" s="1941">
        <v>200</v>
      </c>
      <c r="B644" s="1901" t="s">
        <v>49</v>
      </c>
      <c r="C644" s="1905"/>
      <c r="D644" s="1905"/>
      <c r="E644" s="1925">
        <v>35873.26</v>
      </c>
      <c r="F644" s="1920"/>
      <c r="G644" s="1925">
        <v>35829</v>
      </c>
      <c r="I644" s="1927"/>
    </row>
    <row r="645" spans="1:9" x14ac:dyDescent="0.25">
      <c r="A645" s="1941">
        <v>2119</v>
      </c>
      <c r="B645" s="1901" t="s">
        <v>2422</v>
      </c>
      <c r="C645" s="1905"/>
      <c r="D645" s="1905"/>
      <c r="E645" s="1925">
        <v>117629.26</v>
      </c>
      <c r="F645" s="1920"/>
      <c r="G645" s="1925">
        <v>117584</v>
      </c>
      <c r="I645" s="1927"/>
    </row>
    <row r="646" spans="1:9" x14ac:dyDescent="0.25">
      <c r="A646" s="1941" t="s">
        <v>3400</v>
      </c>
      <c r="B646" s="1901" t="s">
        <v>2423</v>
      </c>
      <c r="C646" s="1906"/>
      <c r="D646" s="1905"/>
      <c r="E646" s="1925">
        <v>68896.52</v>
      </c>
      <c r="F646" s="1920"/>
      <c r="G646" s="1925">
        <v>68897</v>
      </c>
      <c r="I646" s="1927"/>
    </row>
    <row r="647" spans="1:9" x14ac:dyDescent="0.25">
      <c r="A647" s="1941" t="s">
        <v>3400</v>
      </c>
      <c r="B647" s="1901" t="s">
        <v>2424</v>
      </c>
      <c r="C647" s="1906"/>
      <c r="D647" s="1905"/>
      <c r="E647" s="1925">
        <v>77022.179999999993</v>
      </c>
      <c r="F647" s="1920"/>
      <c r="G647" s="1925">
        <v>77022</v>
      </c>
      <c r="I647" s="1927"/>
    </row>
    <row r="648" spans="1:9" x14ac:dyDescent="0.25">
      <c r="A648" s="1941">
        <v>100</v>
      </c>
      <c r="B648" s="1901" t="s">
        <v>194</v>
      </c>
      <c r="C648" s="1906"/>
      <c r="D648" s="1905"/>
      <c r="E648" s="1925">
        <v>145918.70000000001</v>
      </c>
      <c r="F648" s="1920"/>
      <c r="G648" s="1925">
        <v>145919</v>
      </c>
      <c r="I648" s="1927"/>
    </row>
    <row r="649" spans="1:9" x14ac:dyDescent="0.25">
      <c r="A649" s="1941" t="s">
        <v>3401</v>
      </c>
      <c r="B649" s="1901" t="s">
        <v>2425</v>
      </c>
      <c r="C649" s="1906"/>
      <c r="D649" s="1905"/>
      <c r="E649" s="1925">
        <v>8015.6</v>
      </c>
      <c r="F649" s="1920"/>
      <c r="G649" s="1925">
        <v>8436</v>
      </c>
      <c r="I649" s="1927"/>
    </row>
    <row r="650" spans="1:9" x14ac:dyDescent="0.25">
      <c r="A650" s="1941" t="s">
        <v>3401</v>
      </c>
      <c r="B650" s="1901" t="s">
        <v>2426</v>
      </c>
      <c r="C650" s="1906"/>
      <c r="D650" s="1905"/>
      <c r="E650" s="1925">
        <v>8975</v>
      </c>
      <c r="F650" s="1920"/>
      <c r="G650" s="1925">
        <v>8896</v>
      </c>
      <c r="I650" s="1927"/>
    </row>
    <row r="651" spans="1:9" x14ac:dyDescent="0.25">
      <c r="A651" s="1941" t="s">
        <v>3402</v>
      </c>
      <c r="B651" s="1901" t="s">
        <v>2427</v>
      </c>
      <c r="C651" s="1906"/>
      <c r="D651" s="1905"/>
      <c r="E651" s="1925">
        <v>8155.2</v>
      </c>
      <c r="F651" s="1920"/>
      <c r="G651" s="1925">
        <v>8155</v>
      </c>
      <c r="I651" s="1927"/>
    </row>
    <row r="652" spans="1:9" x14ac:dyDescent="0.25">
      <c r="A652" s="1941" t="s">
        <v>3402</v>
      </c>
      <c r="B652" s="1901" t="s">
        <v>2428</v>
      </c>
      <c r="C652" s="1906"/>
      <c r="D652" s="1905"/>
      <c r="E652" s="1925">
        <v>8155.2</v>
      </c>
      <c r="F652" s="1920"/>
      <c r="G652" s="1925">
        <v>8155</v>
      </c>
      <c r="I652" s="1927"/>
    </row>
    <row r="653" spans="1:9" x14ac:dyDescent="0.25">
      <c r="A653" s="1941" t="s">
        <v>3403</v>
      </c>
      <c r="B653" s="1901" t="s">
        <v>2429</v>
      </c>
      <c r="C653" s="1906"/>
      <c r="D653" s="1905"/>
      <c r="E653" s="1925">
        <v>58.8</v>
      </c>
      <c r="F653" s="1920"/>
      <c r="G653" s="1925">
        <v>59</v>
      </c>
      <c r="I653" s="1927"/>
    </row>
    <row r="654" spans="1:9" x14ac:dyDescent="0.25">
      <c r="A654" s="1941" t="s">
        <v>3403</v>
      </c>
      <c r="B654" s="1901" t="s">
        <v>2430</v>
      </c>
      <c r="C654" s="1905"/>
      <c r="D654" s="1905"/>
      <c r="E654" s="1925">
        <v>58.8</v>
      </c>
      <c r="F654" s="1920"/>
      <c r="G654" s="1925">
        <v>59</v>
      </c>
      <c r="I654" s="1927"/>
    </row>
    <row r="655" spans="1:9" x14ac:dyDescent="0.25">
      <c r="A655" s="1941">
        <v>200</v>
      </c>
      <c r="B655" s="1901" t="s">
        <v>49</v>
      </c>
      <c r="C655" s="1905"/>
      <c r="D655" s="1905"/>
      <c r="E655" s="1925">
        <v>33418.6</v>
      </c>
      <c r="F655" s="1920"/>
      <c r="G655" s="1925">
        <v>33760</v>
      </c>
      <c r="I655" s="1927"/>
    </row>
    <row r="656" spans="1:9" x14ac:dyDescent="0.25">
      <c r="A656" s="1941">
        <v>2121</v>
      </c>
      <c r="B656" s="1901" t="s">
        <v>2431</v>
      </c>
      <c r="C656" s="1906"/>
      <c r="D656" s="1905"/>
      <c r="E656" s="1925">
        <v>179337.3</v>
      </c>
      <c r="F656" s="1920"/>
      <c r="G656" s="1925">
        <v>179679</v>
      </c>
      <c r="I656" s="1927"/>
    </row>
    <row r="657" spans="1:9" x14ac:dyDescent="0.25">
      <c r="A657" s="1941" t="s">
        <v>3540</v>
      </c>
      <c r="B657" s="1901" t="s">
        <v>2432</v>
      </c>
      <c r="C657" s="1905"/>
      <c r="D657" s="1905"/>
      <c r="E657" s="1925">
        <v>0.2</v>
      </c>
      <c r="F657" s="1920"/>
      <c r="G657" s="1925">
        <v>20256</v>
      </c>
      <c r="I657" s="1927"/>
    </row>
    <row r="658" spans="1:9" x14ac:dyDescent="0.25">
      <c r="A658" s="1941" t="s">
        <v>3540</v>
      </c>
      <c r="B658" s="1901" t="s">
        <v>2432</v>
      </c>
      <c r="C658" s="1906"/>
      <c r="D658" s="1905"/>
      <c r="E658" s="1925">
        <v>0</v>
      </c>
      <c r="F658" s="1920"/>
      <c r="G658" s="1925">
        <v>16142</v>
      </c>
      <c r="I658" s="1927"/>
    </row>
    <row r="659" spans="1:9" x14ac:dyDescent="0.25">
      <c r="A659" s="1941" t="s">
        <v>3540</v>
      </c>
      <c r="B659" s="1901" t="s">
        <v>2432</v>
      </c>
      <c r="C659" s="1905"/>
      <c r="D659" s="1905"/>
      <c r="E659" s="1925">
        <v>0</v>
      </c>
      <c r="F659" s="1920"/>
      <c r="G659" s="1925">
        <v>0</v>
      </c>
      <c r="I659" s="1927"/>
    </row>
    <row r="660" spans="1:9" x14ac:dyDescent="0.25">
      <c r="A660" s="1941">
        <v>100</v>
      </c>
      <c r="B660" s="1901" t="s">
        <v>194</v>
      </c>
      <c r="C660" s="1906"/>
      <c r="D660" s="1905"/>
      <c r="E660" s="1925">
        <v>0.2</v>
      </c>
      <c r="F660" s="1920"/>
      <c r="G660" s="1925">
        <v>36398</v>
      </c>
      <c r="I660" s="1927"/>
    </row>
    <row r="661" spans="1:9" x14ac:dyDescent="0.25">
      <c r="A661" s="1941" t="s">
        <v>3541</v>
      </c>
      <c r="B661" s="1901" t="s">
        <v>2433</v>
      </c>
      <c r="C661" s="1905"/>
      <c r="D661" s="1905"/>
      <c r="E661" s="1925">
        <v>0</v>
      </c>
      <c r="F661" s="1920"/>
      <c r="G661" s="1925">
        <v>0</v>
      </c>
      <c r="I661" s="1927"/>
    </row>
    <row r="662" spans="1:9" x14ac:dyDescent="0.25">
      <c r="A662" s="1941" t="s">
        <v>3541</v>
      </c>
      <c r="B662" s="1901" t="s">
        <v>2434</v>
      </c>
      <c r="C662" s="1906"/>
      <c r="D662" s="1905"/>
      <c r="E662" s="1925">
        <v>0</v>
      </c>
      <c r="F662" s="1920"/>
      <c r="G662" s="1925">
        <v>0</v>
      </c>
      <c r="I662" s="1927"/>
    </row>
    <row r="663" spans="1:9" x14ac:dyDescent="0.25">
      <c r="A663" s="1941" t="s">
        <v>3542</v>
      </c>
      <c r="B663" s="1901" t="s">
        <v>2435</v>
      </c>
      <c r="C663" s="1906"/>
      <c r="D663" s="1905"/>
      <c r="E663" s="1925">
        <v>0</v>
      </c>
      <c r="F663" s="1920"/>
      <c r="G663" s="1925">
        <v>59</v>
      </c>
      <c r="I663" s="1927"/>
    </row>
    <row r="664" spans="1:9" x14ac:dyDescent="0.25">
      <c r="A664" s="1941" t="s">
        <v>3542</v>
      </c>
      <c r="B664" s="1901" t="s">
        <v>2435</v>
      </c>
      <c r="C664" s="1905"/>
      <c r="D664" s="1905"/>
      <c r="E664" s="1925">
        <v>0</v>
      </c>
      <c r="F664" s="1920"/>
      <c r="G664" s="1925">
        <v>59</v>
      </c>
      <c r="I664" s="1927"/>
    </row>
    <row r="665" spans="1:9" x14ac:dyDescent="0.25">
      <c r="A665" s="1941" t="s">
        <v>3542</v>
      </c>
      <c r="B665" s="1901" t="s">
        <v>2435</v>
      </c>
      <c r="C665" s="1905"/>
      <c r="D665" s="1905"/>
      <c r="E665" s="1925">
        <v>0</v>
      </c>
      <c r="F665" s="1920"/>
      <c r="G665" s="1925">
        <v>0</v>
      </c>
      <c r="I665" s="1927"/>
    </row>
    <row r="666" spans="1:9" x14ac:dyDescent="0.25">
      <c r="A666" s="1941">
        <v>200</v>
      </c>
      <c r="B666" s="1901" t="s">
        <v>49</v>
      </c>
      <c r="C666" s="1906"/>
      <c r="D666" s="1905"/>
      <c r="E666" s="1925">
        <v>0</v>
      </c>
      <c r="F666" s="1920"/>
      <c r="G666" s="1925">
        <v>118</v>
      </c>
      <c r="I666" s="1927"/>
    </row>
    <row r="667" spans="1:9" x14ac:dyDescent="0.25">
      <c r="A667" s="1941">
        <v>2132</v>
      </c>
      <c r="B667" s="1901" t="s">
        <v>2436</v>
      </c>
      <c r="C667" s="1905"/>
      <c r="D667" s="1905"/>
      <c r="E667" s="1925">
        <v>0.2</v>
      </c>
      <c r="F667" s="1920"/>
      <c r="G667" s="1925">
        <v>36516</v>
      </c>
      <c r="I667" s="1927"/>
    </row>
    <row r="668" spans="1:9" x14ac:dyDescent="0.25">
      <c r="A668" s="1941" t="s">
        <v>3608</v>
      </c>
      <c r="B668" s="1901" t="s">
        <v>2437</v>
      </c>
      <c r="C668" s="1906"/>
      <c r="D668" s="1905"/>
      <c r="E668" s="1925">
        <v>118755.71</v>
      </c>
      <c r="F668" s="1920"/>
      <c r="G668" s="1925">
        <v>92059</v>
      </c>
      <c r="I668" s="1927"/>
    </row>
    <row r="669" spans="1:9" x14ac:dyDescent="0.25">
      <c r="A669" s="1941" t="s">
        <v>3608</v>
      </c>
      <c r="B669" s="1901" t="s">
        <v>2438</v>
      </c>
      <c r="C669" s="1906"/>
      <c r="D669" s="1905"/>
      <c r="E669" s="1925">
        <v>0</v>
      </c>
      <c r="F669" s="1920"/>
      <c r="G669" s="1925">
        <v>0</v>
      </c>
      <c r="I669" s="1927"/>
    </row>
    <row r="670" spans="1:9" x14ac:dyDescent="0.25">
      <c r="A670" s="1941">
        <v>100</v>
      </c>
      <c r="B670" s="1901" t="s">
        <v>194</v>
      </c>
      <c r="C670" s="1906"/>
      <c r="D670" s="1905"/>
      <c r="E670" s="1925">
        <v>118755.71</v>
      </c>
      <c r="F670" s="1920"/>
      <c r="G670" s="1925">
        <v>92059</v>
      </c>
      <c r="I670" s="1927"/>
    </row>
    <row r="671" spans="1:9" x14ac:dyDescent="0.25">
      <c r="A671" s="1941" t="s">
        <v>3609</v>
      </c>
      <c r="B671" s="1901" t="s">
        <v>2439</v>
      </c>
      <c r="C671" s="1906"/>
      <c r="D671" s="1905"/>
      <c r="E671" s="1925">
        <v>0</v>
      </c>
      <c r="F671" s="1920"/>
      <c r="G671" s="1925">
        <v>0</v>
      </c>
      <c r="I671" s="1927"/>
    </row>
    <row r="672" spans="1:9" x14ac:dyDescent="0.25">
      <c r="A672" s="1941" t="s">
        <v>3609</v>
      </c>
      <c r="B672" s="1901" t="s">
        <v>2440</v>
      </c>
      <c r="C672" s="1906"/>
      <c r="D672" s="1905"/>
      <c r="E672" s="1925">
        <v>23106.400000000001</v>
      </c>
      <c r="F672" s="1920"/>
      <c r="G672" s="1925">
        <v>16310</v>
      </c>
      <c r="I672" s="1927"/>
    </row>
    <row r="673" spans="1:9" x14ac:dyDescent="0.25">
      <c r="A673" s="1941" t="s">
        <v>3610</v>
      </c>
      <c r="B673" s="1901" t="s">
        <v>2441</v>
      </c>
      <c r="C673" s="1906"/>
      <c r="D673" s="1905"/>
      <c r="E673" s="1925">
        <v>0</v>
      </c>
      <c r="F673" s="1920"/>
      <c r="G673" s="1925">
        <v>0</v>
      </c>
      <c r="I673" s="1927"/>
    </row>
    <row r="674" spans="1:9" x14ac:dyDescent="0.25">
      <c r="A674" s="1941" t="s">
        <v>3610</v>
      </c>
      <c r="B674" s="1901" t="s">
        <v>2442</v>
      </c>
      <c r="C674" s="1905"/>
      <c r="D674" s="1905"/>
      <c r="E674" s="1925">
        <v>279.18</v>
      </c>
      <c r="F674" s="1920"/>
      <c r="G674" s="1925">
        <v>176</v>
      </c>
      <c r="I674" s="1927"/>
    </row>
    <row r="675" spans="1:9" x14ac:dyDescent="0.25">
      <c r="A675" s="1941">
        <v>200</v>
      </c>
      <c r="B675" s="1901" t="s">
        <v>49</v>
      </c>
      <c r="C675" s="1906"/>
      <c r="D675" s="1905"/>
      <c r="E675" s="1925">
        <v>23385.58</v>
      </c>
      <c r="F675" s="1920"/>
      <c r="G675" s="1925">
        <v>16486</v>
      </c>
      <c r="I675" s="1927"/>
    </row>
    <row r="676" spans="1:9" x14ac:dyDescent="0.25">
      <c r="A676" s="1941" t="s">
        <v>3611</v>
      </c>
      <c r="B676" s="1901" t="s">
        <v>2443</v>
      </c>
      <c r="C676" s="1906"/>
      <c r="D676" s="1905"/>
      <c r="E676" s="1925">
        <v>3076.19</v>
      </c>
      <c r="F676" s="1920"/>
      <c r="G676" s="1925">
        <v>3500</v>
      </c>
      <c r="I676" s="1927"/>
    </row>
    <row r="677" spans="1:9" x14ac:dyDescent="0.25">
      <c r="A677" s="1941">
        <v>400</v>
      </c>
      <c r="B677" s="1901" t="s">
        <v>2256</v>
      </c>
      <c r="C677" s="1905"/>
      <c r="D677" s="1905"/>
      <c r="E677" s="1925">
        <v>3076.19</v>
      </c>
      <c r="F677" s="1920"/>
      <c r="G677" s="1925">
        <v>3500</v>
      </c>
      <c r="I677" s="1927"/>
    </row>
    <row r="678" spans="1:9" x14ac:dyDescent="0.25">
      <c r="A678" s="1941" t="s">
        <v>3612</v>
      </c>
      <c r="B678" s="1901" t="s">
        <v>2444</v>
      </c>
      <c r="C678" s="1905"/>
      <c r="D678" s="1905"/>
      <c r="E678" s="1925">
        <v>0</v>
      </c>
      <c r="F678" s="1920"/>
      <c r="G678" s="1925">
        <v>500</v>
      </c>
      <c r="I678" s="1927"/>
    </row>
    <row r="679" spans="1:9" x14ac:dyDescent="0.25">
      <c r="A679" s="1941">
        <v>500</v>
      </c>
      <c r="B679" s="1901" t="s">
        <v>1095</v>
      </c>
      <c r="C679" s="1906"/>
      <c r="D679" s="1905"/>
      <c r="E679" s="1925">
        <v>0</v>
      </c>
      <c r="F679" s="1920"/>
      <c r="G679" s="1925">
        <v>500</v>
      </c>
      <c r="I679" s="1927"/>
    </row>
    <row r="680" spans="1:9" x14ac:dyDescent="0.25">
      <c r="A680" s="1941">
        <v>2134</v>
      </c>
      <c r="B680" s="1901" t="s">
        <v>2445</v>
      </c>
      <c r="C680" s="1905"/>
      <c r="D680" s="1905"/>
      <c r="E680" s="1925">
        <v>145217.48000000001</v>
      </c>
      <c r="F680" s="1920"/>
      <c r="G680" s="1925">
        <v>112545</v>
      </c>
      <c r="I680" s="1927"/>
    </row>
    <row r="681" spans="1:9" x14ac:dyDescent="0.25">
      <c r="A681" s="1941" t="s">
        <v>3404</v>
      </c>
      <c r="B681" s="1901" t="s">
        <v>2446</v>
      </c>
      <c r="C681" s="1906"/>
      <c r="D681" s="1905"/>
      <c r="E681" s="1925">
        <v>94774</v>
      </c>
      <c r="F681" s="1920"/>
      <c r="G681" s="1925">
        <v>94774</v>
      </c>
      <c r="I681" s="1927"/>
    </row>
    <row r="682" spans="1:9" x14ac:dyDescent="0.25">
      <c r="A682" s="1941" t="s">
        <v>3405</v>
      </c>
      <c r="B682" s="1901" t="s">
        <v>2447</v>
      </c>
      <c r="C682" s="1906"/>
      <c r="D682" s="1905"/>
      <c r="E682" s="1925">
        <v>107000</v>
      </c>
      <c r="F682" s="1920"/>
      <c r="G682" s="1925">
        <v>107000</v>
      </c>
      <c r="I682" s="1927"/>
    </row>
    <row r="683" spans="1:9" x14ac:dyDescent="0.25">
      <c r="A683" s="1941" t="s">
        <v>3406</v>
      </c>
      <c r="B683" s="1901" t="s">
        <v>2448</v>
      </c>
      <c r="C683" s="1905"/>
      <c r="D683" s="1905"/>
      <c r="E683" s="1925">
        <v>9000</v>
      </c>
      <c r="F683" s="1920"/>
      <c r="G683" s="1925">
        <v>9000</v>
      </c>
      <c r="I683" s="1927"/>
    </row>
    <row r="684" spans="1:9" x14ac:dyDescent="0.25">
      <c r="A684" s="1941" t="s">
        <v>3407</v>
      </c>
      <c r="B684" s="1901" t="s">
        <v>2449</v>
      </c>
      <c r="C684" s="1905"/>
      <c r="D684" s="1905"/>
      <c r="E684" s="1925">
        <v>2025</v>
      </c>
      <c r="F684" s="1920"/>
      <c r="G684" s="1925">
        <v>1500</v>
      </c>
      <c r="I684" s="1927"/>
    </row>
    <row r="685" spans="1:9" x14ac:dyDescent="0.25">
      <c r="A685" s="1941" t="s">
        <v>3408</v>
      </c>
      <c r="B685" s="1901" t="s">
        <v>2450</v>
      </c>
      <c r="C685" s="1906"/>
      <c r="D685" s="1905"/>
      <c r="E685" s="1925">
        <v>36967</v>
      </c>
      <c r="F685" s="1920"/>
      <c r="G685" s="1925">
        <v>34000</v>
      </c>
      <c r="I685" s="1927"/>
    </row>
    <row r="686" spans="1:9" x14ac:dyDescent="0.25">
      <c r="A686" s="1941" t="s">
        <v>3409</v>
      </c>
      <c r="B686" s="1901" t="s">
        <v>2451</v>
      </c>
      <c r="C686" s="1906"/>
      <c r="D686" s="1905"/>
      <c r="E686" s="1925">
        <v>0</v>
      </c>
      <c r="F686" s="1920"/>
      <c r="G686" s="1925">
        <v>0</v>
      </c>
      <c r="I686" s="1927"/>
    </row>
    <row r="687" spans="1:9" x14ac:dyDescent="0.25">
      <c r="A687" s="1941">
        <v>100</v>
      </c>
      <c r="B687" s="1901" t="s">
        <v>194</v>
      </c>
      <c r="C687" s="1906"/>
      <c r="D687" s="1905"/>
      <c r="E687" s="1925">
        <v>249766</v>
      </c>
      <c r="F687" s="1920"/>
      <c r="G687" s="1925">
        <v>246274</v>
      </c>
      <c r="I687" s="1927"/>
    </row>
    <row r="688" spans="1:9" x14ac:dyDescent="0.25">
      <c r="A688" s="1941" t="s">
        <v>3410</v>
      </c>
      <c r="B688" s="1901" t="s">
        <v>2452</v>
      </c>
      <c r="C688" s="1906"/>
      <c r="D688" s="1905"/>
      <c r="E688" s="1925">
        <v>23461.87</v>
      </c>
      <c r="F688" s="1920"/>
      <c r="G688" s="1925">
        <v>10941</v>
      </c>
      <c r="I688" s="1927"/>
    </row>
    <row r="689" spans="1:9" x14ac:dyDescent="0.25">
      <c r="A689" s="1941" t="s">
        <v>3410</v>
      </c>
      <c r="B689" s="1901" t="s">
        <v>2453</v>
      </c>
      <c r="C689" s="1906"/>
      <c r="D689" s="1905"/>
      <c r="E689" s="1925">
        <v>0</v>
      </c>
      <c r="F689" s="1920"/>
      <c r="G689" s="1925">
        <v>13882</v>
      </c>
      <c r="I689" s="1927"/>
    </row>
    <row r="690" spans="1:9" x14ac:dyDescent="0.25">
      <c r="A690" s="1941" t="s">
        <v>3411</v>
      </c>
      <c r="B690" s="1901" t="s">
        <v>2454</v>
      </c>
      <c r="C690" s="1906"/>
      <c r="D690" s="1905"/>
      <c r="E690" s="1925">
        <v>64707.91</v>
      </c>
      <c r="F690" s="1920"/>
      <c r="G690" s="1925">
        <v>31315</v>
      </c>
      <c r="I690" s="1927"/>
    </row>
    <row r="691" spans="1:9" x14ac:dyDescent="0.25">
      <c r="A691" s="1941" t="s">
        <v>3411</v>
      </c>
      <c r="B691" s="1901" t="s">
        <v>2455</v>
      </c>
      <c r="C691" s="1906"/>
      <c r="D691" s="1905"/>
      <c r="E691" s="1925">
        <v>0</v>
      </c>
      <c r="F691" s="1920"/>
      <c r="G691" s="1925">
        <v>31315</v>
      </c>
      <c r="I691" s="1927"/>
    </row>
    <row r="692" spans="1:9" x14ac:dyDescent="0.25">
      <c r="A692" s="1941" t="s">
        <v>3412</v>
      </c>
      <c r="B692" s="1901" t="s">
        <v>2456</v>
      </c>
      <c r="C692" s="1906"/>
      <c r="D692" s="1905"/>
      <c r="E692" s="1925">
        <v>899.56</v>
      </c>
      <c r="F692" s="1920"/>
      <c r="G692" s="1925">
        <v>602</v>
      </c>
      <c r="I692" s="1927"/>
    </row>
    <row r="693" spans="1:9" x14ac:dyDescent="0.25">
      <c r="A693" s="1941" t="s">
        <v>3412</v>
      </c>
      <c r="B693" s="1901" t="s">
        <v>2457</v>
      </c>
      <c r="C693" s="1906"/>
      <c r="D693" s="1905"/>
      <c r="E693" s="1925">
        <v>0</v>
      </c>
      <c r="F693" s="1920"/>
      <c r="G693" s="1925">
        <v>308</v>
      </c>
      <c r="I693" s="1927"/>
    </row>
    <row r="694" spans="1:9" x14ac:dyDescent="0.25">
      <c r="A694" s="1941" t="s">
        <v>3413</v>
      </c>
      <c r="B694" s="1901" t="s">
        <v>2458</v>
      </c>
      <c r="C694" s="1906"/>
      <c r="D694" s="1905"/>
      <c r="E694" s="1925">
        <v>499.92</v>
      </c>
      <c r="F694" s="1920"/>
      <c r="G694" s="1925">
        <v>500</v>
      </c>
      <c r="I694" s="1927"/>
    </row>
    <row r="695" spans="1:9" x14ac:dyDescent="0.25">
      <c r="A695" s="1941">
        <v>200</v>
      </c>
      <c r="B695" s="1901" t="s">
        <v>49</v>
      </c>
      <c r="C695" s="1906"/>
      <c r="D695" s="1905"/>
      <c r="E695" s="1925">
        <v>89569.26</v>
      </c>
      <c r="F695" s="1920"/>
      <c r="G695" s="1925">
        <v>88863</v>
      </c>
      <c r="I695" s="1927"/>
    </row>
    <row r="696" spans="1:9" x14ac:dyDescent="0.25">
      <c r="A696" s="1941" t="s">
        <v>3414</v>
      </c>
      <c r="B696" s="1901" t="s">
        <v>2459</v>
      </c>
      <c r="C696" s="1906"/>
      <c r="D696" s="1905"/>
      <c r="E696" s="1925">
        <v>150</v>
      </c>
      <c r="F696" s="1920"/>
      <c r="G696" s="1925">
        <v>1000</v>
      </c>
      <c r="I696" s="1927"/>
    </row>
    <row r="697" spans="1:9" x14ac:dyDescent="0.25">
      <c r="A697" s="1941" t="s">
        <v>3415</v>
      </c>
      <c r="B697" s="1901" t="s">
        <v>2460</v>
      </c>
      <c r="C697" s="1905"/>
      <c r="D697" s="1905"/>
      <c r="E697" s="1925">
        <v>750</v>
      </c>
      <c r="F697" s="1920"/>
      <c r="G697" s="1925">
        <v>2500</v>
      </c>
      <c r="I697" s="1927"/>
    </row>
    <row r="698" spans="1:9" x14ac:dyDescent="0.25">
      <c r="A698" s="1941" t="s">
        <v>3416</v>
      </c>
      <c r="B698" s="1901" t="s">
        <v>2461</v>
      </c>
      <c r="C698" s="1901"/>
      <c r="D698" s="1901"/>
      <c r="E698" s="1925">
        <v>2495</v>
      </c>
      <c r="F698" s="1920"/>
      <c r="G698" s="1925">
        <v>2000</v>
      </c>
      <c r="I698" s="1927"/>
    </row>
    <row r="699" spans="1:9" x14ac:dyDescent="0.25">
      <c r="A699" s="1941" t="s">
        <v>3417</v>
      </c>
      <c r="B699" s="1901" t="s">
        <v>2462</v>
      </c>
      <c r="C699" s="1906"/>
      <c r="D699" s="1906"/>
      <c r="E699" s="1925">
        <v>0</v>
      </c>
      <c r="F699" s="1920"/>
      <c r="G699" s="1925">
        <v>100</v>
      </c>
      <c r="I699" s="1927"/>
    </row>
    <row r="700" spans="1:9" x14ac:dyDescent="0.25">
      <c r="A700" s="1941" t="s">
        <v>3418</v>
      </c>
      <c r="B700" s="1901" t="s">
        <v>2463</v>
      </c>
      <c r="C700" s="1902"/>
      <c r="D700" s="1901"/>
      <c r="E700" s="1925">
        <v>925.31</v>
      </c>
      <c r="F700" s="1920"/>
      <c r="G700" s="1925">
        <v>1000</v>
      </c>
      <c r="I700" s="1927"/>
    </row>
    <row r="701" spans="1:9" x14ac:dyDescent="0.25">
      <c r="A701" s="1941" t="s">
        <v>3418</v>
      </c>
      <c r="B701" s="1901" t="s">
        <v>2464</v>
      </c>
      <c r="C701" s="1906"/>
      <c r="D701" s="1906"/>
      <c r="E701" s="1925">
        <v>134.36000000000001</v>
      </c>
      <c r="F701" s="1917"/>
      <c r="G701" s="1925">
        <v>12000</v>
      </c>
      <c r="I701" s="1927"/>
    </row>
    <row r="702" spans="1:9" x14ac:dyDescent="0.25">
      <c r="A702" s="1941" t="s">
        <v>3419</v>
      </c>
      <c r="B702" s="1901" t="s">
        <v>2465</v>
      </c>
      <c r="C702" s="1901"/>
      <c r="D702" s="1901"/>
      <c r="E702" s="1925">
        <v>1052.8</v>
      </c>
      <c r="F702" s="1920"/>
      <c r="G702" s="1925">
        <v>1100</v>
      </c>
      <c r="I702" s="1927"/>
    </row>
    <row r="703" spans="1:9" x14ac:dyDescent="0.25">
      <c r="A703" s="1941">
        <v>300</v>
      </c>
      <c r="B703" s="1901" t="s">
        <v>1100</v>
      </c>
      <c r="C703" s="1902"/>
      <c r="D703" s="1901"/>
      <c r="E703" s="1925">
        <v>5507.47</v>
      </c>
      <c r="F703" s="1920"/>
      <c r="G703" s="1925">
        <v>19700</v>
      </c>
      <c r="I703" s="1927"/>
    </row>
    <row r="704" spans="1:9" x14ac:dyDescent="0.25">
      <c r="A704" s="1941" t="s">
        <v>3420</v>
      </c>
      <c r="B704" s="1901" t="s">
        <v>2466</v>
      </c>
      <c r="C704" s="1906"/>
      <c r="D704" s="1906"/>
      <c r="E704" s="1925">
        <v>810.82</v>
      </c>
      <c r="F704" s="1917"/>
      <c r="G704" s="1925">
        <v>1500</v>
      </c>
      <c r="I704" s="1927"/>
    </row>
    <row r="705" spans="1:9" x14ac:dyDescent="0.25">
      <c r="A705" s="1941" t="s">
        <v>3421</v>
      </c>
      <c r="B705" s="1901" t="s">
        <v>2467</v>
      </c>
      <c r="C705" s="1906"/>
      <c r="D705" s="1906"/>
      <c r="E705" s="1925">
        <v>6795.71</v>
      </c>
      <c r="F705" s="1917"/>
      <c r="G705" s="1925">
        <v>7000</v>
      </c>
      <c r="I705" s="1927"/>
    </row>
    <row r="706" spans="1:9" x14ac:dyDescent="0.25">
      <c r="A706" s="1941">
        <v>400</v>
      </c>
      <c r="B706" s="1901" t="s">
        <v>2256</v>
      </c>
      <c r="C706" s="1901"/>
      <c r="D706" s="1901"/>
      <c r="E706" s="1925">
        <v>7606.53</v>
      </c>
      <c r="F706" s="1920"/>
      <c r="G706" s="1925">
        <v>8500</v>
      </c>
      <c r="I706" s="1927"/>
    </row>
    <row r="707" spans="1:9" x14ac:dyDescent="0.25">
      <c r="A707" s="1941" t="s">
        <v>3422</v>
      </c>
      <c r="B707" s="1901" t="s">
        <v>2468</v>
      </c>
      <c r="C707" s="1906"/>
      <c r="D707" s="1906"/>
      <c r="E707" s="1925">
        <v>0</v>
      </c>
      <c r="F707" s="1916"/>
      <c r="G707" s="1925">
        <v>500</v>
      </c>
      <c r="I707" s="1927"/>
    </row>
    <row r="708" spans="1:9" x14ac:dyDescent="0.25">
      <c r="A708" s="1941">
        <v>500</v>
      </c>
      <c r="B708" s="1901" t="s">
        <v>1095</v>
      </c>
      <c r="C708" s="1906"/>
      <c r="D708" s="1906"/>
      <c r="E708" s="1925">
        <v>0</v>
      </c>
      <c r="F708" s="1916"/>
      <c r="G708" s="1925">
        <v>500</v>
      </c>
      <c r="I708" s="1927"/>
    </row>
    <row r="709" spans="1:9" x14ac:dyDescent="0.25">
      <c r="A709" s="1941" t="s">
        <v>3423</v>
      </c>
      <c r="B709" s="1901" t="s">
        <v>2469</v>
      </c>
      <c r="C709" s="1906"/>
      <c r="D709" s="1906"/>
      <c r="E709" s="1925">
        <v>125</v>
      </c>
      <c r="F709" s="1916"/>
      <c r="G709" s="1925">
        <v>250</v>
      </c>
      <c r="I709" s="1927"/>
    </row>
    <row r="710" spans="1:9" x14ac:dyDescent="0.25">
      <c r="A710" s="1941">
        <v>600</v>
      </c>
      <c r="B710" s="1901" t="s">
        <v>1096</v>
      </c>
      <c r="C710" s="1906"/>
      <c r="D710" s="1906"/>
      <c r="E710" s="1925">
        <v>125</v>
      </c>
      <c r="F710" s="1917"/>
      <c r="G710" s="1925">
        <v>250</v>
      </c>
      <c r="I710" s="1927"/>
    </row>
    <row r="711" spans="1:9" x14ac:dyDescent="0.25">
      <c r="A711" s="1941">
        <v>2140</v>
      </c>
      <c r="B711" s="1901" t="s">
        <v>199</v>
      </c>
      <c r="C711" s="1906"/>
      <c r="D711" s="1906"/>
      <c r="E711" s="1925">
        <v>352574.26</v>
      </c>
      <c r="F711" s="1917"/>
      <c r="G711" s="1925">
        <v>364087</v>
      </c>
      <c r="I711" s="1927"/>
    </row>
    <row r="712" spans="1:9" x14ac:dyDescent="0.25">
      <c r="A712" s="1941" t="s">
        <v>3424</v>
      </c>
      <c r="B712" s="1901" t="s">
        <v>2470</v>
      </c>
      <c r="C712" s="1906"/>
      <c r="D712" s="1906"/>
      <c r="E712" s="1925">
        <v>344163.98</v>
      </c>
      <c r="F712" s="1916"/>
      <c r="G712" s="1925">
        <v>343727</v>
      </c>
      <c r="I712" s="1927"/>
    </row>
    <row r="713" spans="1:9" x14ac:dyDescent="0.25">
      <c r="A713" s="1941" t="s">
        <v>3425</v>
      </c>
      <c r="B713" s="1901" t="s">
        <v>2471</v>
      </c>
      <c r="C713" s="1902"/>
      <c r="D713" s="1901"/>
      <c r="E713" s="1925">
        <v>2587.5</v>
      </c>
      <c r="F713" s="1920"/>
      <c r="G713" s="1925">
        <v>2587</v>
      </c>
      <c r="I713" s="1927"/>
    </row>
    <row r="714" spans="1:9" x14ac:dyDescent="0.25">
      <c r="A714" s="1941">
        <v>100</v>
      </c>
      <c r="B714" s="1901" t="s">
        <v>194</v>
      </c>
      <c r="C714" s="1906"/>
      <c r="D714" s="1906"/>
      <c r="E714" s="1925">
        <v>346751.48</v>
      </c>
      <c r="F714" s="1917"/>
      <c r="G714" s="1925">
        <v>346314</v>
      </c>
      <c r="I714" s="1927"/>
    </row>
    <row r="715" spans="1:9" x14ac:dyDescent="0.25">
      <c r="A715" s="1941" t="s">
        <v>3426</v>
      </c>
      <c r="B715" s="1901" t="s">
        <v>2472</v>
      </c>
      <c r="C715" s="1902"/>
      <c r="D715" s="1901"/>
      <c r="E715" s="1925">
        <v>40219.050000000003</v>
      </c>
      <c r="F715" s="1920"/>
      <c r="G715" s="1925">
        <v>40219</v>
      </c>
      <c r="I715" s="1927"/>
    </row>
    <row r="716" spans="1:9" x14ac:dyDescent="0.25">
      <c r="A716" s="1941" t="s">
        <v>3427</v>
      </c>
      <c r="B716" s="1901" t="s">
        <v>2473</v>
      </c>
      <c r="C716" s="1905"/>
      <c r="D716" s="1906"/>
      <c r="E716" s="1925">
        <v>0</v>
      </c>
      <c r="F716" s="1917"/>
      <c r="G716" s="1925">
        <v>1564</v>
      </c>
      <c r="I716" s="1927"/>
    </row>
    <row r="717" spans="1:9" x14ac:dyDescent="0.25">
      <c r="A717" s="1941" t="s">
        <v>3428</v>
      </c>
      <c r="B717" s="1901" t="s">
        <v>2474</v>
      </c>
      <c r="C717" s="1905"/>
      <c r="D717" s="1906"/>
      <c r="E717" s="1925">
        <v>45382.44</v>
      </c>
      <c r="F717" s="1917"/>
      <c r="G717" s="1925">
        <v>45382</v>
      </c>
      <c r="I717" s="1927"/>
    </row>
    <row r="718" spans="1:9" x14ac:dyDescent="0.25">
      <c r="A718" s="1941" t="s">
        <v>3429</v>
      </c>
      <c r="B718" s="1901" t="s">
        <v>2475</v>
      </c>
      <c r="C718" s="1902"/>
      <c r="D718" s="1901"/>
      <c r="E718" s="1925">
        <v>389.04</v>
      </c>
      <c r="F718" s="1920"/>
      <c r="G718" s="1925">
        <v>390</v>
      </c>
      <c r="I718" s="1927"/>
    </row>
    <row r="719" spans="1:9" x14ac:dyDescent="0.25">
      <c r="A719" s="1941">
        <v>200</v>
      </c>
      <c r="B719" s="1901" t="s">
        <v>49</v>
      </c>
      <c r="C719" s="1905"/>
      <c r="D719" s="1906"/>
      <c r="E719" s="1925">
        <v>85990.53</v>
      </c>
      <c r="F719" s="1917"/>
      <c r="G719" s="1925">
        <v>87555</v>
      </c>
      <c r="I719" s="1927"/>
    </row>
    <row r="720" spans="1:9" x14ac:dyDescent="0.25">
      <c r="A720" s="1941" t="s">
        <v>3430</v>
      </c>
      <c r="B720" s="1901" t="s">
        <v>2476</v>
      </c>
      <c r="C720" s="1901"/>
      <c r="D720" s="1901"/>
      <c r="E720" s="1925">
        <v>1205</v>
      </c>
      <c r="F720" s="1920"/>
      <c r="G720" s="1925">
        <v>1750</v>
      </c>
      <c r="I720" s="1927"/>
    </row>
    <row r="721" spans="1:9" x14ac:dyDescent="0.25">
      <c r="A721" s="1941">
        <v>600</v>
      </c>
      <c r="B721" s="1901" t="s">
        <v>1096</v>
      </c>
      <c r="C721" s="1906"/>
      <c r="D721" s="1905"/>
      <c r="E721" s="1925">
        <v>1205</v>
      </c>
      <c r="F721" s="1917"/>
      <c r="G721" s="1925">
        <v>1750</v>
      </c>
      <c r="I721" s="1927"/>
    </row>
    <row r="722" spans="1:9" x14ac:dyDescent="0.25">
      <c r="A722" s="1941">
        <v>2150</v>
      </c>
      <c r="B722" s="1901" t="s">
        <v>2477</v>
      </c>
      <c r="C722" s="1905"/>
      <c r="D722" s="1905"/>
      <c r="E722" s="1925">
        <v>433947.01</v>
      </c>
      <c r="F722" s="1917"/>
      <c r="G722" s="1925">
        <v>435619</v>
      </c>
      <c r="I722" s="1927"/>
    </row>
    <row r="723" spans="1:9" x14ac:dyDescent="0.25">
      <c r="A723" s="1941" t="s">
        <v>3431</v>
      </c>
      <c r="B723" s="1901" t="s">
        <v>2478</v>
      </c>
      <c r="C723" s="1906"/>
      <c r="D723" s="1905"/>
      <c r="E723" s="1925">
        <v>15082.5</v>
      </c>
      <c r="F723" s="1917"/>
      <c r="G723" s="1925">
        <v>12000</v>
      </c>
      <c r="I723" s="1927"/>
    </row>
    <row r="724" spans="1:9" x14ac:dyDescent="0.25">
      <c r="A724" s="1941" t="s">
        <v>3432</v>
      </c>
      <c r="B724" s="1901" t="s">
        <v>2479</v>
      </c>
      <c r="C724" s="1902"/>
      <c r="D724" s="1902"/>
      <c r="E724" s="1925">
        <v>1500</v>
      </c>
      <c r="F724" s="1920"/>
      <c r="G724" s="1925">
        <v>1500</v>
      </c>
      <c r="I724" s="1927"/>
    </row>
    <row r="725" spans="1:9" x14ac:dyDescent="0.25">
      <c r="A725" s="1941" t="s">
        <v>3433</v>
      </c>
      <c r="B725" s="1901" t="s">
        <v>2480</v>
      </c>
      <c r="C725" s="1906"/>
      <c r="D725" s="1905"/>
      <c r="E725" s="1925">
        <v>4302</v>
      </c>
      <c r="F725" s="1917"/>
      <c r="G725" s="1925">
        <v>4302</v>
      </c>
      <c r="I725" s="1927"/>
    </row>
    <row r="726" spans="1:9" x14ac:dyDescent="0.25">
      <c r="A726" s="1941">
        <v>100</v>
      </c>
      <c r="B726" s="1901" t="s">
        <v>194</v>
      </c>
      <c r="C726" s="1901"/>
      <c r="D726" s="1901"/>
      <c r="E726" s="1925">
        <v>20884.5</v>
      </c>
      <c r="F726" s="1920"/>
      <c r="G726" s="1925">
        <v>17802</v>
      </c>
      <c r="I726" s="1927"/>
    </row>
    <row r="727" spans="1:9" x14ac:dyDescent="0.25">
      <c r="A727" s="1941" t="s">
        <v>3434</v>
      </c>
      <c r="B727" s="1901" t="s">
        <v>2481</v>
      </c>
      <c r="C727" s="1906"/>
      <c r="D727" s="1906"/>
      <c r="E727" s="1925">
        <v>58.53</v>
      </c>
      <c r="F727" s="1917"/>
      <c r="G727" s="1925">
        <v>0</v>
      </c>
      <c r="I727" s="1927"/>
    </row>
    <row r="728" spans="1:9" x14ac:dyDescent="0.25">
      <c r="A728" s="1941" t="s">
        <v>3434</v>
      </c>
      <c r="B728" s="1901" t="s">
        <v>2482</v>
      </c>
      <c r="C728" s="1902"/>
      <c r="D728" s="1902"/>
      <c r="E728" s="1925">
        <v>257.60000000000002</v>
      </c>
      <c r="F728" s="1920"/>
      <c r="G728" s="1925">
        <v>669</v>
      </c>
      <c r="I728" s="1927"/>
    </row>
    <row r="729" spans="1:9" x14ac:dyDescent="0.25">
      <c r="A729" s="1941" t="s">
        <v>3435</v>
      </c>
      <c r="B729" s="1901" t="s">
        <v>2483</v>
      </c>
      <c r="E729" s="1925">
        <v>1108.08</v>
      </c>
      <c r="G729" s="1925">
        <v>572</v>
      </c>
      <c r="I729" s="1927"/>
    </row>
    <row r="730" spans="1:9" x14ac:dyDescent="0.25">
      <c r="A730" s="1941" t="s">
        <v>3436</v>
      </c>
      <c r="B730" s="1901" t="s">
        <v>2484</v>
      </c>
      <c r="C730" s="1906"/>
      <c r="D730" s="1906"/>
      <c r="E730" s="1925">
        <v>0</v>
      </c>
      <c r="F730" s="1917"/>
      <c r="G730" s="1925">
        <v>2500</v>
      </c>
      <c r="I730" s="1927"/>
    </row>
    <row r="731" spans="1:9" x14ac:dyDescent="0.25">
      <c r="A731" s="1941">
        <v>200</v>
      </c>
      <c r="B731" s="1901" t="s">
        <v>49</v>
      </c>
      <c r="C731" s="1906"/>
      <c r="D731" s="1906"/>
      <c r="E731" s="1925">
        <v>1424.21</v>
      </c>
      <c r="F731" s="1917"/>
      <c r="G731" s="1925">
        <v>3741</v>
      </c>
      <c r="I731" s="1927"/>
    </row>
    <row r="732" spans="1:9" x14ac:dyDescent="0.25">
      <c r="A732" s="1941" t="s">
        <v>3437</v>
      </c>
      <c r="B732" s="1901" t="s">
        <v>2485</v>
      </c>
      <c r="C732" s="1902"/>
      <c r="D732" s="1901"/>
      <c r="E732" s="1925">
        <v>1299</v>
      </c>
      <c r="F732" s="1921"/>
      <c r="G732" s="1925">
        <v>1299</v>
      </c>
      <c r="I732" s="1927"/>
    </row>
    <row r="733" spans="1:9" x14ac:dyDescent="0.25">
      <c r="A733" s="1941" t="s">
        <v>3438</v>
      </c>
      <c r="B733" s="1901" t="s">
        <v>2486</v>
      </c>
      <c r="C733" s="1906"/>
      <c r="D733" s="1906"/>
      <c r="E733" s="1925">
        <v>4376.6499999999996</v>
      </c>
      <c r="F733" s="1916"/>
      <c r="G733" s="1925">
        <v>4396</v>
      </c>
      <c r="I733" s="1927"/>
    </row>
    <row r="734" spans="1:9" x14ac:dyDescent="0.25">
      <c r="A734" s="1941" t="s">
        <v>3439</v>
      </c>
      <c r="B734" s="1901" t="s">
        <v>2464</v>
      </c>
      <c r="C734" s="1906"/>
      <c r="D734" s="1905"/>
      <c r="E734" s="1925">
        <v>6160.55</v>
      </c>
      <c r="F734" s="1916"/>
      <c r="G734" s="1925">
        <v>6000</v>
      </c>
      <c r="I734" s="1927"/>
    </row>
    <row r="735" spans="1:9" x14ac:dyDescent="0.25">
      <c r="A735" s="1941" t="s">
        <v>3439</v>
      </c>
      <c r="B735" s="1901" t="s">
        <v>2487</v>
      </c>
      <c r="C735" s="1906"/>
      <c r="D735" s="1906"/>
      <c r="E735" s="1925">
        <v>47331.62</v>
      </c>
      <c r="F735" s="1916"/>
      <c r="G735" s="1925">
        <v>65270</v>
      </c>
      <c r="I735" s="1927"/>
    </row>
    <row r="736" spans="1:9" x14ac:dyDescent="0.25">
      <c r="A736" s="1941">
        <v>300</v>
      </c>
      <c r="B736" s="1901" t="s">
        <v>1100</v>
      </c>
      <c r="C736" s="1906"/>
      <c r="D736" s="1906"/>
      <c r="E736" s="1925">
        <v>59167.82</v>
      </c>
      <c r="F736" s="1916"/>
      <c r="G736" s="1925">
        <v>76965</v>
      </c>
      <c r="I736" s="1927"/>
    </row>
    <row r="737" spans="1:9" x14ac:dyDescent="0.25">
      <c r="A737" s="1941" t="s">
        <v>3440</v>
      </c>
      <c r="B737" s="1901" t="s">
        <v>2488</v>
      </c>
      <c r="C737" s="1902"/>
      <c r="D737" s="1902"/>
      <c r="E737" s="1925">
        <v>401.67</v>
      </c>
      <c r="F737" s="1920"/>
      <c r="G737" s="1925">
        <v>800</v>
      </c>
      <c r="I737" s="1927"/>
    </row>
    <row r="738" spans="1:9" x14ac:dyDescent="0.25">
      <c r="A738" s="1941">
        <v>400</v>
      </c>
      <c r="B738" s="1901" t="s">
        <v>2256</v>
      </c>
      <c r="C738" s="1906"/>
      <c r="D738" s="1906"/>
      <c r="E738" s="1925">
        <v>401.67</v>
      </c>
      <c r="F738" s="1917"/>
      <c r="G738" s="1925">
        <v>800</v>
      </c>
      <c r="I738" s="1927"/>
    </row>
    <row r="739" spans="1:9" x14ac:dyDescent="0.25">
      <c r="A739" s="1941">
        <v>2210</v>
      </c>
      <c r="B739" s="1901" t="s">
        <v>2489</v>
      </c>
      <c r="C739" s="1901"/>
      <c r="D739" s="1902"/>
      <c r="E739" s="1925">
        <v>81878.2</v>
      </c>
      <c r="F739" s="1920"/>
      <c r="G739" s="1925">
        <v>99308</v>
      </c>
      <c r="I739" s="1927"/>
    </row>
    <row r="740" spans="1:9" x14ac:dyDescent="0.25">
      <c r="A740" s="1941" t="s">
        <v>3543</v>
      </c>
      <c r="B740" s="1901" t="s">
        <v>2490</v>
      </c>
      <c r="C740" s="1905"/>
      <c r="D740" s="1906"/>
      <c r="E740" s="1925">
        <v>1533</v>
      </c>
      <c r="F740" s="1917"/>
      <c r="G740" s="1925">
        <v>1533</v>
      </c>
      <c r="I740" s="1927"/>
    </row>
    <row r="741" spans="1:9" x14ac:dyDescent="0.25">
      <c r="A741" s="1941">
        <v>100</v>
      </c>
      <c r="B741" s="1901" t="s">
        <v>194</v>
      </c>
      <c r="C741" s="1906"/>
      <c r="D741" s="1906"/>
      <c r="E741" s="1925">
        <v>1533</v>
      </c>
      <c r="F741" s="1917"/>
      <c r="G741" s="1925">
        <v>1533</v>
      </c>
      <c r="I741" s="1927"/>
    </row>
    <row r="742" spans="1:9" x14ac:dyDescent="0.25">
      <c r="A742" s="1941" t="s">
        <v>3544</v>
      </c>
      <c r="B742" s="1901" t="s">
        <v>2491</v>
      </c>
      <c r="C742" s="1902"/>
      <c r="D742" s="1902"/>
      <c r="E742" s="1925">
        <v>176.89</v>
      </c>
      <c r="F742" s="1920"/>
      <c r="G742" s="1925">
        <v>176.89</v>
      </c>
      <c r="I742" s="1927"/>
    </row>
    <row r="743" spans="1:9" x14ac:dyDescent="0.25">
      <c r="A743" s="1941">
        <v>200</v>
      </c>
      <c r="B743" s="1901" t="s">
        <v>49</v>
      </c>
      <c r="C743" s="1906"/>
      <c r="D743" s="1906"/>
      <c r="E743" s="1925">
        <v>176.89</v>
      </c>
      <c r="F743" s="1917"/>
      <c r="G743" s="1925">
        <v>176.89</v>
      </c>
      <c r="I743" s="1927"/>
    </row>
    <row r="744" spans="1:9" x14ac:dyDescent="0.25">
      <c r="A744" s="1941" t="s">
        <v>3545</v>
      </c>
      <c r="B744" s="1901" t="s">
        <v>2492</v>
      </c>
      <c r="C744" s="1902"/>
      <c r="D744" s="1901"/>
      <c r="E744" s="1925">
        <v>0</v>
      </c>
      <c r="F744" s="1920"/>
      <c r="G744" s="1925">
        <v>0</v>
      </c>
      <c r="I744" s="1927"/>
    </row>
    <row r="745" spans="1:9" x14ac:dyDescent="0.25">
      <c r="A745" s="1941">
        <v>300</v>
      </c>
      <c r="B745" s="1901" t="s">
        <v>1100</v>
      </c>
      <c r="C745" s="1906"/>
      <c r="D745" s="1905"/>
      <c r="E745" s="1925">
        <v>0</v>
      </c>
      <c r="F745" s="1917"/>
      <c r="G745" s="1925">
        <v>0</v>
      </c>
      <c r="I745" s="1927"/>
    </row>
    <row r="746" spans="1:9" x14ac:dyDescent="0.25">
      <c r="A746" s="1941" t="s">
        <v>3546</v>
      </c>
      <c r="B746" s="1901" t="s">
        <v>2493</v>
      </c>
      <c r="C746" s="1901"/>
      <c r="D746" s="1901"/>
      <c r="E746" s="1925">
        <v>0</v>
      </c>
      <c r="F746" s="1920"/>
      <c r="G746" s="1925">
        <v>0</v>
      </c>
      <c r="I746" s="1927"/>
    </row>
    <row r="747" spans="1:9" x14ac:dyDescent="0.25">
      <c r="A747" s="1941">
        <v>500</v>
      </c>
      <c r="B747" s="1901" t="s">
        <v>1095</v>
      </c>
      <c r="C747" s="1906"/>
      <c r="D747" s="1905"/>
      <c r="E747" s="1925">
        <v>0</v>
      </c>
      <c r="F747" s="1917"/>
      <c r="G747" s="1925">
        <v>0</v>
      </c>
      <c r="I747" s="1927"/>
    </row>
    <row r="748" spans="1:9" x14ac:dyDescent="0.25">
      <c r="A748" s="1941" t="s">
        <v>3547</v>
      </c>
      <c r="B748" s="1901" t="s">
        <v>2494</v>
      </c>
      <c r="C748" s="1901"/>
      <c r="D748" s="1901"/>
      <c r="E748" s="1925">
        <v>0</v>
      </c>
      <c r="F748" s="1920"/>
      <c r="G748" s="1925">
        <v>50</v>
      </c>
      <c r="I748" s="1927"/>
    </row>
    <row r="749" spans="1:9" x14ac:dyDescent="0.25">
      <c r="A749" s="1941">
        <v>600</v>
      </c>
      <c r="B749" s="1901" t="s">
        <v>1096</v>
      </c>
      <c r="C749" s="1906"/>
      <c r="D749" s="1906"/>
      <c r="E749" s="1925">
        <v>0</v>
      </c>
      <c r="F749" s="1917"/>
      <c r="G749" s="1925">
        <v>50</v>
      </c>
      <c r="I749" s="1927"/>
    </row>
    <row r="750" spans="1:9" x14ac:dyDescent="0.25">
      <c r="A750" s="1941">
        <v>2212</v>
      </c>
      <c r="B750" s="1901" t="s">
        <v>2495</v>
      </c>
      <c r="C750" s="1901"/>
      <c r="D750" s="1901"/>
      <c r="E750" s="1925">
        <v>1709.89</v>
      </c>
      <c r="F750" s="1920"/>
      <c r="G750" s="1925">
        <v>1759.89</v>
      </c>
      <c r="I750" s="1927"/>
    </row>
    <row r="751" spans="1:9" x14ac:dyDescent="0.25">
      <c r="A751" s="1941" t="s">
        <v>3592</v>
      </c>
      <c r="B751" s="1901" t="s">
        <v>2496</v>
      </c>
      <c r="C751" s="1901"/>
      <c r="D751" s="1901"/>
      <c r="E751" s="1925">
        <v>1826.5</v>
      </c>
      <c r="F751" s="1920"/>
      <c r="G751" s="1925">
        <v>5000</v>
      </c>
      <c r="I751" s="1927"/>
    </row>
    <row r="752" spans="1:9" x14ac:dyDescent="0.25">
      <c r="A752" s="1941">
        <v>100</v>
      </c>
      <c r="B752" s="1901" t="s">
        <v>194</v>
      </c>
      <c r="C752" s="1906"/>
      <c r="D752" s="1906"/>
      <c r="E752" s="1925">
        <v>1826.5</v>
      </c>
      <c r="F752" s="1917"/>
      <c r="G752" s="1925">
        <v>5000</v>
      </c>
      <c r="I752" s="1927"/>
    </row>
    <row r="753" spans="1:9" x14ac:dyDescent="0.25">
      <c r="A753" s="1941" t="s">
        <v>3593</v>
      </c>
      <c r="B753" s="1901" t="s">
        <v>2497</v>
      </c>
      <c r="C753" s="1906"/>
      <c r="D753" s="1906"/>
      <c r="E753" s="1925">
        <v>205.23</v>
      </c>
      <c r="F753" s="1917"/>
      <c r="G753" s="1925">
        <v>577</v>
      </c>
      <c r="I753" s="1927"/>
    </row>
    <row r="754" spans="1:9" x14ac:dyDescent="0.25">
      <c r="A754" s="1941">
        <v>200</v>
      </c>
      <c r="B754" s="1901" t="s">
        <v>49</v>
      </c>
      <c r="C754" s="1906"/>
      <c r="D754" s="1906"/>
      <c r="E754" s="1925">
        <v>205.23</v>
      </c>
      <c r="F754" s="1916"/>
      <c r="G754" s="1925">
        <v>577</v>
      </c>
      <c r="I754" s="1927"/>
    </row>
    <row r="755" spans="1:9" x14ac:dyDescent="0.25">
      <c r="A755" s="1941" t="s">
        <v>3594</v>
      </c>
      <c r="B755" s="1901" t="s">
        <v>2498</v>
      </c>
      <c r="C755" s="1905"/>
      <c r="D755" s="1905"/>
      <c r="E755" s="1925">
        <v>7765.2</v>
      </c>
      <c r="F755" s="1916"/>
      <c r="G755" s="1925">
        <v>10000</v>
      </c>
      <c r="I755" s="1927"/>
    </row>
    <row r="756" spans="1:9" x14ac:dyDescent="0.25">
      <c r="A756" s="1941">
        <v>300</v>
      </c>
      <c r="B756" s="1901" t="s">
        <v>1100</v>
      </c>
      <c r="C756" s="1906"/>
      <c r="D756" s="1906"/>
      <c r="E756" s="1925">
        <v>7765.2</v>
      </c>
      <c r="F756" s="1916"/>
      <c r="G756" s="1925">
        <v>10000</v>
      </c>
      <c r="I756" s="1927"/>
    </row>
    <row r="757" spans="1:9" x14ac:dyDescent="0.25">
      <c r="A757" s="1941" t="s">
        <v>3595</v>
      </c>
      <c r="B757" s="1901" t="s">
        <v>2499</v>
      </c>
      <c r="C757" s="1906"/>
      <c r="D757" s="1906"/>
      <c r="E757" s="1925">
        <v>0</v>
      </c>
      <c r="F757" s="1917"/>
      <c r="G757" s="1925">
        <v>100</v>
      </c>
      <c r="I757" s="1927"/>
    </row>
    <row r="758" spans="1:9" x14ac:dyDescent="0.25">
      <c r="A758" s="1941">
        <v>400</v>
      </c>
      <c r="B758" s="1901" t="s">
        <v>2256</v>
      </c>
      <c r="C758" s="1906"/>
      <c r="D758" s="1906"/>
      <c r="E758" s="1925">
        <v>0</v>
      </c>
      <c r="F758" s="1917"/>
      <c r="G758" s="1925">
        <v>100</v>
      </c>
      <c r="I758" s="1927"/>
    </row>
    <row r="759" spans="1:9" x14ac:dyDescent="0.25">
      <c r="A759" s="1941">
        <v>2213</v>
      </c>
      <c r="B759" s="1901" t="s">
        <v>2500</v>
      </c>
      <c r="C759" s="1906"/>
      <c r="D759" s="1906"/>
      <c r="E759" s="1925">
        <v>9796.93</v>
      </c>
      <c r="F759" s="1917"/>
      <c r="G759" s="1925">
        <v>15677</v>
      </c>
      <c r="I759" s="1927"/>
    </row>
    <row r="760" spans="1:9" x14ac:dyDescent="0.25">
      <c r="A760" s="1941" t="s">
        <v>3441</v>
      </c>
      <c r="B760" s="1901" t="s">
        <v>2485</v>
      </c>
      <c r="C760" s="1906"/>
      <c r="D760" s="1906"/>
      <c r="E760" s="1925">
        <v>12060</v>
      </c>
      <c r="F760" s="1917"/>
      <c r="G760" s="1925">
        <v>11799</v>
      </c>
      <c r="I760" s="1927"/>
    </row>
    <row r="761" spans="1:9" x14ac:dyDescent="0.25">
      <c r="A761" s="1941" t="s">
        <v>3441</v>
      </c>
      <c r="B761" s="1901" t="s">
        <v>2501</v>
      </c>
      <c r="C761" s="1906"/>
      <c r="D761" s="1906"/>
      <c r="E761" s="1925">
        <v>6339</v>
      </c>
      <c r="F761" s="1917"/>
      <c r="G761" s="1925">
        <v>6327</v>
      </c>
      <c r="I761" s="1927"/>
    </row>
    <row r="762" spans="1:9" x14ac:dyDescent="0.25">
      <c r="A762" s="1941">
        <v>300</v>
      </c>
      <c r="B762" s="1901" t="s">
        <v>1100</v>
      </c>
      <c r="C762" s="1906"/>
      <c r="D762" s="1906"/>
      <c r="E762" s="1925">
        <v>18399</v>
      </c>
      <c r="F762" s="1917"/>
      <c r="G762" s="1925">
        <v>18126</v>
      </c>
      <c r="I762" s="1927"/>
    </row>
    <row r="763" spans="1:9" x14ac:dyDescent="0.25">
      <c r="A763" s="1941" t="s">
        <v>3442</v>
      </c>
      <c r="B763" s="1901" t="s">
        <v>2501</v>
      </c>
      <c r="C763" s="1906"/>
      <c r="D763" s="1906"/>
      <c r="E763" s="1925">
        <v>5569</v>
      </c>
      <c r="F763" s="1917"/>
      <c r="G763" s="1925">
        <v>5569</v>
      </c>
      <c r="I763" s="1927"/>
    </row>
    <row r="764" spans="1:9" x14ac:dyDescent="0.25">
      <c r="A764" s="1941">
        <v>400</v>
      </c>
      <c r="B764" s="1901" t="s">
        <v>2256</v>
      </c>
      <c r="C764" s="1906"/>
      <c r="D764" s="1906"/>
      <c r="E764" s="1925">
        <v>5569</v>
      </c>
      <c r="F764" s="1917"/>
      <c r="G764" s="1925">
        <v>5569</v>
      </c>
      <c r="I764" s="1927"/>
    </row>
    <row r="765" spans="1:9" x14ac:dyDescent="0.25">
      <c r="A765" s="1941" t="s">
        <v>3443</v>
      </c>
      <c r="B765" s="1901" t="s">
        <v>2485</v>
      </c>
      <c r="C765" s="1906"/>
      <c r="D765" s="1906"/>
      <c r="E765" s="1925">
        <v>22744</v>
      </c>
      <c r="F765" s="1917"/>
      <c r="G765" s="1925">
        <v>22744</v>
      </c>
      <c r="I765" s="1927"/>
    </row>
    <row r="766" spans="1:9" x14ac:dyDescent="0.25">
      <c r="A766" s="1941" t="s">
        <v>3443</v>
      </c>
      <c r="B766" s="1901" t="s">
        <v>2501</v>
      </c>
      <c r="C766" s="1906"/>
      <c r="D766" s="1906"/>
      <c r="E766" s="1925">
        <v>19178</v>
      </c>
      <c r="F766" s="1917"/>
      <c r="G766" s="1925">
        <v>20400</v>
      </c>
      <c r="I766" s="1927"/>
    </row>
    <row r="767" spans="1:9" x14ac:dyDescent="0.25">
      <c r="A767" s="1941">
        <v>500</v>
      </c>
      <c r="B767" s="1901" t="s">
        <v>1095</v>
      </c>
      <c r="C767" s="1906"/>
      <c r="D767" s="1906"/>
      <c r="E767" s="1925">
        <v>41922</v>
      </c>
      <c r="F767" s="1917"/>
      <c r="G767" s="1925">
        <v>43144</v>
      </c>
      <c r="I767" s="1927"/>
    </row>
    <row r="768" spans="1:9" x14ac:dyDescent="0.25">
      <c r="A768" s="1941">
        <v>2220</v>
      </c>
      <c r="B768" s="1901" t="s">
        <v>815</v>
      </c>
      <c r="C768" s="1906"/>
      <c r="D768" s="1906"/>
      <c r="E768" s="1925">
        <v>65890</v>
      </c>
      <c r="F768" s="1917"/>
      <c r="G768" s="1925">
        <v>66839</v>
      </c>
      <c r="I768" s="1927"/>
    </row>
    <row r="769" spans="1:9" x14ac:dyDescent="0.25">
      <c r="A769" s="1941" t="s">
        <v>3548</v>
      </c>
      <c r="B769" s="1901" t="s">
        <v>2502</v>
      </c>
      <c r="C769" s="1905"/>
      <c r="D769" s="1905"/>
      <c r="E769" s="1925">
        <v>68701</v>
      </c>
      <c r="F769" s="1917"/>
      <c r="G769" s="1925">
        <v>68701</v>
      </c>
      <c r="I769" s="1927"/>
    </row>
    <row r="770" spans="1:9" x14ac:dyDescent="0.25">
      <c r="A770" s="1941" t="s">
        <v>3549</v>
      </c>
      <c r="B770" s="1901" t="s">
        <v>2503</v>
      </c>
      <c r="C770" s="1905"/>
      <c r="D770" s="1906"/>
      <c r="E770" s="1925">
        <v>35245.440000000002</v>
      </c>
      <c r="F770" s="1916"/>
      <c r="G770" s="1925">
        <v>35245</v>
      </c>
      <c r="I770" s="1927"/>
    </row>
    <row r="771" spans="1:9" x14ac:dyDescent="0.25">
      <c r="A771" s="1941" t="s">
        <v>3549</v>
      </c>
      <c r="B771" s="1901" t="s">
        <v>2503</v>
      </c>
      <c r="C771" s="1906"/>
      <c r="D771" s="1906"/>
      <c r="E771" s="1925">
        <v>16729.86</v>
      </c>
      <c r="F771" s="1917"/>
      <c r="G771" s="1925">
        <v>16729</v>
      </c>
      <c r="I771" s="1927"/>
    </row>
    <row r="772" spans="1:9" x14ac:dyDescent="0.25">
      <c r="A772" s="1941" t="s">
        <v>3549</v>
      </c>
      <c r="B772" s="1901" t="s">
        <v>2504</v>
      </c>
      <c r="C772" s="1906"/>
      <c r="D772" s="1906"/>
      <c r="E772" s="1925">
        <v>21110.89</v>
      </c>
      <c r="F772" s="1917"/>
      <c r="G772" s="1925">
        <v>21111</v>
      </c>
      <c r="I772" s="1927"/>
    </row>
    <row r="773" spans="1:9" x14ac:dyDescent="0.25">
      <c r="A773" s="1941" t="s">
        <v>3549</v>
      </c>
      <c r="B773" s="1901" t="s">
        <v>2503</v>
      </c>
      <c r="C773" s="1906"/>
      <c r="D773" s="1906"/>
      <c r="E773" s="1925">
        <v>21432.32</v>
      </c>
      <c r="F773" s="1916"/>
      <c r="G773" s="1925">
        <v>21432</v>
      </c>
      <c r="I773" s="1927"/>
    </row>
    <row r="774" spans="1:9" x14ac:dyDescent="0.25">
      <c r="A774" s="1941" t="s">
        <v>3549</v>
      </c>
      <c r="B774" s="1901" t="s">
        <v>2505</v>
      </c>
      <c r="C774" s="1902"/>
      <c r="D774" s="1902"/>
      <c r="E774" s="1925">
        <v>0</v>
      </c>
      <c r="F774" s="1920"/>
      <c r="G774" s="1925">
        <v>0</v>
      </c>
      <c r="I774" s="1927"/>
    </row>
    <row r="775" spans="1:9" x14ac:dyDescent="0.25">
      <c r="A775" s="1941">
        <v>100</v>
      </c>
      <c r="B775" s="1901" t="s">
        <v>194</v>
      </c>
      <c r="C775" s="1906"/>
      <c r="D775" s="1906"/>
      <c r="E775" s="1925">
        <v>163219.51</v>
      </c>
      <c r="F775" s="1917"/>
      <c r="G775" s="1925">
        <v>163218</v>
      </c>
      <c r="I775" s="1927"/>
    </row>
    <row r="776" spans="1:9" x14ac:dyDescent="0.25">
      <c r="A776" s="1941" t="s">
        <v>3550</v>
      </c>
      <c r="B776" s="1901" t="s">
        <v>2506</v>
      </c>
      <c r="C776" s="1902"/>
      <c r="D776" s="1902"/>
      <c r="E776" s="1925">
        <v>7940.1</v>
      </c>
      <c r="F776" s="1920"/>
      <c r="G776" s="1925">
        <v>7940</v>
      </c>
      <c r="I776" s="1927"/>
    </row>
    <row r="777" spans="1:9" x14ac:dyDescent="0.25">
      <c r="A777" s="1941" t="s">
        <v>3551</v>
      </c>
      <c r="B777" s="1901" t="s">
        <v>2507</v>
      </c>
      <c r="C777" s="1905"/>
      <c r="D777" s="1906"/>
      <c r="E777" s="1925">
        <v>8155.2</v>
      </c>
      <c r="F777" s="1917"/>
      <c r="G777" s="1925">
        <v>8155</v>
      </c>
      <c r="I777" s="1927"/>
    </row>
    <row r="778" spans="1:9" x14ac:dyDescent="0.25">
      <c r="A778" s="1941" t="s">
        <v>3551</v>
      </c>
      <c r="B778" s="1901" t="s">
        <v>2507</v>
      </c>
      <c r="C778" s="1905"/>
      <c r="D778" s="1906"/>
      <c r="E778" s="1925">
        <v>8218.06</v>
      </c>
      <c r="F778" s="1917"/>
      <c r="G778" s="1925">
        <v>8155</v>
      </c>
      <c r="I778" s="1927"/>
    </row>
    <row r="779" spans="1:9" x14ac:dyDescent="0.25">
      <c r="A779" s="1941" t="s">
        <v>3551</v>
      </c>
      <c r="B779" s="1901" t="s">
        <v>2507</v>
      </c>
      <c r="C779" s="1905"/>
      <c r="D779" s="1906"/>
      <c r="E779" s="1925">
        <v>8155.2</v>
      </c>
      <c r="F779" s="1917"/>
      <c r="G779" s="1925">
        <v>8155</v>
      </c>
      <c r="I779" s="1927"/>
    </row>
    <row r="780" spans="1:9" x14ac:dyDescent="0.25">
      <c r="A780" s="1941" t="s">
        <v>3551</v>
      </c>
      <c r="B780" s="1901" t="s">
        <v>2507</v>
      </c>
      <c r="C780" s="1902"/>
      <c r="D780" s="1902"/>
      <c r="E780" s="1925">
        <v>12645.72</v>
      </c>
      <c r="F780" s="1920"/>
      <c r="G780" s="1925">
        <v>12646</v>
      </c>
      <c r="I780" s="1927"/>
    </row>
    <row r="781" spans="1:9" x14ac:dyDescent="0.25">
      <c r="A781" s="1941" t="s">
        <v>3551</v>
      </c>
      <c r="B781" s="1901" t="s">
        <v>2508</v>
      </c>
      <c r="C781" s="1905"/>
      <c r="D781" s="1906"/>
      <c r="E781" s="1925">
        <v>8155.2</v>
      </c>
      <c r="F781" s="1917"/>
      <c r="G781" s="1925">
        <v>8155</v>
      </c>
      <c r="I781" s="1927"/>
    </row>
    <row r="782" spans="1:9" x14ac:dyDescent="0.25">
      <c r="A782" s="1941" t="s">
        <v>3551</v>
      </c>
      <c r="B782" s="1901" t="s">
        <v>2507</v>
      </c>
      <c r="C782" s="1902"/>
      <c r="D782" s="1902"/>
      <c r="E782" s="1925">
        <v>0</v>
      </c>
      <c r="F782" s="1920"/>
      <c r="G782" s="1925">
        <v>0</v>
      </c>
      <c r="I782" s="1927"/>
    </row>
    <row r="783" spans="1:9" x14ac:dyDescent="0.25">
      <c r="A783" s="1941" t="s">
        <v>3552</v>
      </c>
      <c r="B783" s="1901" t="s">
        <v>2509</v>
      </c>
      <c r="C783" s="1906"/>
      <c r="D783" s="1905"/>
      <c r="E783" s="1925">
        <v>53.9</v>
      </c>
      <c r="F783" s="1917"/>
      <c r="G783" s="1925">
        <v>59</v>
      </c>
      <c r="I783" s="1927"/>
    </row>
    <row r="784" spans="1:9" x14ac:dyDescent="0.25">
      <c r="A784" s="1941" t="s">
        <v>3552</v>
      </c>
      <c r="B784" s="1901" t="s">
        <v>2509</v>
      </c>
      <c r="C784" s="1905"/>
      <c r="D784" s="1905"/>
      <c r="E784" s="1925">
        <v>54.35</v>
      </c>
      <c r="F784" s="1917"/>
      <c r="G784" s="1925">
        <v>59</v>
      </c>
      <c r="I784" s="1927"/>
    </row>
    <row r="785" spans="1:9" x14ac:dyDescent="0.25">
      <c r="A785" s="1941" t="s">
        <v>3552</v>
      </c>
      <c r="B785" s="1901" t="s">
        <v>2509</v>
      </c>
      <c r="C785" s="1906"/>
      <c r="D785" s="1905"/>
      <c r="E785" s="1925">
        <v>53.9</v>
      </c>
      <c r="F785" s="1917"/>
      <c r="G785" s="1925">
        <v>59</v>
      </c>
      <c r="I785" s="1927"/>
    </row>
    <row r="786" spans="1:9" x14ac:dyDescent="0.25">
      <c r="A786" s="1941" t="s">
        <v>3552</v>
      </c>
      <c r="B786" s="1901" t="s">
        <v>2509</v>
      </c>
      <c r="C786" s="1906"/>
      <c r="D786" s="1905"/>
      <c r="E786" s="1925">
        <v>141.02000000000001</v>
      </c>
      <c r="F786" s="1920"/>
      <c r="G786" s="1925">
        <v>154</v>
      </c>
      <c r="I786" s="1927"/>
    </row>
    <row r="787" spans="1:9" x14ac:dyDescent="0.25">
      <c r="A787" s="1941" t="s">
        <v>3552</v>
      </c>
      <c r="B787" s="1901" t="s">
        <v>2510</v>
      </c>
      <c r="C787" s="1906"/>
      <c r="D787" s="1905"/>
      <c r="E787" s="1925">
        <v>53.9</v>
      </c>
      <c r="F787" s="1920"/>
      <c r="G787" s="1925">
        <v>59</v>
      </c>
      <c r="I787" s="1927"/>
    </row>
    <row r="788" spans="1:9" x14ac:dyDescent="0.25">
      <c r="A788" s="1941" t="s">
        <v>3552</v>
      </c>
      <c r="B788" s="1901" t="s">
        <v>2509</v>
      </c>
      <c r="C788" s="1906"/>
      <c r="D788" s="1905"/>
      <c r="E788" s="1925">
        <v>0</v>
      </c>
      <c r="F788" s="1920"/>
      <c r="G788" s="1925">
        <v>0</v>
      </c>
      <c r="I788" s="1927"/>
    </row>
    <row r="789" spans="1:9" x14ac:dyDescent="0.25">
      <c r="A789" s="1941" t="s">
        <v>3552</v>
      </c>
      <c r="B789" s="1901" t="s">
        <v>2511</v>
      </c>
      <c r="C789" s="1906"/>
      <c r="D789" s="1905"/>
      <c r="E789" s="1925">
        <v>4.9000000000000004</v>
      </c>
      <c r="F789" s="1920"/>
      <c r="G789" s="1925">
        <v>0</v>
      </c>
      <c r="I789" s="1927"/>
    </row>
    <row r="790" spans="1:9" x14ac:dyDescent="0.25">
      <c r="A790" s="1941" t="s">
        <v>3552</v>
      </c>
      <c r="B790" s="1901" t="s">
        <v>2511</v>
      </c>
      <c r="C790" s="1906"/>
      <c r="D790" s="1905"/>
      <c r="E790" s="1925">
        <v>4.9000000000000004</v>
      </c>
      <c r="F790" s="1920"/>
      <c r="G790" s="1925">
        <v>0</v>
      </c>
      <c r="I790" s="1927"/>
    </row>
    <row r="791" spans="1:9" x14ac:dyDescent="0.25">
      <c r="A791" s="1941" t="s">
        <v>3552</v>
      </c>
      <c r="B791" s="1901" t="s">
        <v>2511</v>
      </c>
      <c r="C791" s="1906"/>
      <c r="D791" s="1905"/>
      <c r="E791" s="1925">
        <v>4.9000000000000004</v>
      </c>
      <c r="F791" s="1920"/>
      <c r="G791" s="1925">
        <v>0</v>
      </c>
      <c r="I791" s="1927"/>
    </row>
    <row r="792" spans="1:9" x14ac:dyDescent="0.25">
      <c r="A792" s="1941" t="s">
        <v>3552</v>
      </c>
      <c r="B792" s="1901" t="s">
        <v>2511</v>
      </c>
      <c r="C792" s="1906"/>
      <c r="D792" s="1905"/>
      <c r="E792" s="1925">
        <v>12.82</v>
      </c>
      <c r="F792" s="1920"/>
      <c r="G792" s="1925">
        <v>0</v>
      </c>
      <c r="I792" s="1927"/>
    </row>
    <row r="793" spans="1:9" x14ac:dyDescent="0.25">
      <c r="A793" s="1941" t="s">
        <v>3552</v>
      </c>
      <c r="B793" s="1901" t="s">
        <v>2512</v>
      </c>
      <c r="C793" s="1906"/>
      <c r="D793" s="1905"/>
      <c r="E793" s="1925">
        <v>4.9000000000000004</v>
      </c>
      <c r="F793" s="1920"/>
      <c r="G793" s="1925">
        <v>0</v>
      </c>
      <c r="I793" s="1927"/>
    </row>
    <row r="794" spans="1:9" x14ac:dyDescent="0.25">
      <c r="A794" s="1941">
        <v>200</v>
      </c>
      <c r="B794" s="1901" t="s">
        <v>49</v>
      </c>
      <c r="C794" s="1906"/>
      <c r="D794" s="1905"/>
      <c r="E794" s="1925">
        <v>53658.97</v>
      </c>
      <c r="F794" s="1920"/>
      <c r="G794" s="1925">
        <v>53596</v>
      </c>
      <c r="I794" s="1927"/>
    </row>
    <row r="795" spans="1:9" x14ac:dyDescent="0.25">
      <c r="A795" s="1941" t="s">
        <v>3553</v>
      </c>
      <c r="B795" s="1901" t="s">
        <v>2513</v>
      </c>
      <c r="C795" s="1906"/>
      <c r="D795" s="1905"/>
      <c r="E795" s="1925">
        <v>196.08</v>
      </c>
      <c r="F795" s="1920"/>
      <c r="G795" s="1925">
        <v>200</v>
      </c>
      <c r="I795" s="1927"/>
    </row>
    <row r="796" spans="1:9" x14ac:dyDescent="0.25">
      <c r="A796" s="1941" t="s">
        <v>3553</v>
      </c>
      <c r="B796" s="1901" t="s">
        <v>2514</v>
      </c>
      <c r="C796" s="1906"/>
      <c r="D796" s="1905"/>
      <c r="E796" s="1925">
        <v>195.05</v>
      </c>
      <c r="F796" s="1920"/>
      <c r="G796" s="1925">
        <v>200</v>
      </c>
      <c r="I796" s="1927"/>
    </row>
    <row r="797" spans="1:9" x14ac:dyDescent="0.25">
      <c r="A797" s="1941" t="s">
        <v>3553</v>
      </c>
      <c r="B797" s="1901" t="s">
        <v>2515</v>
      </c>
      <c r="C797" s="1906"/>
      <c r="D797" s="1905"/>
      <c r="E797" s="1925">
        <v>132.77000000000001</v>
      </c>
      <c r="F797" s="1920"/>
      <c r="G797" s="1925">
        <v>200</v>
      </c>
      <c r="I797" s="1927"/>
    </row>
    <row r="798" spans="1:9" x14ac:dyDescent="0.25">
      <c r="A798" s="1941" t="s">
        <v>3553</v>
      </c>
      <c r="B798" s="1901" t="s">
        <v>2516</v>
      </c>
      <c r="C798" s="1906"/>
      <c r="D798" s="1905"/>
      <c r="E798" s="1925">
        <v>179.83</v>
      </c>
      <c r="F798" s="1920"/>
      <c r="G798" s="1925">
        <v>200</v>
      </c>
      <c r="I798" s="1927"/>
    </row>
    <row r="799" spans="1:9" x14ac:dyDescent="0.25">
      <c r="A799" s="1941" t="s">
        <v>3553</v>
      </c>
      <c r="B799" s="1901" t="s">
        <v>2517</v>
      </c>
      <c r="C799" s="1906"/>
      <c r="D799" s="1905"/>
      <c r="E799" s="1925">
        <v>194.23</v>
      </c>
      <c r="F799" s="1920"/>
      <c r="G799" s="1925">
        <v>200</v>
      </c>
      <c r="I799" s="1927"/>
    </row>
    <row r="800" spans="1:9" x14ac:dyDescent="0.25">
      <c r="A800" s="1941" t="s">
        <v>3554</v>
      </c>
      <c r="B800" s="1901" t="s">
        <v>2518</v>
      </c>
      <c r="C800" s="1906"/>
      <c r="D800" s="1905"/>
      <c r="E800" s="1925">
        <v>1638.56</v>
      </c>
      <c r="F800" s="1920"/>
      <c r="G800" s="1925">
        <v>2000</v>
      </c>
      <c r="I800" s="1927"/>
    </row>
    <row r="801" spans="1:9" x14ac:dyDescent="0.25">
      <c r="A801" s="1941" t="s">
        <v>3554</v>
      </c>
      <c r="B801" s="1901" t="s">
        <v>2519</v>
      </c>
      <c r="C801" s="1906"/>
      <c r="D801" s="1905"/>
      <c r="E801" s="1925">
        <v>1993.75</v>
      </c>
      <c r="F801" s="1920"/>
      <c r="G801" s="1925">
        <v>2000</v>
      </c>
      <c r="I801" s="1927"/>
    </row>
    <row r="802" spans="1:9" x14ac:dyDescent="0.25">
      <c r="A802" s="1941" t="s">
        <v>3554</v>
      </c>
      <c r="B802" s="1901" t="s">
        <v>2520</v>
      </c>
      <c r="C802" s="1906"/>
      <c r="D802" s="1905"/>
      <c r="E802" s="1925">
        <v>1972.16</v>
      </c>
      <c r="F802" s="1920"/>
      <c r="G802" s="1925">
        <v>2000</v>
      </c>
      <c r="I802" s="1927"/>
    </row>
    <row r="803" spans="1:9" x14ac:dyDescent="0.25">
      <c r="A803" s="1941" t="s">
        <v>3554</v>
      </c>
      <c r="B803" s="1901" t="s">
        <v>2521</v>
      </c>
      <c r="C803" s="1906"/>
      <c r="D803" s="1905"/>
      <c r="E803" s="1925">
        <v>1415.5</v>
      </c>
      <c r="F803" s="1920"/>
      <c r="G803" s="1925">
        <v>2000</v>
      </c>
      <c r="I803" s="1927"/>
    </row>
    <row r="804" spans="1:9" x14ac:dyDescent="0.25">
      <c r="A804" s="1941" t="s">
        <v>3554</v>
      </c>
      <c r="B804" s="1901" t="s">
        <v>2522</v>
      </c>
      <c r="C804" s="1906"/>
      <c r="D804" s="1905"/>
      <c r="E804" s="1925">
        <v>1983.19</v>
      </c>
      <c r="F804" s="1920"/>
      <c r="G804" s="1925">
        <v>2000</v>
      </c>
      <c r="I804" s="1927"/>
    </row>
    <row r="805" spans="1:9" x14ac:dyDescent="0.25">
      <c r="A805" s="1941" t="s">
        <v>3554</v>
      </c>
      <c r="B805" s="1901" t="s">
        <v>2523</v>
      </c>
      <c r="C805" s="1906"/>
      <c r="D805" s="1905"/>
      <c r="E805" s="1925">
        <v>1372.95</v>
      </c>
      <c r="F805" s="1920"/>
      <c r="G805" s="1925">
        <v>1398.75</v>
      </c>
      <c r="I805" s="1927"/>
    </row>
    <row r="806" spans="1:9" x14ac:dyDescent="0.25">
      <c r="A806" s="1941">
        <v>400</v>
      </c>
      <c r="B806" s="1901" t="s">
        <v>2256</v>
      </c>
      <c r="C806" s="1906"/>
      <c r="D806" s="1905"/>
      <c r="E806" s="1925">
        <v>11274.07</v>
      </c>
      <c r="F806" s="1920"/>
      <c r="G806" s="1925">
        <v>12398.75</v>
      </c>
      <c r="I806" s="1927"/>
    </row>
    <row r="807" spans="1:9" x14ac:dyDescent="0.25">
      <c r="A807" s="1941">
        <v>2222</v>
      </c>
      <c r="B807" s="1901" t="s">
        <v>2524</v>
      </c>
      <c r="C807" s="1906"/>
      <c r="D807" s="1905"/>
      <c r="E807" s="1925">
        <v>228152.55</v>
      </c>
      <c r="F807" s="1920"/>
      <c r="G807" s="1925">
        <v>229212.75</v>
      </c>
      <c r="I807" s="1927"/>
    </row>
    <row r="808" spans="1:9" x14ac:dyDescent="0.25">
      <c r="A808" s="1941" t="s">
        <v>3613</v>
      </c>
      <c r="B808" s="1901" t="s">
        <v>2525</v>
      </c>
      <c r="C808" s="1906"/>
      <c r="D808" s="1905"/>
      <c r="E808" s="1925">
        <v>66949.98</v>
      </c>
      <c r="F808" s="1920"/>
      <c r="G808" s="1925">
        <v>66950</v>
      </c>
      <c r="I808" s="1927"/>
    </row>
    <row r="809" spans="1:9" x14ac:dyDescent="0.25">
      <c r="A809" s="1941" t="s">
        <v>3614</v>
      </c>
      <c r="B809" s="1901" t="s">
        <v>2526</v>
      </c>
      <c r="C809" s="1906"/>
      <c r="D809" s="1905"/>
      <c r="E809" s="1925">
        <v>93408.24</v>
      </c>
      <c r="F809" s="1920"/>
      <c r="G809" s="1925">
        <v>93408</v>
      </c>
      <c r="I809" s="1927"/>
    </row>
    <row r="810" spans="1:9" x14ac:dyDescent="0.25">
      <c r="A810" s="1941">
        <v>100</v>
      </c>
      <c r="B810" s="1901" t="s">
        <v>194</v>
      </c>
      <c r="C810" s="1906"/>
      <c r="D810" s="1905"/>
      <c r="E810" s="1925">
        <v>160358.22</v>
      </c>
      <c r="F810" s="1920"/>
      <c r="G810" s="1925">
        <v>160358</v>
      </c>
      <c r="I810" s="1927"/>
    </row>
    <row r="811" spans="1:9" x14ac:dyDescent="0.25">
      <c r="A811" s="1941" t="s">
        <v>3615</v>
      </c>
      <c r="B811" s="1901" t="s">
        <v>2527</v>
      </c>
      <c r="C811" s="1906"/>
      <c r="D811" s="1905"/>
      <c r="E811" s="1925">
        <v>42744.9</v>
      </c>
      <c r="F811" s="1920"/>
      <c r="G811" s="1925">
        <v>42744.9</v>
      </c>
      <c r="I811" s="1927"/>
    </row>
    <row r="812" spans="1:9" x14ac:dyDescent="0.25">
      <c r="A812" s="1941" t="s">
        <v>3616</v>
      </c>
      <c r="B812" s="1901" t="s">
        <v>2528</v>
      </c>
      <c r="C812" s="1906"/>
      <c r="D812" s="1905"/>
      <c r="E812" s="1925">
        <v>471.32</v>
      </c>
      <c r="F812" s="1920"/>
      <c r="G812" s="1925">
        <v>471</v>
      </c>
      <c r="I812" s="1927"/>
    </row>
    <row r="813" spans="1:9" x14ac:dyDescent="0.25">
      <c r="A813" s="1941">
        <v>200</v>
      </c>
      <c r="B813" s="1901" t="s">
        <v>49</v>
      </c>
      <c r="C813" s="1906"/>
      <c r="D813" s="1905"/>
      <c r="E813" s="1925">
        <v>43216.22</v>
      </c>
      <c r="F813" s="1920"/>
      <c r="G813" s="1925">
        <v>43215.9</v>
      </c>
      <c r="I813" s="1927"/>
    </row>
    <row r="814" spans="1:9" x14ac:dyDescent="0.25">
      <c r="A814" s="1941" t="s">
        <v>3617</v>
      </c>
      <c r="B814" s="1901" t="s">
        <v>2529</v>
      </c>
      <c r="C814" s="1906"/>
      <c r="D814" s="1905"/>
      <c r="E814" s="1925">
        <v>56374.37</v>
      </c>
      <c r="F814" s="1920"/>
      <c r="G814" s="1925">
        <v>64400</v>
      </c>
      <c r="I814" s="1927"/>
    </row>
    <row r="815" spans="1:9" x14ac:dyDescent="0.25">
      <c r="A815" s="1941" t="s">
        <v>3618</v>
      </c>
      <c r="B815" s="1901" t="s">
        <v>2530</v>
      </c>
      <c r="C815" s="1905"/>
      <c r="D815" s="1905"/>
      <c r="E815" s="1925">
        <v>6000</v>
      </c>
      <c r="F815" s="1920"/>
      <c r="G815" s="1925">
        <v>6000</v>
      </c>
      <c r="I815" s="1927"/>
    </row>
    <row r="816" spans="1:9" x14ac:dyDescent="0.25">
      <c r="A816" s="1941" t="s">
        <v>3619</v>
      </c>
      <c r="B816" s="1901" t="s">
        <v>2531</v>
      </c>
      <c r="C816" s="1905"/>
      <c r="D816" s="1905"/>
      <c r="E816" s="1925">
        <v>752.5</v>
      </c>
      <c r="F816" s="1920"/>
      <c r="G816" s="1925">
        <v>10000</v>
      </c>
      <c r="I816" s="1927"/>
    </row>
    <row r="817" spans="1:9" x14ac:dyDescent="0.25">
      <c r="A817" s="1941" t="s">
        <v>3620</v>
      </c>
      <c r="B817" s="1901" t="s">
        <v>2532</v>
      </c>
      <c r="C817" s="1906"/>
      <c r="D817" s="1905"/>
      <c r="E817" s="1925">
        <v>39000</v>
      </c>
      <c r="F817" s="1920"/>
      <c r="G817" s="1925">
        <v>39200</v>
      </c>
      <c r="I817" s="1927"/>
    </row>
    <row r="818" spans="1:9" x14ac:dyDescent="0.25">
      <c r="A818" s="1941" t="s">
        <v>3621</v>
      </c>
      <c r="B818" s="1901" t="s">
        <v>2533</v>
      </c>
      <c r="C818" s="1905"/>
      <c r="D818" s="1905"/>
      <c r="E818" s="1925">
        <v>1770.46</v>
      </c>
      <c r="F818" s="1920"/>
      <c r="G818" s="1925">
        <v>2280</v>
      </c>
      <c r="I818" s="1927"/>
    </row>
    <row r="819" spans="1:9" x14ac:dyDescent="0.25">
      <c r="A819" s="1941" t="s">
        <v>3622</v>
      </c>
      <c r="B819" s="1901" t="s">
        <v>2534</v>
      </c>
      <c r="C819" s="1905"/>
      <c r="D819" s="1905"/>
      <c r="E819" s="1925">
        <v>102516.3</v>
      </c>
      <c r="F819" s="1920"/>
      <c r="G819" s="1925">
        <v>98000</v>
      </c>
      <c r="I819" s="1927"/>
    </row>
    <row r="820" spans="1:9" x14ac:dyDescent="0.25">
      <c r="A820" s="1941" t="s">
        <v>3623</v>
      </c>
      <c r="B820" s="1901" t="s">
        <v>2535</v>
      </c>
      <c r="C820" s="1906"/>
      <c r="D820" s="1905"/>
      <c r="E820" s="1925">
        <v>18090.900000000001</v>
      </c>
      <c r="F820" s="1920"/>
      <c r="G820" s="1925">
        <v>25000</v>
      </c>
      <c r="I820" s="1927"/>
    </row>
    <row r="821" spans="1:9" x14ac:dyDescent="0.25">
      <c r="A821" s="1941" t="s">
        <v>3624</v>
      </c>
      <c r="B821" s="1901" t="s">
        <v>2536</v>
      </c>
      <c r="C821" s="1906"/>
      <c r="D821" s="1905"/>
      <c r="E821" s="1925">
        <v>11275.01</v>
      </c>
      <c r="F821" s="1920"/>
      <c r="G821" s="1925">
        <v>10000</v>
      </c>
      <c r="I821" s="1927"/>
    </row>
    <row r="822" spans="1:9" x14ac:dyDescent="0.25">
      <c r="A822" s="1941">
        <v>300</v>
      </c>
      <c r="B822" s="1901" t="s">
        <v>1100</v>
      </c>
      <c r="C822" s="1905"/>
      <c r="D822" s="1905"/>
      <c r="E822" s="1925">
        <v>235779.54</v>
      </c>
      <c r="F822" s="1920"/>
      <c r="G822" s="1925">
        <v>254880</v>
      </c>
      <c r="I822" s="1927"/>
    </row>
    <row r="823" spans="1:9" x14ac:dyDescent="0.25">
      <c r="A823" s="1941" t="s">
        <v>3625</v>
      </c>
      <c r="B823" s="1901" t="s">
        <v>2537</v>
      </c>
      <c r="C823" s="1905"/>
      <c r="D823" s="1905"/>
      <c r="E823" s="1925">
        <v>4578.8100000000004</v>
      </c>
      <c r="F823" s="1920"/>
      <c r="G823" s="1925">
        <v>6000</v>
      </c>
      <c r="I823" s="1927"/>
    </row>
    <row r="824" spans="1:9" x14ac:dyDescent="0.25">
      <c r="A824" s="1941" t="s">
        <v>3626</v>
      </c>
      <c r="B824" s="1901" t="s">
        <v>2538</v>
      </c>
      <c r="C824" s="1905"/>
      <c r="D824" s="1905"/>
      <c r="E824" s="1925">
        <v>16911.990000000002</v>
      </c>
      <c r="F824" s="1920"/>
      <c r="G824" s="1925">
        <v>22500</v>
      </c>
      <c r="I824" s="1927"/>
    </row>
    <row r="825" spans="1:9" x14ac:dyDescent="0.25">
      <c r="A825" s="1941" t="s">
        <v>3626</v>
      </c>
      <c r="B825" s="1901" t="s">
        <v>2539</v>
      </c>
      <c r="C825" s="1905"/>
      <c r="D825" s="1905"/>
      <c r="E825" s="1925">
        <v>89</v>
      </c>
      <c r="F825" s="1920"/>
      <c r="G825" s="1925">
        <v>2500</v>
      </c>
      <c r="I825" s="1927"/>
    </row>
    <row r="826" spans="1:9" x14ac:dyDescent="0.25">
      <c r="A826" s="1941">
        <v>400</v>
      </c>
      <c r="B826" s="1901" t="s">
        <v>2256</v>
      </c>
      <c r="C826" s="1905"/>
      <c r="D826" s="1905"/>
      <c r="E826" s="1925">
        <v>21579.8</v>
      </c>
      <c r="F826" s="1920"/>
      <c r="G826" s="1925">
        <v>31000</v>
      </c>
      <c r="I826" s="1927"/>
    </row>
    <row r="827" spans="1:9" x14ac:dyDescent="0.25">
      <c r="A827" s="1941" t="s">
        <v>3627</v>
      </c>
      <c r="B827" s="1901" t="s">
        <v>2540</v>
      </c>
      <c r="C827" s="1905"/>
      <c r="D827" s="1905"/>
      <c r="E827" s="1925">
        <f>245075.89-239424</f>
        <v>5651.890000000014</v>
      </c>
      <c r="F827" s="1920"/>
      <c r="G827" s="1925">
        <v>247500</v>
      </c>
      <c r="I827" s="1927"/>
    </row>
    <row r="828" spans="1:9" x14ac:dyDescent="0.25">
      <c r="A828" s="1941" t="s">
        <v>3628</v>
      </c>
      <c r="B828" s="1901" t="s">
        <v>2541</v>
      </c>
      <c r="C828" s="1905"/>
      <c r="D828" s="1905"/>
      <c r="E828" s="1925">
        <v>83961.41</v>
      </c>
      <c r="F828" s="1920"/>
      <c r="G828" s="1925">
        <v>86141</v>
      </c>
      <c r="I828" s="1927"/>
    </row>
    <row r="829" spans="1:9" x14ac:dyDescent="0.25">
      <c r="A829" s="1941">
        <v>500</v>
      </c>
      <c r="B829" s="1901" t="s">
        <v>1095</v>
      </c>
      <c r="C829" s="1905"/>
      <c r="D829" s="1905"/>
      <c r="E829" s="1925">
        <v>329037.3</v>
      </c>
      <c r="F829" s="1920"/>
      <c r="G829" s="1925">
        <v>333641</v>
      </c>
      <c r="I829" s="1927"/>
    </row>
    <row r="830" spans="1:9" x14ac:dyDescent="0.25">
      <c r="A830" s="1941">
        <v>2224</v>
      </c>
      <c r="B830" s="1901" t="s">
        <v>2542</v>
      </c>
      <c r="C830" s="1905"/>
      <c r="D830" s="1905"/>
      <c r="E830" s="1925">
        <v>789971.08</v>
      </c>
      <c r="F830" s="1920"/>
      <c r="G830" s="1925">
        <v>823094.9</v>
      </c>
      <c r="I830" s="1927"/>
    </row>
    <row r="831" spans="1:9" x14ac:dyDescent="0.25">
      <c r="A831" s="1941" t="s">
        <v>3444</v>
      </c>
      <c r="B831" s="1901" t="s">
        <v>2543</v>
      </c>
      <c r="C831" s="1905"/>
      <c r="D831" s="1905"/>
      <c r="E831" s="1925">
        <v>1620</v>
      </c>
      <c r="F831" s="1920"/>
      <c r="G831" s="1925">
        <v>1620</v>
      </c>
      <c r="I831" s="1927"/>
    </row>
    <row r="832" spans="1:9" x14ac:dyDescent="0.25">
      <c r="A832" s="1941">
        <v>100</v>
      </c>
      <c r="B832" s="1901" t="s">
        <v>194</v>
      </c>
      <c r="C832" s="1905"/>
      <c r="D832" s="1905"/>
      <c r="E832" s="1925">
        <v>1620</v>
      </c>
      <c r="F832" s="1920"/>
      <c r="G832" s="1925">
        <v>1620</v>
      </c>
      <c r="I832" s="1927"/>
    </row>
    <row r="833" spans="1:9" x14ac:dyDescent="0.25">
      <c r="A833" s="1941" t="s">
        <v>3445</v>
      </c>
      <c r="B833" s="1901" t="s">
        <v>2544</v>
      </c>
      <c r="C833" s="1905"/>
      <c r="D833" s="1905"/>
      <c r="E833" s="1925">
        <v>12800</v>
      </c>
      <c r="F833" s="1920"/>
      <c r="G833" s="1925">
        <v>12800</v>
      </c>
      <c r="I833" s="1927"/>
    </row>
    <row r="834" spans="1:9" x14ac:dyDescent="0.25">
      <c r="A834" s="1941" t="s">
        <v>3446</v>
      </c>
      <c r="B834" s="1901" t="s">
        <v>2545</v>
      </c>
      <c r="C834" s="1905"/>
      <c r="D834" s="1905"/>
      <c r="E834" s="1925">
        <v>44136.83</v>
      </c>
      <c r="F834" s="1920"/>
      <c r="G834" s="1925">
        <v>35000</v>
      </c>
      <c r="I834" s="1927"/>
    </row>
    <row r="835" spans="1:9" x14ac:dyDescent="0.25">
      <c r="A835" s="1941" t="s">
        <v>3447</v>
      </c>
      <c r="B835" s="1901" t="s">
        <v>2546</v>
      </c>
      <c r="C835" s="1905"/>
      <c r="D835" s="1905"/>
      <c r="E835" s="1925">
        <v>6076.4</v>
      </c>
      <c r="F835" s="1920"/>
      <c r="G835" s="1925">
        <v>8500</v>
      </c>
      <c r="I835" s="1927"/>
    </row>
    <row r="836" spans="1:9" x14ac:dyDescent="0.25">
      <c r="A836" s="1941" t="s">
        <v>3448</v>
      </c>
      <c r="B836" s="1901" t="s">
        <v>2547</v>
      </c>
      <c r="C836" s="1905"/>
      <c r="D836" s="1905"/>
      <c r="E836" s="1925">
        <v>54271</v>
      </c>
      <c r="F836" s="1920"/>
      <c r="G836" s="1925">
        <v>60000</v>
      </c>
      <c r="I836" s="1927"/>
    </row>
    <row r="837" spans="1:9" x14ac:dyDescent="0.25">
      <c r="A837" s="1941" t="s">
        <v>3449</v>
      </c>
      <c r="B837" s="1901" t="s">
        <v>2548</v>
      </c>
      <c r="C837" s="1905"/>
      <c r="D837" s="1905"/>
      <c r="E837" s="1925">
        <v>15996</v>
      </c>
      <c r="F837" s="1920"/>
      <c r="G837" s="1925">
        <v>16000</v>
      </c>
      <c r="I837" s="1927"/>
    </row>
    <row r="838" spans="1:9" x14ac:dyDescent="0.25">
      <c r="A838" s="1941" t="s">
        <v>3450</v>
      </c>
      <c r="B838" s="1901" t="s">
        <v>2549</v>
      </c>
      <c r="C838" s="1906"/>
      <c r="D838" s="1905"/>
      <c r="E838" s="1925">
        <v>18895.61</v>
      </c>
      <c r="F838" s="1920"/>
      <c r="G838" s="1925">
        <v>50000</v>
      </c>
      <c r="I838" s="1927"/>
    </row>
    <row r="839" spans="1:9" x14ac:dyDescent="0.25">
      <c r="A839" s="1941" t="s">
        <v>3451</v>
      </c>
      <c r="B839" s="1901" t="s">
        <v>2550</v>
      </c>
      <c r="C839" s="1905"/>
      <c r="D839" s="1905"/>
      <c r="E839" s="1925">
        <v>4120</v>
      </c>
      <c r="F839" s="1920"/>
      <c r="G839" s="1925">
        <v>8000</v>
      </c>
      <c r="I839" s="1927"/>
    </row>
    <row r="840" spans="1:9" x14ac:dyDescent="0.25">
      <c r="A840" s="1941">
        <v>300</v>
      </c>
      <c r="B840" s="1901" t="s">
        <v>1100</v>
      </c>
      <c r="C840" s="1905"/>
      <c r="D840" s="1905"/>
      <c r="E840" s="1925">
        <v>156295.84</v>
      </c>
      <c r="F840" s="1920"/>
      <c r="G840" s="1925">
        <v>190300</v>
      </c>
      <c r="I840" s="1927"/>
    </row>
    <row r="841" spans="1:9" x14ac:dyDescent="0.25">
      <c r="A841" s="1941" t="s">
        <v>3452</v>
      </c>
      <c r="B841" s="1901" t="s">
        <v>2551</v>
      </c>
      <c r="C841" s="1906"/>
      <c r="D841" s="1905"/>
      <c r="E841" s="1925">
        <v>550.11</v>
      </c>
      <c r="F841" s="1920"/>
      <c r="G841" s="1925">
        <v>2500</v>
      </c>
      <c r="I841" s="1927"/>
    </row>
    <row r="842" spans="1:9" x14ac:dyDescent="0.25">
      <c r="A842" s="1941">
        <v>400</v>
      </c>
      <c r="B842" s="1901" t="s">
        <v>2256</v>
      </c>
      <c r="C842" s="1905"/>
      <c r="D842" s="1905"/>
      <c r="E842" s="1925">
        <v>550.11</v>
      </c>
      <c r="F842" s="1920"/>
      <c r="G842" s="1925">
        <v>2500</v>
      </c>
      <c r="I842" s="1927"/>
    </row>
    <row r="843" spans="1:9" x14ac:dyDescent="0.25">
      <c r="A843" s="1941" t="s">
        <v>3453</v>
      </c>
      <c r="B843" s="1901" t="s">
        <v>2552</v>
      </c>
      <c r="C843" s="1905"/>
      <c r="D843" s="1905"/>
      <c r="E843" s="1925">
        <v>13932.21</v>
      </c>
      <c r="F843" s="1920"/>
      <c r="G843" s="1925">
        <v>15000</v>
      </c>
      <c r="I843" s="1927"/>
    </row>
    <row r="844" spans="1:9" x14ac:dyDescent="0.25">
      <c r="A844" s="1941">
        <v>600</v>
      </c>
      <c r="B844" s="1901" t="s">
        <v>1096</v>
      </c>
      <c r="C844" s="1905"/>
      <c r="D844" s="1905"/>
      <c r="E844" s="1925">
        <v>13932.21</v>
      </c>
      <c r="F844" s="1920"/>
      <c r="G844" s="1925">
        <v>15000</v>
      </c>
      <c r="I844" s="1927"/>
    </row>
    <row r="845" spans="1:9" x14ac:dyDescent="0.25">
      <c r="A845" s="1941">
        <v>2310</v>
      </c>
      <c r="B845" s="1901" t="s">
        <v>817</v>
      </c>
      <c r="C845" s="1905"/>
      <c r="D845" s="1905"/>
      <c r="E845" s="1925">
        <v>172398.16</v>
      </c>
      <c r="F845" s="1920"/>
      <c r="G845" s="1925">
        <v>209420</v>
      </c>
      <c r="I845" s="1927"/>
    </row>
    <row r="846" spans="1:9" x14ac:dyDescent="0.25">
      <c r="A846" s="1941" t="s">
        <v>3454</v>
      </c>
      <c r="B846" s="1901" t="s">
        <v>2553</v>
      </c>
      <c r="C846" s="1905"/>
      <c r="D846" s="1905"/>
      <c r="E846" s="1925">
        <v>133375.34</v>
      </c>
      <c r="F846" s="1920"/>
      <c r="G846" s="1925">
        <v>133375</v>
      </c>
      <c r="I846" s="1927"/>
    </row>
    <row r="847" spans="1:9" x14ac:dyDescent="0.25">
      <c r="A847" s="1941" t="s">
        <v>3455</v>
      </c>
      <c r="B847" s="1901" t="s">
        <v>2554</v>
      </c>
      <c r="C847" s="1905"/>
      <c r="D847" s="1905"/>
      <c r="E847" s="1925">
        <v>43774.98</v>
      </c>
      <c r="F847" s="1920"/>
      <c r="G847" s="1925">
        <v>43775</v>
      </c>
      <c r="I847" s="1927"/>
    </row>
    <row r="848" spans="1:9" x14ac:dyDescent="0.25">
      <c r="A848" s="1941" t="s">
        <v>3456</v>
      </c>
      <c r="B848" s="1901" t="s">
        <v>2555</v>
      </c>
      <c r="C848" s="1905"/>
      <c r="D848" s="1905"/>
      <c r="E848" s="1925">
        <v>43124.959999999999</v>
      </c>
      <c r="F848" s="1920"/>
      <c r="G848" s="1925">
        <v>43023</v>
      </c>
      <c r="I848" s="1927"/>
    </row>
    <row r="849" spans="1:9" x14ac:dyDescent="0.25">
      <c r="A849" s="1941">
        <v>100</v>
      </c>
      <c r="B849" s="1901" t="s">
        <v>194</v>
      </c>
      <c r="C849" s="1905"/>
      <c r="D849" s="1905"/>
      <c r="E849" s="1925">
        <v>220275.28</v>
      </c>
      <c r="F849" s="1920"/>
      <c r="G849" s="1925">
        <v>220173</v>
      </c>
      <c r="I849" s="1927"/>
    </row>
    <row r="850" spans="1:9" x14ac:dyDescent="0.25">
      <c r="A850" s="1941" t="s">
        <v>3457</v>
      </c>
      <c r="B850" s="1901" t="s">
        <v>2556</v>
      </c>
      <c r="C850" s="1905"/>
      <c r="D850" s="1905"/>
      <c r="E850" s="1925">
        <v>17029.28</v>
      </c>
      <c r="F850" s="1917"/>
      <c r="G850" s="1925">
        <v>17030</v>
      </c>
      <c r="I850" s="1927"/>
    </row>
    <row r="851" spans="1:9" x14ac:dyDescent="0.25">
      <c r="A851" s="1941" t="s">
        <v>3458</v>
      </c>
      <c r="B851" s="1901" t="s">
        <v>2557</v>
      </c>
      <c r="C851" s="1905"/>
      <c r="D851" s="1905"/>
      <c r="E851" s="1925">
        <v>39469.800000000003</v>
      </c>
      <c r="F851" s="1917"/>
      <c r="G851" s="1925">
        <v>39470</v>
      </c>
      <c r="I851" s="1927"/>
    </row>
    <row r="852" spans="1:9" x14ac:dyDescent="0.25">
      <c r="A852" s="1941" t="s">
        <v>3459</v>
      </c>
      <c r="B852" s="1901" t="s">
        <v>2558</v>
      </c>
      <c r="C852" s="1906"/>
      <c r="D852" s="1905"/>
      <c r="E852" s="1925">
        <v>1483.68</v>
      </c>
      <c r="F852" s="1917"/>
      <c r="G852" s="1925">
        <v>1484</v>
      </c>
      <c r="I852" s="1927"/>
    </row>
    <row r="853" spans="1:9" x14ac:dyDescent="0.25">
      <c r="A853" s="1941" t="s">
        <v>3460</v>
      </c>
      <c r="B853" s="1901" t="s">
        <v>2559</v>
      </c>
      <c r="C853" s="1905"/>
      <c r="D853" s="1905"/>
      <c r="E853" s="1925">
        <v>499.92</v>
      </c>
      <c r="F853" s="1917"/>
      <c r="G853" s="1925">
        <v>500</v>
      </c>
      <c r="I853" s="1927"/>
    </row>
    <row r="854" spans="1:9" x14ac:dyDescent="0.25">
      <c r="A854" s="1941">
        <v>200</v>
      </c>
      <c r="B854" s="1901" t="s">
        <v>49</v>
      </c>
      <c r="C854" s="1906"/>
      <c r="D854" s="1905"/>
      <c r="E854" s="1925">
        <v>58482.68</v>
      </c>
      <c r="F854" s="1917"/>
      <c r="G854" s="1925">
        <v>58484</v>
      </c>
      <c r="I854" s="1927"/>
    </row>
    <row r="855" spans="1:9" x14ac:dyDescent="0.25">
      <c r="A855" s="1941" t="s">
        <v>3461</v>
      </c>
      <c r="B855" s="1901" t="s">
        <v>2560</v>
      </c>
      <c r="C855" s="1906"/>
      <c r="D855" s="1905"/>
      <c r="E855" s="1925">
        <v>120.58</v>
      </c>
      <c r="F855" s="1917"/>
      <c r="G855" s="1925">
        <v>250</v>
      </c>
      <c r="I855" s="1927"/>
    </row>
    <row r="856" spans="1:9" x14ac:dyDescent="0.25">
      <c r="A856" s="1941" t="s">
        <v>3462</v>
      </c>
      <c r="B856" s="1901" t="s">
        <v>2561</v>
      </c>
      <c r="C856" s="1906"/>
      <c r="D856" s="1905"/>
      <c r="E856" s="1925">
        <v>1046.4000000000001</v>
      </c>
      <c r="F856" s="1917"/>
      <c r="G856" s="1925">
        <v>1200</v>
      </c>
      <c r="I856" s="1927"/>
    </row>
    <row r="857" spans="1:9" x14ac:dyDescent="0.25">
      <c r="A857" s="1941" t="s">
        <v>3463</v>
      </c>
      <c r="B857" s="1901" t="s">
        <v>2562</v>
      </c>
      <c r="C857" s="1901"/>
      <c r="D857" s="1901"/>
      <c r="E857" s="1925">
        <v>2500</v>
      </c>
      <c r="F857" s="1920"/>
      <c r="G857" s="1925">
        <v>2500</v>
      </c>
      <c r="I857" s="1927"/>
    </row>
    <row r="858" spans="1:9" x14ac:dyDescent="0.25">
      <c r="A858" s="1941" t="s">
        <v>3464</v>
      </c>
      <c r="B858" s="1901" t="s">
        <v>2563</v>
      </c>
      <c r="C858" s="1906"/>
      <c r="D858" s="1906"/>
      <c r="E858" s="1925">
        <v>1476.94</v>
      </c>
      <c r="F858" s="1917"/>
      <c r="G858" s="1925">
        <v>3000</v>
      </c>
      <c r="I858" s="1927"/>
    </row>
    <row r="859" spans="1:9" x14ac:dyDescent="0.25">
      <c r="A859" s="1941" t="s">
        <v>3465</v>
      </c>
      <c r="B859" s="1901" t="s">
        <v>2564</v>
      </c>
      <c r="C859" s="1901"/>
      <c r="D859" s="1901"/>
      <c r="E859" s="1925">
        <v>1679.15</v>
      </c>
      <c r="F859" s="1920"/>
      <c r="G859" s="1925">
        <v>3000</v>
      </c>
      <c r="I859" s="1927"/>
    </row>
    <row r="860" spans="1:9" x14ac:dyDescent="0.25">
      <c r="A860" s="1941" t="s">
        <v>3466</v>
      </c>
      <c r="B860" s="1901" t="s">
        <v>2565</v>
      </c>
      <c r="C860" s="1906"/>
      <c r="D860" s="1906"/>
      <c r="E860" s="1925">
        <v>3401.89</v>
      </c>
      <c r="F860" s="1917"/>
      <c r="G860" s="1925">
        <v>4000</v>
      </c>
      <c r="I860" s="1927"/>
    </row>
    <row r="861" spans="1:9" x14ac:dyDescent="0.25">
      <c r="A861" s="1941" t="s">
        <v>3467</v>
      </c>
      <c r="B861" s="1901" t="s">
        <v>2566</v>
      </c>
      <c r="C861" s="1901"/>
      <c r="D861" s="1901"/>
      <c r="E861" s="1925">
        <v>1077.1199999999999</v>
      </c>
      <c r="F861" s="1920"/>
      <c r="G861" s="1925">
        <v>5000</v>
      </c>
      <c r="I861" s="1927"/>
    </row>
    <row r="862" spans="1:9" x14ac:dyDescent="0.25">
      <c r="A862" s="1941">
        <v>300</v>
      </c>
      <c r="B862" s="1901" t="s">
        <v>1100</v>
      </c>
      <c r="C862" s="1901"/>
      <c r="D862" s="1901"/>
      <c r="E862" s="1925">
        <v>11302.08</v>
      </c>
      <c r="F862" s="1920"/>
      <c r="G862" s="1925">
        <v>18950</v>
      </c>
      <c r="I862" s="1927"/>
    </row>
    <row r="863" spans="1:9" x14ac:dyDescent="0.25">
      <c r="A863" s="1941" t="s">
        <v>3468</v>
      </c>
      <c r="B863" s="1901" t="s">
        <v>2567</v>
      </c>
      <c r="C863" s="1906"/>
      <c r="D863" s="1906"/>
      <c r="E863" s="1925">
        <v>1672.43</v>
      </c>
      <c r="F863" s="1917"/>
      <c r="G863" s="1925">
        <v>2500</v>
      </c>
      <c r="I863" s="1927"/>
    </row>
    <row r="864" spans="1:9" x14ac:dyDescent="0.25">
      <c r="A864" s="1941" t="s">
        <v>3469</v>
      </c>
      <c r="B864" s="1901" t="s">
        <v>2568</v>
      </c>
      <c r="C864" s="1906"/>
      <c r="D864" s="1906"/>
      <c r="E864" s="1925">
        <v>629.5</v>
      </c>
      <c r="F864" s="1917"/>
      <c r="G864" s="1925">
        <v>750</v>
      </c>
      <c r="I864" s="1927"/>
    </row>
    <row r="865" spans="1:9" x14ac:dyDescent="0.25">
      <c r="A865" s="1941">
        <v>400</v>
      </c>
      <c r="B865" s="1901" t="s">
        <v>2256</v>
      </c>
      <c r="C865" s="1901"/>
      <c r="D865" s="1901"/>
      <c r="E865" s="1925">
        <v>2301.9299999999998</v>
      </c>
      <c r="F865" s="1920"/>
      <c r="G865" s="1925">
        <v>3250</v>
      </c>
      <c r="I865" s="1927"/>
    </row>
    <row r="866" spans="1:9" x14ac:dyDescent="0.25">
      <c r="A866" s="1941" t="s">
        <v>3470</v>
      </c>
      <c r="B866" s="1901" t="s">
        <v>2569</v>
      </c>
      <c r="C866" s="1906"/>
      <c r="D866" s="1906"/>
      <c r="E866" s="1925">
        <v>0</v>
      </c>
      <c r="F866" s="1916"/>
      <c r="G866" s="1925">
        <v>3200</v>
      </c>
      <c r="I866" s="1927"/>
    </row>
    <row r="867" spans="1:9" x14ac:dyDescent="0.25">
      <c r="A867" s="1941">
        <v>500</v>
      </c>
      <c r="B867" s="1901" t="s">
        <v>1095</v>
      </c>
      <c r="C867" s="1906"/>
      <c r="D867" s="1906"/>
      <c r="E867" s="1925">
        <v>0</v>
      </c>
      <c r="F867" s="1916"/>
      <c r="G867" s="1925">
        <v>3200</v>
      </c>
      <c r="I867" s="1927"/>
    </row>
    <row r="868" spans="1:9" x14ac:dyDescent="0.25">
      <c r="A868" s="1941">
        <v>2321</v>
      </c>
      <c r="B868" s="1901" t="s">
        <v>2570</v>
      </c>
      <c r="C868" s="1906"/>
      <c r="D868" s="1906"/>
      <c r="E868" s="1925">
        <v>292361.96999999997</v>
      </c>
      <c r="F868" s="1917"/>
      <c r="G868" s="1925">
        <v>304057</v>
      </c>
      <c r="I868" s="1927"/>
    </row>
    <row r="869" spans="1:9" x14ac:dyDescent="0.25">
      <c r="A869" s="1941" t="s">
        <v>3471</v>
      </c>
      <c r="B869" s="1901" t="s">
        <v>2571</v>
      </c>
      <c r="C869" s="1906"/>
      <c r="D869" s="1906"/>
      <c r="E869" s="1925">
        <v>70259.16</v>
      </c>
      <c r="F869" s="1917"/>
      <c r="G869" s="1925">
        <v>70154</v>
      </c>
      <c r="I869" s="1927"/>
    </row>
    <row r="870" spans="1:9" x14ac:dyDescent="0.25">
      <c r="A870" s="1941" t="s">
        <v>3471</v>
      </c>
      <c r="B870" s="1901" t="s">
        <v>2572</v>
      </c>
      <c r="C870" s="1906"/>
      <c r="D870" s="1906"/>
      <c r="E870" s="1925">
        <v>67522.34</v>
      </c>
      <c r="F870" s="1916"/>
      <c r="G870" s="1925">
        <v>67419</v>
      </c>
      <c r="I870" s="1927"/>
    </row>
    <row r="871" spans="1:9" x14ac:dyDescent="0.25">
      <c r="A871" s="1941" t="s">
        <v>3471</v>
      </c>
      <c r="B871" s="1901" t="s">
        <v>2573</v>
      </c>
      <c r="C871" s="1901"/>
      <c r="D871" s="1901"/>
      <c r="E871" s="1925">
        <v>96878.74</v>
      </c>
      <c r="F871" s="1920"/>
      <c r="G871" s="1925">
        <v>96878</v>
      </c>
      <c r="I871" s="1927"/>
    </row>
    <row r="872" spans="1:9" x14ac:dyDescent="0.25">
      <c r="A872" s="1941" t="s">
        <v>3471</v>
      </c>
      <c r="B872" s="1901" t="s">
        <v>2574</v>
      </c>
      <c r="C872" s="1906"/>
      <c r="D872" s="1906"/>
      <c r="E872" s="1925">
        <v>68778.509999999995</v>
      </c>
      <c r="F872" s="1917"/>
      <c r="G872" s="1925">
        <v>68674</v>
      </c>
      <c r="I872" s="1927"/>
    </row>
    <row r="873" spans="1:9" x14ac:dyDescent="0.25">
      <c r="A873" s="1941" t="s">
        <v>3471</v>
      </c>
      <c r="B873" s="1901" t="s">
        <v>2575</v>
      </c>
      <c r="C873" s="1901"/>
      <c r="D873" s="1901"/>
      <c r="E873" s="1925">
        <v>65874.960000000006</v>
      </c>
      <c r="F873" s="1920"/>
      <c r="G873" s="1925">
        <v>65775</v>
      </c>
      <c r="I873" s="1927"/>
    </row>
    <row r="874" spans="1:9" x14ac:dyDescent="0.25">
      <c r="A874" s="1941" t="s">
        <v>3472</v>
      </c>
      <c r="B874" s="1901" t="s">
        <v>2576</v>
      </c>
      <c r="C874" s="1905"/>
      <c r="D874" s="1906"/>
      <c r="E874" s="1925">
        <v>61511.51</v>
      </c>
      <c r="F874" s="1917"/>
      <c r="G874" s="1925">
        <v>61618</v>
      </c>
      <c r="I874" s="1927"/>
    </row>
    <row r="875" spans="1:9" x14ac:dyDescent="0.25">
      <c r="A875" s="1941" t="s">
        <v>3472</v>
      </c>
      <c r="B875" s="1901" t="s">
        <v>2577</v>
      </c>
      <c r="C875" s="1905"/>
      <c r="D875" s="1906"/>
      <c r="E875" s="1925">
        <v>31592.9</v>
      </c>
      <c r="F875" s="1917"/>
      <c r="G875" s="1925">
        <v>51109</v>
      </c>
      <c r="I875" s="1927"/>
    </row>
    <row r="876" spans="1:9" x14ac:dyDescent="0.25">
      <c r="A876" s="1941" t="s">
        <v>3472</v>
      </c>
      <c r="B876" s="1901" t="s">
        <v>2578</v>
      </c>
      <c r="C876" s="1902"/>
      <c r="D876" s="1901"/>
      <c r="E876" s="1925">
        <v>58867.95</v>
      </c>
      <c r="F876" s="1920"/>
      <c r="G876" s="1925">
        <v>61724</v>
      </c>
      <c r="I876" s="1927"/>
    </row>
    <row r="877" spans="1:9" x14ac:dyDescent="0.25">
      <c r="A877" s="1941" t="s">
        <v>3472</v>
      </c>
      <c r="B877" s="1901" t="s">
        <v>2579</v>
      </c>
      <c r="C877" s="1905"/>
      <c r="D877" s="1906"/>
      <c r="E877" s="1925">
        <v>88641.26</v>
      </c>
      <c r="F877" s="1917"/>
      <c r="G877" s="1925">
        <v>68967</v>
      </c>
      <c r="I877" s="1927"/>
    </row>
    <row r="878" spans="1:9" x14ac:dyDescent="0.25">
      <c r="A878" s="1941" t="s">
        <v>3472</v>
      </c>
      <c r="B878" s="1901" t="s">
        <v>2580</v>
      </c>
      <c r="C878" s="1902"/>
      <c r="D878" s="1901"/>
      <c r="E878" s="1925">
        <v>61707.78</v>
      </c>
      <c r="F878" s="1920"/>
      <c r="G878" s="1925">
        <v>61624</v>
      </c>
      <c r="I878" s="1927"/>
    </row>
    <row r="879" spans="1:9" x14ac:dyDescent="0.25">
      <c r="A879" s="1941" t="s">
        <v>3473</v>
      </c>
      <c r="B879" s="1901" t="s">
        <v>2581</v>
      </c>
      <c r="C879" s="1906"/>
      <c r="D879" s="1905"/>
      <c r="E879" s="1925">
        <v>0</v>
      </c>
      <c r="F879" s="1917"/>
      <c r="G879" s="1925">
        <v>0</v>
      </c>
      <c r="I879" s="1927"/>
    </row>
    <row r="880" spans="1:9" x14ac:dyDescent="0.25">
      <c r="A880" s="1941" t="s">
        <v>3474</v>
      </c>
      <c r="B880" s="1901" t="s">
        <v>2582</v>
      </c>
      <c r="C880" s="1906"/>
      <c r="D880" s="1906"/>
      <c r="E880" s="1925">
        <v>6195.38</v>
      </c>
      <c r="F880" s="1917"/>
      <c r="G880" s="1925">
        <v>4500</v>
      </c>
      <c r="I880" s="1927"/>
    </row>
    <row r="881" spans="1:9" x14ac:dyDescent="0.25">
      <c r="A881" s="1941">
        <v>100</v>
      </c>
      <c r="B881" s="1901" t="s">
        <v>194</v>
      </c>
      <c r="C881" s="1906"/>
      <c r="D881" s="1905"/>
      <c r="E881" s="1925">
        <v>677830.57</v>
      </c>
      <c r="F881" s="1917"/>
      <c r="G881" s="1925">
        <v>678442</v>
      </c>
      <c r="I881" s="1927"/>
    </row>
    <row r="882" spans="1:9" x14ac:dyDescent="0.25">
      <c r="A882" s="1941" t="s">
        <v>3475</v>
      </c>
      <c r="B882" s="1901" t="s">
        <v>2583</v>
      </c>
      <c r="C882" s="1901"/>
      <c r="D882" s="1901"/>
      <c r="E882" s="1925">
        <v>10125.51</v>
      </c>
      <c r="F882" s="1920"/>
      <c r="G882" s="1925">
        <v>10124</v>
      </c>
      <c r="I882" s="1927"/>
    </row>
    <row r="883" spans="1:9" x14ac:dyDescent="0.25">
      <c r="A883" s="1941" t="s">
        <v>3475</v>
      </c>
      <c r="B883" s="1901" t="s">
        <v>2584</v>
      </c>
      <c r="C883" s="1906"/>
      <c r="D883" s="1906"/>
      <c r="E883" s="1925">
        <v>9731.1299999999992</v>
      </c>
      <c r="F883" s="1917"/>
      <c r="G883" s="1925">
        <v>9729</v>
      </c>
      <c r="I883" s="1927"/>
    </row>
    <row r="884" spans="1:9" x14ac:dyDescent="0.25">
      <c r="A884" s="1941" t="s">
        <v>3475</v>
      </c>
      <c r="B884" s="1901" t="s">
        <v>2585</v>
      </c>
      <c r="C884" s="1901"/>
      <c r="D884" s="1901"/>
      <c r="E884" s="1925">
        <v>13299.79</v>
      </c>
      <c r="F884" s="1920"/>
      <c r="G884" s="1925">
        <v>10639</v>
      </c>
      <c r="I884" s="1927"/>
    </row>
    <row r="885" spans="1:9" x14ac:dyDescent="0.25">
      <c r="A885" s="1941" t="s">
        <v>3475</v>
      </c>
      <c r="B885" s="1901" t="s">
        <v>2586</v>
      </c>
      <c r="C885" s="1906"/>
      <c r="D885" s="1906"/>
      <c r="E885" s="1925">
        <v>9912.2000000000007</v>
      </c>
      <c r="F885" s="1917"/>
      <c r="G885" s="1925">
        <v>9910</v>
      </c>
      <c r="I885" s="1927"/>
    </row>
    <row r="886" spans="1:9" x14ac:dyDescent="0.25">
      <c r="A886" s="1941" t="s">
        <v>3475</v>
      </c>
      <c r="B886" s="1901" t="s">
        <v>2587</v>
      </c>
      <c r="C886" s="1902"/>
      <c r="D886" s="1902"/>
      <c r="E886" s="1925">
        <v>9493.44</v>
      </c>
      <c r="F886" s="1920"/>
      <c r="G886" s="1925">
        <v>9492</v>
      </c>
      <c r="I886" s="1927"/>
    </row>
    <row r="887" spans="1:9" x14ac:dyDescent="0.25">
      <c r="A887" s="1941" t="s">
        <v>3476</v>
      </c>
      <c r="B887" s="1901" t="s">
        <v>2588</v>
      </c>
      <c r="C887" s="1902"/>
      <c r="D887" s="1902"/>
      <c r="E887" s="1925">
        <v>45631.77</v>
      </c>
      <c r="F887" s="1920"/>
      <c r="G887" s="1925">
        <v>44618</v>
      </c>
      <c r="I887" s="1927"/>
    </row>
    <row r="888" spans="1:9" x14ac:dyDescent="0.25">
      <c r="A888" s="1941" t="s">
        <v>3476</v>
      </c>
      <c r="B888" s="1901" t="s">
        <v>2589</v>
      </c>
      <c r="C888" s="1906"/>
      <c r="D888" s="1906"/>
      <c r="E888" s="1925">
        <v>33048.910000000003</v>
      </c>
      <c r="F888" s="1917"/>
      <c r="G888" s="1925">
        <v>40126</v>
      </c>
      <c r="I888" s="1927"/>
    </row>
    <row r="889" spans="1:9" x14ac:dyDescent="0.25">
      <c r="A889" s="1941" t="s">
        <v>3476</v>
      </c>
      <c r="B889" s="1901" t="s">
        <v>2590</v>
      </c>
      <c r="C889" s="1906"/>
      <c r="D889" s="1906"/>
      <c r="E889" s="1925">
        <v>39844.910000000003</v>
      </c>
      <c r="F889" s="1917"/>
      <c r="G889" s="1925">
        <v>40126</v>
      </c>
      <c r="I889" s="1927"/>
    </row>
    <row r="890" spans="1:9" x14ac:dyDescent="0.25">
      <c r="A890" s="1941" t="s">
        <v>3476</v>
      </c>
      <c r="B890" s="1901" t="s">
        <v>2591</v>
      </c>
      <c r="C890" s="1902"/>
      <c r="D890" s="1902"/>
      <c r="E890" s="1925">
        <v>49359.31</v>
      </c>
      <c r="F890" s="1921"/>
      <c r="G890" s="1925">
        <v>40126</v>
      </c>
      <c r="I890" s="1927"/>
    </row>
    <row r="891" spans="1:9" x14ac:dyDescent="0.25">
      <c r="A891" s="1941" t="s">
        <v>3476</v>
      </c>
      <c r="B891" s="1901" t="s">
        <v>2592</v>
      </c>
      <c r="C891" s="1904"/>
      <c r="D891" s="1904"/>
      <c r="E891" s="1925">
        <v>33048.910000000003</v>
      </c>
      <c r="F891" s="1922"/>
      <c r="G891" s="1925">
        <v>40126</v>
      </c>
      <c r="I891" s="1927"/>
    </row>
    <row r="892" spans="1:9" x14ac:dyDescent="0.25">
      <c r="A892" s="1941" t="s">
        <v>3476</v>
      </c>
      <c r="B892" s="1901" t="s">
        <v>2593</v>
      </c>
      <c r="C892" s="1904"/>
      <c r="D892" s="1904"/>
      <c r="E892" s="1925">
        <v>0</v>
      </c>
      <c r="G892" s="1925">
        <v>0</v>
      </c>
      <c r="I892" s="1927"/>
    </row>
    <row r="893" spans="1:9" x14ac:dyDescent="0.25">
      <c r="A893" s="1941" t="s">
        <v>3477</v>
      </c>
      <c r="B893" s="1901" t="s">
        <v>2594</v>
      </c>
      <c r="D893" s="1904"/>
      <c r="E893" s="1925">
        <v>755.07</v>
      </c>
      <c r="G893" s="1925">
        <v>756</v>
      </c>
      <c r="I893" s="1927"/>
    </row>
    <row r="894" spans="1:9" x14ac:dyDescent="0.25">
      <c r="A894" s="1941" t="s">
        <v>3477</v>
      </c>
      <c r="B894" s="1901" t="s">
        <v>2595</v>
      </c>
      <c r="E894" s="1925">
        <v>601.67999999999995</v>
      </c>
      <c r="G894" s="1925">
        <v>660</v>
      </c>
      <c r="I894" s="1927"/>
    </row>
    <row r="895" spans="1:9" x14ac:dyDescent="0.25">
      <c r="A895" s="1941" t="s">
        <v>3477</v>
      </c>
      <c r="B895" s="1901" t="s">
        <v>2596</v>
      </c>
      <c r="E895" s="1925">
        <v>650.67999999999995</v>
      </c>
      <c r="G895" s="1925">
        <v>660</v>
      </c>
      <c r="I895" s="1927"/>
    </row>
    <row r="896" spans="1:9" x14ac:dyDescent="0.25">
      <c r="A896" s="1941" t="s">
        <v>3477</v>
      </c>
      <c r="B896" s="1901" t="s">
        <v>2597</v>
      </c>
      <c r="C896" s="1904"/>
      <c r="D896" s="1904"/>
      <c r="E896" s="1925">
        <v>719.28</v>
      </c>
      <c r="F896" s="1922"/>
      <c r="G896" s="1925">
        <v>660</v>
      </c>
      <c r="I896" s="1927"/>
    </row>
    <row r="897" spans="1:9" x14ac:dyDescent="0.25">
      <c r="A897" s="1941" t="s">
        <v>3477</v>
      </c>
      <c r="B897" s="1901" t="s">
        <v>2598</v>
      </c>
      <c r="C897" s="1904"/>
      <c r="D897" s="1904"/>
      <c r="E897" s="1925">
        <v>660.48</v>
      </c>
      <c r="G897" s="1925">
        <v>660</v>
      </c>
      <c r="I897" s="1927"/>
    </row>
    <row r="898" spans="1:9" x14ac:dyDescent="0.25">
      <c r="A898" s="1941" t="s">
        <v>3477</v>
      </c>
      <c r="B898" s="1901" t="s">
        <v>2599</v>
      </c>
      <c r="E898" s="1925">
        <v>0</v>
      </c>
      <c r="G898" s="1925">
        <v>660</v>
      </c>
      <c r="I898" s="1927"/>
    </row>
    <row r="899" spans="1:9" x14ac:dyDescent="0.25">
      <c r="A899" s="1941" t="s">
        <v>3478</v>
      </c>
      <c r="B899" s="1901" t="s">
        <v>2600</v>
      </c>
      <c r="E899" s="1925">
        <v>499.92</v>
      </c>
      <c r="G899" s="1925">
        <v>500</v>
      </c>
      <c r="I899" s="1927"/>
    </row>
    <row r="900" spans="1:9" x14ac:dyDescent="0.25">
      <c r="A900" s="1941" t="s">
        <v>3478</v>
      </c>
      <c r="B900" s="1901" t="s">
        <v>2601</v>
      </c>
      <c r="E900" s="1925">
        <v>499.92</v>
      </c>
      <c r="G900" s="1925">
        <v>500</v>
      </c>
      <c r="I900" s="1927"/>
    </row>
    <row r="901" spans="1:9" x14ac:dyDescent="0.25">
      <c r="A901" s="1941" t="s">
        <v>3478</v>
      </c>
      <c r="B901" s="1901" t="s">
        <v>2602</v>
      </c>
      <c r="E901" s="1925">
        <v>499.92</v>
      </c>
      <c r="G901" s="1925">
        <v>500</v>
      </c>
      <c r="I901" s="1927"/>
    </row>
    <row r="902" spans="1:9" x14ac:dyDescent="0.25">
      <c r="A902" s="1941" t="s">
        <v>3478</v>
      </c>
      <c r="B902" s="1901" t="s">
        <v>2603</v>
      </c>
      <c r="E902" s="1925">
        <v>499.92</v>
      </c>
      <c r="G902" s="1925">
        <v>500</v>
      </c>
      <c r="I902" s="1927"/>
    </row>
    <row r="903" spans="1:9" x14ac:dyDescent="0.25">
      <c r="A903" s="1941" t="s">
        <v>3478</v>
      </c>
      <c r="B903" s="1901" t="s">
        <v>2604</v>
      </c>
      <c r="C903" s="1904"/>
      <c r="D903" s="1904"/>
      <c r="E903" s="1925">
        <v>499.92</v>
      </c>
      <c r="G903" s="1925">
        <v>500</v>
      </c>
      <c r="I903" s="1927"/>
    </row>
    <row r="904" spans="1:9" x14ac:dyDescent="0.25">
      <c r="A904" s="1941">
        <v>200</v>
      </c>
      <c r="B904" s="1901" t="s">
        <v>49</v>
      </c>
      <c r="E904" s="1925">
        <v>259382.67</v>
      </c>
      <c r="G904" s="1925">
        <v>261572</v>
      </c>
      <c r="I904" s="1927"/>
    </row>
    <row r="905" spans="1:9" x14ac:dyDescent="0.25">
      <c r="A905" s="1941" t="s">
        <v>3479</v>
      </c>
      <c r="B905" s="1901" t="s">
        <v>2605</v>
      </c>
      <c r="C905" s="1904"/>
      <c r="D905" s="1904"/>
      <c r="E905" s="1925">
        <v>120.72</v>
      </c>
      <c r="G905" s="1925">
        <v>250</v>
      </c>
      <c r="I905" s="1927"/>
    </row>
    <row r="906" spans="1:9" x14ac:dyDescent="0.25">
      <c r="A906" s="1941" t="s">
        <v>3479</v>
      </c>
      <c r="B906" s="1901" t="s">
        <v>2606</v>
      </c>
      <c r="C906" s="1904"/>
      <c r="D906" s="1904"/>
      <c r="E906" s="1925">
        <v>120.72</v>
      </c>
      <c r="F906" s="1922"/>
      <c r="G906" s="1925">
        <v>250</v>
      </c>
      <c r="I906" s="1927"/>
    </row>
    <row r="907" spans="1:9" x14ac:dyDescent="0.25">
      <c r="A907" s="1941" t="s">
        <v>3479</v>
      </c>
      <c r="B907" s="1901" t="s">
        <v>2607</v>
      </c>
      <c r="E907" s="1925">
        <v>120.72</v>
      </c>
      <c r="G907" s="1925">
        <v>250</v>
      </c>
      <c r="I907" s="1927"/>
    </row>
    <row r="908" spans="1:9" x14ac:dyDescent="0.25">
      <c r="A908" s="1941" t="s">
        <v>3479</v>
      </c>
      <c r="B908" s="1901" t="s">
        <v>2608</v>
      </c>
      <c r="C908" s="1904"/>
      <c r="D908" s="1904"/>
      <c r="E908" s="1925">
        <v>120.72</v>
      </c>
      <c r="G908" s="1925">
        <v>250</v>
      </c>
      <c r="I908" s="1927"/>
    </row>
    <row r="909" spans="1:9" x14ac:dyDescent="0.25">
      <c r="A909" s="1941" t="s">
        <v>3479</v>
      </c>
      <c r="B909" s="1901" t="s">
        <v>2609</v>
      </c>
      <c r="E909" s="1925">
        <v>120.73</v>
      </c>
      <c r="G909" s="1925">
        <v>250</v>
      </c>
      <c r="I909" s="1927"/>
    </row>
    <row r="910" spans="1:9" x14ac:dyDescent="0.25">
      <c r="A910" s="1941" t="s">
        <v>3480</v>
      </c>
      <c r="B910" s="1901" t="s">
        <v>2610</v>
      </c>
      <c r="D910" s="1904"/>
      <c r="E910" s="1925">
        <v>1893.21</v>
      </c>
      <c r="G910" s="1925">
        <v>1600</v>
      </c>
      <c r="I910" s="1927"/>
    </row>
    <row r="911" spans="1:9" x14ac:dyDescent="0.25">
      <c r="A911" s="1941" t="s">
        <v>3480</v>
      </c>
      <c r="B911" s="1901" t="s">
        <v>2611</v>
      </c>
      <c r="D911" s="1904"/>
      <c r="E911" s="1925">
        <v>905.43</v>
      </c>
      <c r="G911" s="1925">
        <v>1000</v>
      </c>
      <c r="I911" s="1927"/>
    </row>
    <row r="912" spans="1:9" x14ac:dyDescent="0.25">
      <c r="A912" s="1941" t="s">
        <v>3480</v>
      </c>
      <c r="B912" s="1901" t="s">
        <v>2612</v>
      </c>
      <c r="E912" s="1925">
        <v>1434.82</v>
      </c>
      <c r="G912" s="1925">
        <v>1425</v>
      </c>
      <c r="I912" s="1927"/>
    </row>
    <row r="913" spans="1:9" x14ac:dyDescent="0.25">
      <c r="A913" s="1941" t="s">
        <v>3480</v>
      </c>
      <c r="B913" s="1901" t="s">
        <v>2613</v>
      </c>
      <c r="E913" s="1925">
        <v>950.2</v>
      </c>
      <c r="G913" s="1925">
        <v>1000</v>
      </c>
      <c r="I913" s="1927"/>
    </row>
    <row r="914" spans="1:9" x14ac:dyDescent="0.25">
      <c r="A914" s="1941" t="s">
        <v>3480</v>
      </c>
      <c r="B914" s="1901" t="s">
        <v>2614</v>
      </c>
      <c r="D914" s="1904"/>
      <c r="E914" s="1925">
        <v>2061.77</v>
      </c>
      <c r="G914" s="1925">
        <v>1600</v>
      </c>
      <c r="I914" s="1927"/>
    </row>
    <row r="915" spans="1:9" x14ac:dyDescent="0.25">
      <c r="A915" s="1941" t="s">
        <v>3481</v>
      </c>
      <c r="B915" s="1901" t="s">
        <v>2615</v>
      </c>
      <c r="D915" s="1904"/>
      <c r="E915" s="1925">
        <v>1000</v>
      </c>
      <c r="G915" s="1925">
        <v>2000</v>
      </c>
      <c r="I915" s="1927"/>
    </row>
    <row r="916" spans="1:9" x14ac:dyDescent="0.25">
      <c r="A916" s="1941" t="s">
        <v>3481</v>
      </c>
      <c r="B916" s="1901" t="s">
        <v>2616</v>
      </c>
      <c r="E916" s="1925">
        <v>1000</v>
      </c>
      <c r="G916" s="1925">
        <v>2000</v>
      </c>
      <c r="I916" s="1927"/>
    </row>
    <row r="917" spans="1:9" x14ac:dyDescent="0.25">
      <c r="A917" s="1941" t="s">
        <v>3481</v>
      </c>
      <c r="B917" s="1901" t="s">
        <v>2617</v>
      </c>
      <c r="D917" s="1904"/>
      <c r="E917" s="1925">
        <v>1000</v>
      </c>
      <c r="G917" s="1925">
        <v>2000</v>
      </c>
      <c r="I917" s="1927"/>
    </row>
    <row r="918" spans="1:9" x14ac:dyDescent="0.25">
      <c r="A918" s="1941" t="s">
        <v>3481</v>
      </c>
      <c r="B918" s="1901" t="s">
        <v>2618</v>
      </c>
      <c r="E918" s="1925">
        <v>1000</v>
      </c>
      <c r="G918" s="1925">
        <v>2000</v>
      </c>
      <c r="I918" s="1927"/>
    </row>
    <row r="919" spans="1:9" x14ac:dyDescent="0.25">
      <c r="A919" s="1941" t="s">
        <v>3481</v>
      </c>
      <c r="B919" s="1901" t="s">
        <v>2619</v>
      </c>
      <c r="C919" s="1904"/>
      <c r="E919" s="1925">
        <v>1000</v>
      </c>
      <c r="G919" s="1925">
        <v>2000</v>
      </c>
      <c r="I919" s="1927"/>
    </row>
    <row r="920" spans="1:9" x14ac:dyDescent="0.25">
      <c r="A920" s="1941">
        <v>300</v>
      </c>
      <c r="B920" s="1901" t="s">
        <v>1100</v>
      </c>
      <c r="E920" s="1925">
        <v>12849.04</v>
      </c>
      <c r="G920" s="1925">
        <v>17875</v>
      </c>
      <c r="I920" s="1927"/>
    </row>
    <row r="921" spans="1:9" x14ac:dyDescent="0.25">
      <c r="A921" s="1941" t="s">
        <v>3482</v>
      </c>
      <c r="B921" s="1901" t="s">
        <v>2620</v>
      </c>
      <c r="E921" s="1925">
        <v>662.9</v>
      </c>
      <c r="G921" s="1925">
        <v>700</v>
      </c>
      <c r="I921" s="1927"/>
    </row>
    <row r="922" spans="1:9" x14ac:dyDescent="0.25">
      <c r="A922" s="1941" t="s">
        <v>3482</v>
      </c>
      <c r="B922" s="1901" t="s">
        <v>2621</v>
      </c>
      <c r="E922" s="1925">
        <v>538.45000000000005</v>
      </c>
      <c r="G922" s="1925">
        <v>700</v>
      </c>
      <c r="I922" s="1927"/>
    </row>
    <row r="923" spans="1:9" x14ac:dyDescent="0.25">
      <c r="A923" s="1941" t="s">
        <v>3482</v>
      </c>
      <c r="B923" s="1901" t="s">
        <v>2622</v>
      </c>
      <c r="C923" s="1904"/>
      <c r="E923" s="1925">
        <v>770.46</v>
      </c>
      <c r="G923" s="1925">
        <v>700</v>
      </c>
      <c r="I923" s="1927"/>
    </row>
    <row r="924" spans="1:9" x14ac:dyDescent="0.25">
      <c r="A924" s="1941" t="s">
        <v>3482</v>
      </c>
      <c r="B924" s="1901" t="s">
        <v>2623</v>
      </c>
      <c r="C924" s="1904"/>
      <c r="E924" s="1925">
        <v>199.99</v>
      </c>
      <c r="G924" s="1925">
        <v>700</v>
      </c>
      <c r="I924" s="1927"/>
    </row>
    <row r="925" spans="1:9" x14ac:dyDescent="0.25">
      <c r="A925" s="1941" t="s">
        <v>3482</v>
      </c>
      <c r="B925" s="1901" t="s">
        <v>2624</v>
      </c>
      <c r="C925" s="1904"/>
      <c r="E925" s="1925">
        <v>465.34</v>
      </c>
      <c r="G925" s="1925">
        <v>700</v>
      </c>
      <c r="I925" s="1927"/>
    </row>
    <row r="926" spans="1:9" x14ac:dyDescent="0.25">
      <c r="A926" s="1941">
        <v>400</v>
      </c>
      <c r="B926" s="1901" t="s">
        <v>2256</v>
      </c>
      <c r="C926" s="1904"/>
      <c r="E926" s="1925">
        <v>2637.14</v>
      </c>
      <c r="G926" s="1925">
        <v>3500</v>
      </c>
      <c r="I926" s="1927"/>
    </row>
    <row r="927" spans="1:9" x14ac:dyDescent="0.25">
      <c r="A927" s="1941" t="s">
        <v>3483</v>
      </c>
      <c r="B927" s="1901" t="s">
        <v>2625</v>
      </c>
      <c r="C927" s="1904"/>
      <c r="D927" s="1904"/>
      <c r="E927" s="1925">
        <v>0</v>
      </c>
      <c r="G927" s="1925">
        <v>1000</v>
      </c>
      <c r="I927" s="1927"/>
    </row>
    <row r="928" spans="1:9" x14ac:dyDescent="0.25">
      <c r="A928" s="1941">
        <v>500</v>
      </c>
      <c r="B928" s="1901" t="s">
        <v>1095</v>
      </c>
      <c r="C928" s="1904"/>
      <c r="E928" s="1925">
        <v>0</v>
      </c>
      <c r="G928" s="1925">
        <v>1000</v>
      </c>
      <c r="I928" s="1927"/>
    </row>
    <row r="929" spans="1:9" x14ac:dyDescent="0.25">
      <c r="A929" s="1941" t="s">
        <v>3484</v>
      </c>
      <c r="B929" s="1901" t="s">
        <v>2626</v>
      </c>
      <c r="C929" s="1904"/>
      <c r="E929" s="1925">
        <v>3832.3</v>
      </c>
      <c r="G929" s="1925">
        <v>4500</v>
      </c>
      <c r="I929" s="1927"/>
    </row>
    <row r="930" spans="1:9" x14ac:dyDescent="0.25">
      <c r="A930" s="1941">
        <v>600</v>
      </c>
      <c r="B930" s="1901" t="s">
        <v>1096</v>
      </c>
      <c r="C930" s="1904"/>
      <c r="E930" s="1925">
        <v>3832.3</v>
      </c>
      <c r="G930" s="1925">
        <v>4500</v>
      </c>
      <c r="I930" s="1927"/>
    </row>
    <row r="931" spans="1:9" x14ac:dyDescent="0.25">
      <c r="A931" s="1941">
        <v>2410</v>
      </c>
      <c r="B931" s="1901" t="s">
        <v>2627</v>
      </c>
      <c r="C931" s="1904"/>
      <c r="E931" s="1925">
        <v>956531.72</v>
      </c>
      <c r="G931" s="1925">
        <v>966889</v>
      </c>
      <c r="I931" s="1927"/>
    </row>
    <row r="932" spans="1:9" x14ac:dyDescent="0.25">
      <c r="A932" s="1941" t="s">
        <v>3485</v>
      </c>
      <c r="B932" s="1901" t="s">
        <v>2628</v>
      </c>
      <c r="E932" s="1925">
        <v>63845.07</v>
      </c>
      <c r="G932" s="1925">
        <v>63845</v>
      </c>
      <c r="I932" s="1927"/>
    </row>
    <row r="933" spans="1:9" x14ac:dyDescent="0.25">
      <c r="A933" s="1941" t="s">
        <v>3486</v>
      </c>
      <c r="B933" s="1901" t="s">
        <v>2629</v>
      </c>
      <c r="C933" s="1904"/>
      <c r="D933" s="1904"/>
      <c r="E933" s="1925">
        <v>34944</v>
      </c>
      <c r="G933" s="1925">
        <v>34944</v>
      </c>
      <c r="I933" s="1927"/>
    </row>
    <row r="934" spans="1:9" x14ac:dyDescent="0.25">
      <c r="A934" s="1941">
        <v>100</v>
      </c>
      <c r="B934" s="1901" t="s">
        <v>194</v>
      </c>
      <c r="E934" s="1925">
        <v>98789.07</v>
      </c>
      <c r="G934" s="1925">
        <v>98789</v>
      </c>
      <c r="I934" s="1927"/>
    </row>
    <row r="935" spans="1:9" x14ac:dyDescent="0.25">
      <c r="A935" s="1941" t="s">
        <v>3487</v>
      </c>
      <c r="B935" s="1901" t="s">
        <v>2630</v>
      </c>
      <c r="C935" s="1904"/>
      <c r="D935" s="1904"/>
      <c r="E935" s="1925">
        <v>26208.9</v>
      </c>
      <c r="G935" s="1925">
        <v>26210</v>
      </c>
      <c r="I935" s="1927"/>
    </row>
    <row r="936" spans="1:9" x14ac:dyDescent="0.25">
      <c r="A936" s="1941" t="s">
        <v>3488</v>
      </c>
      <c r="B936" s="1901" t="s">
        <v>2631</v>
      </c>
      <c r="E936" s="1925">
        <v>522.48</v>
      </c>
      <c r="G936" s="1925">
        <v>602</v>
      </c>
      <c r="I936" s="1927"/>
    </row>
    <row r="937" spans="1:9" x14ac:dyDescent="0.25">
      <c r="A937" s="1941">
        <v>200</v>
      </c>
      <c r="B937" s="1901" t="s">
        <v>49</v>
      </c>
      <c r="E937" s="1925">
        <v>26731.38</v>
      </c>
      <c r="G937" s="1925">
        <v>26812</v>
      </c>
      <c r="I937" s="1927"/>
    </row>
    <row r="938" spans="1:9" x14ac:dyDescent="0.25">
      <c r="A938" s="1941" t="s">
        <v>3489</v>
      </c>
      <c r="B938" s="1901" t="s">
        <v>2632</v>
      </c>
      <c r="C938" s="1904"/>
      <c r="D938" s="1904"/>
      <c r="E938" s="1925">
        <v>0</v>
      </c>
      <c r="G938" s="1925">
        <v>0</v>
      </c>
      <c r="I938" s="1927"/>
    </row>
    <row r="939" spans="1:9" x14ac:dyDescent="0.25">
      <c r="A939" s="1941" t="s">
        <v>3490</v>
      </c>
      <c r="B939" s="1901" t="s">
        <v>2633</v>
      </c>
      <c r="C939" s="1904"/>
      <c r="D939" s="1904"/>
      <c r="E939" s="1925">
        <v>3200</v>
      </c>
      <c r="G939" s="1925">
        <v>3200</v>
      </c>
      <c r="I939" s="1927"/>
    </row>
    <row r="940" spans="1:9" x14ac:dyDescent="0.25">
      <c r="A940" s="1941" t="s">
        <v>3491</v>
      </c>
      <c r="B940" s="1901" t="s">
        <v>2634</v>
      </c>
      <c r="E940" s="1925">
        <v>3623.88</v>
      </c>
      <c r="G940" s="1925">
        <v>5200</v>
      </c>
      <c r="I940" s="1927"/>
    </row>
    <row r="941" spans="1:9" x14ac:dyDescent="0.25">
      <c r="A941" s="1941" t="s">
        <v>3492</v>
      </c>
      <c r="B941" s="1901" t="s">
        <v>2635</v>
      </c>
      <c r="E941" s="1925">
        <v>0</v>
      </c>
      <c r="G941" s="1925">
        <v>3200</v>
      </c>
      <c r="I941" s="1927"/>
    </row>
    <row r="942" spans="1:9" x14ac:dyDescent="0.25">
      <c r="A942" s="1941" t="s">
        <v>3493</v>
      </c>
      <c r="B942" s="1901" t="s">
        <v>2636</v>
      </c>
      <c r="E942" s="1925">
        <v>1627.89</v>
      </c>
      <c r="G942" s="1925">
        <v>2000</v>
      </c>
      <c r="I942" s="1927"/>
    </row>
    <row r="943" spans="1:9" x14ac:dyDescent="0.25">
      <c r="A943" s="1941" t="s">
        <v>3494</v>
      </c>
      <c r="B943" s="1901" t="s">
        <v>2637</v>
      </c>
      <c r="E943" s="1925">
        <v>4861.5200000000004</v>
      </c>
      <c r="G943" s="1925">
        <v>5000</v>
      </c>
      <c r="I943" s="1927"/>
    </row>
    <row r="944" spans="1:9" x14ac:dyDescent="0.25">
      <c r="A944" s="1941">
        <v>300</v>
      </c>
      <c r="B944" s="1901" t="s">
        <v>1100</v>
      </c>
      <c r="E944" s="1925">
        <v>13313.29</v>
      </c>
      <c r="G944" s="1925">
        <v>18600</v>
      </c>
      <c r="I944" s="1927"/>
    </row>
    <row r="945" spans="1:9" x14ac:dyDescent="0.25">
      <c r="A945" s="1941" t="s">
        <v>3495</v>
      </c>
      <c r="B945" s="1901" t="s">
        <v>2638</v>
      </c>
      <c r="E945" s="1925">
        <v>809.83</v>
      </c>
      <c r="G945" s="1925">
        <v>1500</v>
      </c>
      <c r="I945" s="1927"/>
    </row>
    <row r="946" spans="1:9" x14ac:dyDescent="0.25">
      <c r="A946" s="1941">
        <v>400</v>
      </c>
      <c r="B946" s="1901" t="s">
        <v>2256</v>
      </c>
      <c r="E946" s="1925">
        <v>809.83</v>
      </c>
      <c r="G946" s="1925">
        <v>1500</v>
      </c>
      <c r="I946" s="1927"/>
    </row>
    <row r="947" spans="1:9" x14ac:dyDescent="0.25">
      <c r="A947" s="1941" t="s">
        <v>3496</v>
      </c>
      <c r="B947" s="1901" t="s">
        <v>2639</v>
      </c>
      <c r="E947" s="1925">
        <v>0</v>
      </c>
      <c r="G947" s="1925">
        <v>500</v>
      </c>
      <c r="I947" s="1927"/>
    </row>
    <row r="948" spans="1:9" x14ac:dyDescent="0.25">
      <c r="A948" s="1941">
        <v>500</v>
      </c>
      <c r="B948" s="1901" t="s">
        <v>1095</v>
      </c>
      <c r="E948" s="1925">
        <v>0</v>
      </c>
      <c r="G948" s="1925">
        <v>500</v>
      </c>
      <c r="I948" s="1927"/>
    </row>
    <row r="949" spans="1:9" x14ac:dyDescent="0.25">
      <c r="A949" s="1941" t="s">
        <v>3497</v>
      </c>
      <c r="B949" s="1901" t="s">
        <v>2640</v>
      </c>
      <c r="E949" s="1925">
        <v>625.88</v>
      </c>
      <c r="G949" s="1925">
        <v>1000</v>
      </c>
      <c r="I949" s="1927"/>
    </row>
    <row r="950" spans="1:9" x14ac:dyDescent="0.25">
      <c r="A950" s="1941">
        <v>600</v>
      </c>
      <c r="B950" s="1901" t="s">
        <v>1096</v>
      </c>
      <c r="E950" s="1925">
        <v>625.88</v>
      </c>
      <c r="G950" s="1925">
        <v>1000</v>
      </c>
      <c r="I950" s="1927"/>
    </row>
    <row r="951" spans="1:9" x14ac:dyDescent="0.25">
      <c r="A951" s="1941">
        <v>2520</v>
      </c>
      <c r="B951" s="1901" t="s">
        <v>463</v>
      </c>
      <c r="E951" s="1925">
        <v>140269.45000000001</v>
      </c>
      <c r="G951" s="1925">
        <v>147201</v>
      </c>
      <c r="I951" s="1927"/>
    </row>
    <row r="952" spans="1:9" x14ac:dyDescent="0.25">
      <c r="A952" s="1941" t="s">
        <v>3498</v>
      </c>
      <c r="B952" s="1901" t="s">
        <v>2641</v>
      </c>
      <c r="E952" s="1925">
        <v>65868.19</v>
      </c>
      <c r="G952" s="1925">
        <v>60000</v>
      </c>
      <c r="I952" s="1927"/>
    </row>
    <row r="953" spans="1:9" x14ac:dyDescent="0.25">
      <c r="A953" s="1941">
        <v>300</v>
      </c>
      <c r="B953" s="1901" t="s">
        <v>1100</v>
      </c>
      <c r="E953" s="1925">
        <v>65868.19</v>
      </c>
      <c r="G953" s="1925">
        <v>60000</v>
      </c>
      <c r="I953" s="1927"/>
    </row>
    <row r="954" spans="1:9" x14ac:dyDescent="0.25">
      <c r="A954" s="1941" t="s">
        <v>3499</v>
      </c>
      <c r="B954" s="1901" t="s">
        <v>2642</v>
      </c>
      <c r="E954" s="1925">
        <v>26664.46</v>
      </c>
      <c r="G954" s="1925">
        <v>20000</v>
      </c>
      <c r="I954" s="1927"/>
    </row>
    <row r="955" spans="1:9" x14ac:dyDescent="0.25">
      <c r="A955" s="1941" t="s">
        <v>3499</v>
      </c>
      <c r="B955" s="1901" t="s">
        <v>2643</v>
      </c>
      <c r="E955" s="1925">
        <v>8346.39</v>
      </c>
      <c r="G955" s="1925">
        <v>10000</v>
      </c>
      <c r="I955" s="1927"/>
    </row>
    <row r="956" spans="1:9" x14ac:dyDescent="0.25">
      <c r="A956" s="1941" t="s">
        <v>3499</v>
      </c>
      <c r="B956" s="1901" t="s">
        <v>2644</v>
      </c>
      <c r="E956" s="1925">
        <v>9796.75</v>
      </c>
      <c r="G956" s="1925">
        <v>13000</v>
      </c>
      <c r="I956" s="1927"/>
    </row>
    <row r="957" spans="1:9" x14ac:dyDescent="0.25">
      <c r="A957" s="1941" t="s">
        <v>3499</v>
      </c>
      <c r="B957" s="1901" t="s">
        <v>2645</v>
      </c>
      <c r="E957" s="1925">
        <v>7156.12</v>
      </c>
      <c r="G957" s="1925">
        <v>11000</v>
      </c>
      <c r="I957" s="1927"/>
    </row>
    <row r="958" spans="1:9" x14ac:dyDescent="0.25">
      <c r="A958" s="1941" t="s">
        <v>3499</v>
      </c>
      <c r="B958" s="1901" t="s">
        <v>2646</v>
      </c>
      <c r="E958" s="1925">
        <v>22606.46</v>
      </c>
      <c r="G958" s="1925">
        <v>32000</v>
      </c>
      <c r="I958" s="1927"/>
    </row>
    <row r="959" spans="1:9" x14ac:dyDescent="0.25">
      <c r="A959" s="1941" t="s">
        <v>3500</v>
      </c>
      <c r="B959" s="1901" t="s">
        <v>2647</v>
      </c>
      <c r="E959" s="1925">
        <v>59952.45</v>
      </c>
      <c r="G959" s="1925">
        <v>71000</v>
      </c>
      <c r="I959" s="1927"/>
    </row>
    <row r="960" spans="1:9" x14ac:dyDescent="0.25">
      <c r="A960" s="1941" t="s">
        <v>3500</v>
      </c>
      <c r="B960" s="1901" t="s">
        <v>2648</v>
      </c>
      <c r="E960" s="1925">
        <v>9647.93</v>
      </c>
      <c r="G960" s="1925">
        <v>11000</v>
      </c>
      <c r="I960" s="1927"/>
    </row>
    <row r="961" spans="1:9" x14ac:dyDescent="0.25">
      <c r="A961" s="1941" t="s">
        <v>3500</v>
      </c>
      <c r="B961" s="1901" t="s">
        <v>2649</v>
      </c>
      <c r="E961" s="1925">
        <v>13742.43</v>
      </c>
      <c r="G961" s="1925">
        <v>16000</v>
      </c>
      <c r="I961" s="1927"/>
    </row>
    <row r="962" spans="1:9" x14ac:dyDescent="0.25">
      <c r="A962" s="1941" t="s">
        <v>3500</v>
      </c>
      <c r="B962" s="1901" t="s">
        <v>2650</v>
      </c>
      <c r="E962" s="1925">
        <v>10149.530000000001</v>
      </c>
      <c r="G962" s="1925">
        <v>12000</v>
      </c>
      <c r="I962" s="1927"/>
    </row>
    <row r="963" spans="1:9" x14ac:dyDescent="0.25">
      <c r="A963" s="1941" t="s">
        <v>3500</v>
      </c>
      <c r="B963" s="1901" t="s">
        <v>2651</v>
      </c>
      <c r="E963" s="1925">
        <v>58963.37</v>
      </c>
      <c r="G963" s="1925">
        <v>65000</v>
      </c>
      <c r="I963" s="1927"/>
    </row>
    <row r="964" spans="1:9" x14ac:dyDescent="0.25">
      <c r="A964" s="1941">
        <v>400</v>
      </c>
      <c r="B964" s="1901" t="s">
        <v>2256</v>
      </c>
      <c r="E964" s="1925">
        <v>227025.89</v>
      </c>
      <c r="G964" s="1925">
        <v>261000</v>
      </c>
      <c r="I964" s="1927"/>
    </row>
    <row r="965" spans="1:9" x14ac:dyDescent="0.25">
      <c r="A965" s="1941">
        <v>2540</v>
      </c>
      <c r="B965" s="1901" t="s">
        <v>2652</v>
      </c>
      <c r="E965" s="1925">
        <v>292894.08000000002</v>
      </c>
      <c r="G965" s="1925">
        <v>321000</v>
      </c>
      <c r="I965" s="1927"/>
    </row>
    <row r="966" spans="1:9" x14ac:dyDescent="0.25">
      <c r="A966" s="1941" t="s">
        <v>3501</v>
      </c>
      <c r="B966" s="1901" t="s">
        <v>2653</v>
      </c>
      <c r="E966" s="1925">
        <v>50988.94</v>
      </c>
      <c r="G966" s="1925">
        <v>51113</v>
      </c>
      <c r="I966" s="1927"/>
    </row>
    <row r="967" spans="1:9" x14ac:dyDescent="0.25">
      <c r="A967" s="1941" t="s">
        <v>3502</v>
      </c>
      <c r="B967" s="1901" t="s">
        <v>2654</v>
      </c>
      <c r="E967" s="1925">
        <v>78205.42</v>
      </c>
      <c r="G967" s="1925">
        <v>78200</v>
      </c>
      <c r="I967" s="1927"/>
    </row>
    <row r="968" spans="1:9" x14ac:dyDescent="0.25">
      <c r="A968" s="1941" t="s">
        <v>3503</v>
      </c>
      <c r="B968" s="1901" t="s">
        <v>2655</v>
      </c>
      <c r="E968" s="1925">
        <v>9671.5499999999993</v>
      </c>
      <c r="G968" s="1925">
        <v>10750</v>
      </c>
      <c r="I968" s="1927"/>
    </row>
    <row r="969" spans="1:9" x14ac:dyDescent="0.25">
      <c r="A969" s="1941" t="s">
        <v>3504</v>
      </c>
      <c r="B969" s="1901" t="s">
        <v>2656</v>
      </c>
      <c r="E969" s="1925">
        <v>36098.620000000003</v>
      </c>
      <c r="G969" s="1925">
        <v>36500</v>
      </c>
      <c r="I969" s="1927"/>
    </row>
    <row r="970" spans="1:9" x14ac:dyDescent="0.25">
      <c r="A970" s="1941" t="s">
        <v>3505</v>
      </c>
      <c r="B970" s="1901" t="s">
        <v>2657</v>
      </c>
      <c r="E970" s="1925">
        <v>7551.76</v>
      </c>
      <c r="G970" s="1925">
        <v>7500</v>
      </c>
      <c r="I970" s="1927"/>
    </row>
    <row r="971" spans="1:9" x14ac:dyDescent="0.25">
      <c r="A971" s="1941">
        <v>100</v>
      </c>
      <c r="B971" s="1901" t="s">
        <v>194</v>
      </c>
      <c r="E971" s="1925">
        <v>182516.29</v>
      </c>
      <c r="G971" s="1925">
        <v>184063</v>
      </c>
      <c r="I971" s="1927"/>
    </row>
    <row r="972" spans="1:9" x14ac:dyDescent="0.25">
      <c r="A972" s="1941" t="s">
        <v>3506</v>
      </c>
      <c r="B972" s="1901" t="s">
        <v>2658</v>
      </c>
      <c r="E972" s="1925">
        <v>53046.94</v>
      </c>
      <c r="G972" s="1925">
        <v>53047</v>
      </c>
      <c r="I972" s="1927"/>
    </row>
    <row r="973" spans="1:9" x14ac:dyDescent="0.25">
      <c r="A973" s="1941" t="s">
        <v>3507</v>
      </c>
      <c r="B973" s="1901" t="s">
        <v>2659</v>
      </c>
      <c r="E973" s="1925">
        <v>389.04</v>
      </c>
      <c r="G973" s="1925">
        <v>389</v>
      </c>
      <c r="I973" s="1927"/>
    </row>
    <row r="974" spans="1:9" x14ac:dyDescent="0.25">
      <c r="A974" s="1941">
        <v>200</v>
      </c>
      <c r="B974" s="1901" t="s">
        <v>49</v>
      </c>
      <c r="E974" s="1925">
        <v>53435.98</v>
      </c>
      <c r="G974" s="1925">
        <v>53436</v>
      </c>
      <c r="I974" s="1927"/>
    </row>
    <row r="975" spans="1:9" x14ac:dyDescent="0.25">
      <c r="A975" s="1941" t="s">
        <v>3508</v>
      </c>
      <c r="B975" s="1901" t="s">
        <v>2660</v>
      </c>
      <c r="E975" s="1925">
        <v>5926.47</v>
      </c>
      <c r="G975" s="1925">
        <v>2000</v>
      </c>
      <c r="I975" s="1927"/>
    </row>
    <row r="976" spans="1:9" x14ac:dyDescent="0.25">
      <c r="A976" s="1941" t="s">
        <v>3509</v>
      </c>
      <c r="B976" s="1901" t="s">
        <v>2661</v>
      </c>
      <c r="E976" s="1925">
        <v>0</v>
      </c>
      <c r="G976" s="1925">
        <v>2500</v>
      </c>
      <c r="I976" s="1927"/>
    </row>
    <row r="977" spans="1:9" x14ac:dyDescent="0.25">
      <c r="A977" s="1941" t="s">
        <v>3510</v>
      </c>
      <c r="B977" s="1901" t="s">
        <v>2662</v>
      </c>
      <c r="E977" s="1925">
        <v>866.33</v>
      </c>
      <c r="G977" s="1925">
        <v>2000</v>
      </c>
      <c r="I977" s="1927"/>
    </row>
    <row r="978" spans="1:9" x14ac:dyDescent="0.25">
      <c r="A978" s="1941">
        <v>300</v>
      </c>
      <c r="B978" s="1901" t="s">
        <v>1100</v>
      </c>
      <c r="E978" s="1925">
        <v>6792.8</v>
      </c>
      <c r="G978" s="1925">
        <v>6500</v>
      </c>
      <c r="I978" s="1927"/>
    </row>
    <row r="979" spans="1:9" x14ac:dyDescent="0.25">
      <c r="A979" s="1941" t="s">
        <v>3511</v>
      </c>
      <c r="B979" s="1901" t="s">
        <v>2663</v>
      </c>
      <c r="E979" s="1925">
        <v>18339.57</v>
      </c>
      <c r="G979" s="1925">
        <v>20000</v>
      </c>
      <c r="I979" s="1927"/>
    </row>
    <row r="980" spans="1:9" x14ac:dyDescent="0.25">
      <c r="A980" s="1941" t="s">
        <v>3511</v>
      </c>
      <c r="B980" s="1901" t="s">
        <v>2664</v>
      </c>
      <c r="E980" s="1925">
        <v>3197.34</v>
      </c>
      <c r="G980" s="1925">
        <v>2500</v>
      </c>
      <c r="I980" s="1927"/>
    </row>
    <row r="981" spans="1:9" x14ac:dyDescent="0.25">
      <c r="A981" s="1941" t="s">
        <v>3512</v>
      </c>
      <c r="B981" s="1901" t="s">
        <v>2665</v>
      </c>
      <c r="E981" s="1925">
        <v>50493.66</v>
      </c>
      <c r="G981" s="1925">
        <v>60000</v>
      </c>
      <c r="I981" s="1927"/>
    </row>
    <row r="982" spans="1:9" x14ac:dyDescent="0.25">
      <c r="A982" s="1941" t="s">
        <v>3513</v>
      </c>
      <c r="B982" s="1901" t="s">
        <v>2666</v>
      </c>
      <c r="E982" s="1925">
        <v>2756.52</v>
      </c>
      <c r="G982" s="1925">
        <v>2500</v>
      </c>
      <c r="I982" s="1927"/>
    </row>
    <row r="983" spans="1:9" x14ac:dyDescent="0.25">
      <c r="A983" s="1941" t="s">
        <v>3514</v>
      </c>
      <c r="B983" s="1901" t="s">
        <v>2667</v>
      </c>
      <c r="E983" s="1925">
        <v>226149.76000000001</v>
      </c>
      <c r="G983" s="1925">
        <v>225000</v>
      </c>
      <c r="I983" s="1927"/>
    </row>
    <row r="984" spans="1:9" x14ac:dyDescent="0.25">
      <c r="A984" s="1941" t="s">
        <v>3515</v>
      </c>
      <c r="B984" s="1901" t="s">
        <v>2668</v>
      </c>
      <c r="E984" s="1925">
        <v>127.96</v>
      </c>
      <c r="G984" s="1925">
        <v>2500</v>
      </c>
      <c r="I984" s="1927"/>
    </row>
    <row r="985" spans="1:9" x14ac:dyDescent="0.25">
      <c r="A985" s="1941" t="s">
        <v>3516</v>
      </c>
      <c r="B985" s="1901" t="s">
        <v>2669</v>
      </c>
      <c r="E985" s="1925">
        <v>1777.45</v>
      </c>
      <c r="G985" s="1925">
        <v>1777.45</v>
      </c>
      <c r="I985" s="1927"/>
    </row>
    <row r="986" spans="1:9" x14ac:dyDescent="0.25">
      <c r="A986" s="1941" t="s">
        <v>3517</v>
      </c>
      <c r="B986" s="1901" t="s">
        <v>2670</v>
      </c>
      <c r="E986" s="1925">
        <v>760.61</v>
      </c>
      <c r="G986" s="1925">
        <v>1000</v>
      </c>
      <c r="I986" s="1927"/>
    </row>
    <row r="987" spans="1:9" x14ac:dyDescent="0.25">
      <c r="A987" s="1941" t="s">
        <v>3518</v>
      </c>
      <c r="B987" s="1901" t="s">
        <v>2671</v>
      </c>
      <c r="E987" s="1925">
        <v>1243.22</v>
      </c>
      <c r="G987" s="1925">
        <v>1400</v>
      </c>
      <c r="I987" s="1927"/>
    </row>
    <row r="988" spans="1:9" x14ac:dyDescent="0.25">
      <c r="A988" s="1941" t="s">
        <v>3519</v>
      </c>
      <c r="B988" s="1901" t="s">
        <v>2672</v>
      </c>
      <c r="E988" s="1925">
        <v>8902.02</v>
      </c>
      <c r="G988" s="1925">
        <v>12000</v>
      </c>
      <c r="I988" s="1927"/>
    </row>
    <row r="989" spans="1:9" x14ac:dyDescent="0.25">
      <c r="A989" s="1941">
        <v>400</v>
      </c>
      <c r="B989" s="1901" t="s">
        <v>2256</v>
      </c>
      <c r="E989" s="1925">
        <v>313748.11</v>
      </c>
      <c r="G989" s="1925">
        <v>328677.45</v>
      </c>
      <c r="I989" s="1927"/>
    </row>
    <row r="990" spans="1:9" x14ac:dyDescent="0.25">
      <c r="A990" s="1941" t="s">
        <v>3520</v>
      </c>
      <c r="B990" s="1901" t="s">
        <v>2673</v>
      </c>
      <c r="E990" s="1925">
        <v>20798.400000000001</v>
      </c>
      <c r="G990" s="1925">
        <v>25000</v>
      </c>
      <c r="I990" s="1927"/>
    </row>
    <row r="991" spans="1:9" x14ac:dyDescent="0.25">
      <c r="A991" s="1941">
        <v>500</v>
      </c>
      <c r="B991" s="1901" t="s">
        <v>1095</v>
      </c>
      <c r="E991" s="1925">
        <v>20798.400000000001</v>
      </c>
      <c r="G991" s="1925">
        <v>25000</v>
      </c>
      <c r="I991" s="1927"/>
    </row>
    <row r="992" spans="1:9" x14ac:dyDescent="0.25">
      <c r="A992" s="1941" t="s">
        <v>3521</v>
      </c>
      <c r="B992" s="1901" t="s">
        <v>2674</v>
      </c>
      <c r="E992" s="1925">
        <v>0</v>
      </c>
      <c r="G992" s="1925">
        <v>250</v>
      </c>
      <c r="I992" s="1927"/>
    </row>
    <row r="993" spans="1:9" x14ac:dyDescent="0.25">
      <c r="A993" s="1941">
        <v>600</v>
      </c>
      <c r="B993" s="1901" t="s">
        <v>1096</v>
      </c>
      <c r="E993" s="1925">
        <v>0</v>
      </c>
      <c r="G993" s="1925">
        <v>250</v>
      </c>
      <c r="I993" s="1927"/>
    </row>
    <row r="994" spans="1:9" x14ac:dyDescent="0.25">
      <c r="A994" s="1941">
        <v>2560</v>
      </c>
      <c r="B994" s="1901" t="s">
        <v>100</v>
      </c>
      <c r="E994" s="1925">
        <v>577291.57999999996</v>
      </c>
      <c r="G994" s="1925">
        <v>597926.44999999995</v>
      </c>
      <c r="I994" s="1927"/>
    </row>
    <row r="995" spans="1:9" x14ac:dyDescent="0.25">
      <c r="A995" s="1941" t="s">
        <v>3522</v>
      </c>
      <c r="B995" s="1901" t="s">
        <v>2675</v>
      </c>
      <c r="E995" s="1925">
        <v>366.2</v>
      </c>
      <c r="G995" s="1925">
        <v>500</v>
      </c>
      <c r="I995" s="1927"/>
    </row>
    <row r="996" spans="1:9" x14ac:dyDescent="0.25">
      <c r="A996" s="1941">
        <v>300</v>
      </c>
      <c r="B996" s="1901" t="s">
        <v>1100</v>
      </c>
      <c r="E996" s="1925">
        <v>366.2</v>
      </c>
      <c r="G996" s="1925">
        <v>500</v>
      </c>
      <c r="I996" s="1927"/>
    </row>
    <row r="997" spans="1:9" x14ac:dyDescent="0.25">
      <c r="A997" s="1941" t="s">
        <v>3523</v>
      </c>
      <c r="B997" s="1901" t="s">
        <v>2676</v>
      </c>
      <c r="E997" s="1925">
        <v>20856.05</v>
      </c>
      <c r="G997" s="1925">
        <v>21403</v>
      </c>
      <c r="I997" s="1927"/>
    </row>
    <row r="998" spans="1:9" x14ac:dyDescent="0.25">
      <c r="A998" s="1941" t="s">
        <v>3524</v>
      </c>
      <c r="B998" s="1901" t="s">
        <v>2677</v>
      </c>
      <c r="E998" s="1925">
        <v>5364.54</v>
      </c>
      <c r="G998" s="1925">
        <v>2000</v>
      </c>
      <c r="I998" s="1927"/>
    </row>
    <row r="999" spans="1:9" x14ac:dyDescent="0.25">
      <c r="A999" s="1941">
        <v>400</v>
      </c>
      <c r="B999" s="1901" t="s">
        <v>2256</v>
      </c>
      <c r="E999" s="1925">
        <v>26220.59</v>
      </c>
      <c r="G999" s="1925">
        <v>23403</v>
      </c>
      <c r="I999" s="1927"/>
    </row>
    <row r="1000" spans="1:9" x14ac:dyDescent="0.25">
      <c r="A1000" s="1941">
        <v>2570</v>
      </c>
      <c r="B1000" s="1901" t="s">
        <v>101</v>
      </c>
      <c r="E1000" s="1925">
        <v>26586.79</v>
      </c>
      <c r="G1000" s="1925">
        <v>23903</v>
      </c>
      <c r="I1000" s="1927"/>
    </row>
    <row r="1001" spans="1:9" x14ac:dyDescent="0.25">
      <c r="A1001" s="1941" t="s">
        <v>3525</v>
      </c>
      <c r="B1001" s="1901" t="s">
        <v>2678</v>
      </c>
      <c r="E1001" s="1925">
        <v>23500</v>
      </c>
      <c r="G1001" s="1925">
        <v>24000</v>
      </c>
      <c r="I1001" s="1927"/>
    </row>
    <row r="1002" spans="1:9" x14ac:dyDescent="0.25">
      <c r="A1002" s="1941">
        <v>400</v>
      </c>
      <c r="B1002" s="1901" t="s">
        <v>2256</v>
      </c>
      <c r="E1002" s="1925">
        <v>23500</v>
      </c>
      <c r="G1002" s="1925">
        <v>24000</v>
      </c>
      <c r="I1002" s="1927"/>
    </row>
    <row r="1003" spans="1:9" x14ac:dyDescent="0.25">
      <c r="A1003" s="1941">
        <v>2620</v>
      </c>
      <c r="B1003" s="1901" t="s">
        <v>2679</v>
      </c>
      <c r="E1003" s="1925">
        <v>23500</v>
      </c>
      <c r="G1003" s="1925">
        <v>24000</v>
      </c>
      <c r="I1003" s="1927"/>
    </row>
    <row r="1004" spans="1:9" x14ac:dyDescent="0.25">
      <c r="A1004" s="1941" t="s">
        <v>3526</v>
      </c>
      <c r="B1004" s="1901" t="s">
        <v>2680</v>
      </c>
      <c r="E1004" s="1925">
        <v>7152.13</v>
      </c>
      <c r="G1004" s="1925">
        <v>9500</v>
      </c>
      <c r="I1004" s="1927"/>
    </row>
    <row r="1005" spans="1:9" x14ac:dyDescent="0.25">
      <c r="A1005" s="1941">
        <v>300</v>
      </c>
      <c r="B1005" s="1901" t="s">
        <v>1100</v>
      </c>
      <c r="E1005" s="1925">
        <v>7152.13</v>
      </c>
      <c r="G1005" s="1925">
        <v>9500</v>
      </c>
      <c r="I1005" s="1927"/>
    </row>
    <row r="1006" spans="1:9" x14ac:dyDescent="0.25">
      <c r="A1006" s="1941">
        <v>2630</v>
      </c>
      <c r="B1006" s="1901" t="s">
        <v>2681</v>
      </c>
      <c r="E1006" s="1925">
        <v>7152.13</v>
      </c>
      <c r="G1006" s="1925">
        <v>9500</v>
      </c>
      <c r="I1006" s="1927"/>
    </row>
    <row r="1007" spans="1:9" x14ac:dyDescent="0.25">
      <c r="A1007" s="1941" t="s">
        <v>3527</v>
      </c>
      <c r="B1007" s="1901" t="s">
        <v>2682</v>
      </c>
      <c r="E1007" s="1925">
        <v>3275</v>
      </c>
      <c r="G1007" s="1925">
        <v>3500</v>
      </c>
      <c r="I1007" s="1927"/>
    </row>
    <row r="1008" spans="1:9" x14ac:dyDescent="0.25">
      <c r="A1008" s="1941">
        <v>100</v>
      </c>
      <c r="B1008" s="1901" t="s">
        <v>194</v>
      </c>
      <c r="E1008" s="1925">
        <v>3275</v>
      </c>
      <c r="G1008" s="1925">
        <v>3500</v>
      </c>
      <c r="I1008" s="1927"/>
    </row>
    <row r="1009" spans="1:9" x14ac:dyDescent="0.25">
      <c r="A1009" s="1941" t="s">
        <v>3528</v>
      </c>
      <c r="B1009" s="1901" t="s">
        <v>2683</v>
      </c>
      <c r="E1009" s="1925">
        <v>219.23</v>
      </c>
      <c r="G1009" s="1925">
        <v>200</v>
      </c>
      <c r="I1009" s="1927"/>
    </row>
    <row r="1010" spans="1:9" x14ac:dyDescent="0.25">
      <c r="A1010" s="1941">
        <v>200</v>
      </c>
      <c r="B1010" s="1901" t="s">
        <v>49</v>
      </c>
      <c r="E1010" s="1925">
        <v>219.23</v>
      </c>
      <c r="G1010" s="1925">
        <v>200</v>
      </c>
      <c r="I1010" s="1927"/>
    </row>
    <row r="1011" spans="1:9" x14ac:dyDescent="0.25">
      <c r="A1011" s="1941" t="s">
        <v>3529</v>
      </c>
      <c r="B1011" s="1901" t="s">
        <v>2684</v>
      </c>
      <c r="E1011" s="1925">
        <v>15.64</v>
      </c>
      <c r="G1011" s="1925">
        <v>300</v>
      </c>
      <c r="I1011" s="1927"/>
    </row>
    <row r="1012" spans="1:9" x14ac:dyDescent="0.25">
      <c r="A1012" s="1941" t="s">
        <v>3530</v>
      </c>
      <c r="B1012" s="1901" t="s">
        <v>2682</v>
      </c>
      <c r="E1012" s="1925">
        <v>2854.47</v>
      </c>
      <c r="G1012" s="1925">
        <v>5000</v>
      </c>
      <c r="I1012" s="1927"/>
    </row>
    <row r="1013" spans="1:9" x14ac:dyDescent="0.25">
      <c r="A1013" s="1941">
        <v>300</v>
      </c>
      <c r="B1013" s="1901" t="s">
        <v>1100</v>
      </c>
      <c r="E1013" s="1925">
        <v>2870.11</v>
      </c>
      <c r="G1013" s="1925">
        <v>5300</v>
      </c>
      <c r="I1013" s="1927"/>
    </row>
    <row r="1014" spans="1:9" x14ac:dyDescent="0.25">
      <c r="A1014" s="1941">
        <v>2640</v>
      </c>
      <c r="B1014" s="1901" t="s">
        <v>403</v>
      </c>
      <c r="E1014" s="1925">
        <v>6364.34</v>
      </c>
      <c r="G1014" s="1925">
        <v>9000</v>
      </c>
      <c r="I1014" s="1927"/>
    </row>
    <row r="1015" spans="1:9" x14ac:dyDescent="0.25">
      <c r="A1015" s="1941">
        <v>2000</v>
      </c>
      <c r="B1015" s="1901" t="s">
        <v>457</v>
      </c>
      <c r="E1015" s="1925">
        <v>5261427.68</v>
      </c>
      <c r="G1015" s="1925">
        <v>5455639.9900000002</v>
      </c>
      <c r="I1015" s="1927"/>
    </row>
    <row r="1016" spans="1:9" x14ac:dyDescent="0.25">
      <c r="A1016" s="1941" t="s">
        <v>3781</v>
      </c>
      <c r="B1016" s="1901" t="s">
        <v>2685</v>
      </c>
      <c r="E1016" s="1925">
        <v>1562</v>
      </c>
      <c r="G1016" s="1925">
        <v>1562</v>
      </c>
      <c r="I1016" s="1927"/>
    </row>
    <row r="1017" spans="1:9" x14ac:dyDescent="0.25">
      <c r="A1017" s="1941">
        <v>200</v>
      </c>
      <c r="B1017" s="1901" t="s">
        <v>49</v>
      </c>
      <c r="E1017" s="1925">
        <v>1562</v>
      </c>
      <c r="G1017" s="1925">
        <v>1562</v>
      </c>
      <c r="I1017" s="1927"/>
    </row>
    <row r="1018" spans="1:9" x14ac:dyDescent="0.25">
      <c r="A1018" s="1941" t="s">
        <v>3782</v>
      </c>
      <c r="B1018" s="1901" t="s">
        <v>2686</v>
      </c>
      <c r="E1018" s="1925">
        <v>1708.57</v>
      </c>
      <c r="G1018" s="1925">
        <v>2492</v>
      </c>
      <c r="I1018" s="1927"/>
    </row>
    <row r="1019" spans="1:9" x14ac:dyDescent="0.25">
      <c r="A1019" s="1941">
        <v>400</v>
      </c>
      <c r="B1019" s="1901" t="s">
        <v>2256</v>
      </c>
      <c r="E1019" s="1925">
        <v>1708.57</v>
      </c>
      <c r="G1019" s="1925">
        <v>2492</v>
      </c>
      <c r="I1019" s="1927"/>
    </row>
    <row r="1020" spans="1:9" x14ac:dyDescent="0.25">
      <c r="A1020" s="1941">
        <v>3000</v>
      </c>
      <c r="B1020" s="1901" t="s">
        <v>2134</v>
      </c>
      <c r="E1020" s="1925">
        <v>3270.57</v>
      </c>
      <c r="G1020" s="1925">
        <v>4054</v>
      </c>
      <c r="I1020" s="1927"/>
    </row>
    <row r="1021" spans="1:9" x14ac:dyDescent="0.25">
      <c r="A1021" s="1941">
        <v>3000</v>
      </c>
      <c r="B1021" s="1901" t="s">
        <v>449</v>
      </c>
      <c r="E1021" s="1925">
        <v>3270.57</v>
      </c>
      <c r="G1021" s="1925">
        <v>4054</v>
      </c>
      <c r="I1021" s="1927"/>
    </row>
    <row r="1022" spans="1:9" x14ac:dyDescent="0.25">
      <c r="A1022" s="1941" t="s">
        <v>3783</v>
      </c>
      <c r="B1022" s="1901" t="s">
        <v>2687</v>
      </c>
      <c r="E1022" s="1925">
        <v>11500</v>
      </c>
      <c r="G1022" s="1925">
        <v>11500</v>
      </c>
      <c r="I1022" s="1927"/>
    </row>
    <row r="1023" spans="1:9" x14ac:dyDescent="0.25">
      <c r="A1023" s="1941">
        <v>300</v>
      </c>
      <c r="B1023" s="1901" t="s">
        <v>1100</v>
      </c>
      <c r="E1023" s="1925">
        <v>11500</v>
      </c>
      <c r="G1023" s="1925">
        <v>11500</v>
      </c>
      <c r="I1023" s="1927"/>
    </row>
    <row r="1024" spans="1:9" x14ac:dyDescent="0.25">
      <c r="A1024" s="1941">
        <v>4000</v>
      </c>
      <c r="B1024" s="1901" t="s">
        <v>2154</v>
      </c>
      <c r="E1024" s="1925">
        <v>11500</v>
      </c>
      <c r="G1024" s="1925">
        <v>11500</v>
      </c>
      <c r="I1024" s="1927"/>
    </row>
    <row r="1025" spans="1:9" x14ac:dyDescent="0.25">
      <c r="A1025" s="1941" t="s">
        <v>3531</v>
      </c>
      <c r="B1025" s="1901" t="s">
        <v>2688</v>
      </c>
      <c r="E1025" s="1925">
        <v>11970.36</v>
      </c>
      <c r="G1025" s="1925">
        <v>13057.24</v>
      </c>
      <c r="I1025" s="1927"/>
    </row>
    <row r="1026" spans="1:9" x14ac:dyDescent="0.25">
      <c r="A1026" s="1941" t="s">
        <v>3532</v>
      </c>
      <c r="B1026" s="1901" t="s">
        <v>2689</v>
      </c>
      <c r="E1026" s="1925">
        <v>0</v>
      </c>
      <c r="G1026" s="1925">
        <v>0</v>
      </c>
      <c r="I1026" s="1927"/>
    </row>
    <row r="1027" spans="1:9" x14ac:dyDescent="0.25">
      <c r="A1027" s="1941" t="s">
        <v>3533</v>
      </c>
      <c r="B1027" s="1901" t="s">
        <v>2690</v>
      </c>
      <c r="E1027" s="1925">
        <v>114756.72</v>
      </c>
      <c r="G1027" s="1925">
        <v>119964.87</v>
      </c>
      <c r="I1027" s="1927"/>
    </row>
    <row r="1028" spans="1:9" x14ac:dyDescent="0.25">
      <c r="A1028" s="1941" t="s">
        <v>3534</v>
      </c>
      <c r="B1028" s="1901" t="s">
        <v>2691</v>
      </c>
      <c r="E1028" s="1925">
        <v>7018.27</v>
      </c>
      <c r="G1028" s="1925">
        <v>7355.05</v>
      </c>
      <c r="I1028" s="1927"/>
    </row>
    <row r="1029" spans="1:9" x14ac:dyDescent="0.25">
      <c r="A1029" s="1941">
        <v>600</v>
      </c>
      <c r="B1029" s="1901" t="s">
        <v>1096</v>
      </c>
      <c r="E1029" s="1925">
        <v>133745.35</v>
      </c>
      <c r="G1029" s="1925">
        <v>140377.16</v>
      </c>
      <c r="I1029" s="1927"/>
    </row>
    <row r="1030" spans="1:9" x14ac:dyDescent="0.25">
      <c r="A1030" s="1941">
        <v>4121</v>
      </c>
      <c r="B1030" s="1901" t="s">
        <v>2692</v>
      </c>
      <c r="E1030" s="1925">
        <v>133745.35</v>
      </c>
      <c r="G1030" s="1925">
        <v>140377.16</v>
      </c>
      <c r="I1030" s="1927"/>
    </row>
    <row r="1031" spans="1:9" x14ac:dyDescent="0.25">
      <c r="A1031" s="1941" t="s">
        <v>3596</v>
      </c>
      <c r="B1031" s="1901" t="s">
        <v>2693</v>
      </c>
      <c r="E1031" s="1925">
        <v>47233.08</v>
      </c>
      <c r="G1031" s="1925">
        <v>70000</v>
      </c>
      <c r="I1031" s="1927"/>
    </row>
    <row r="1032" spans="1:9" x14ac:dyDescent="0.25">
      <c r="A1032" s="1941" t="s">
        <v>3597</v>
      </c>
      <c r="B1032" s="1901" t="s">
        <v>2694</v>
      </c>
      <c r="E1032" s="1925">
        <v>24746.45</v>
      </c>
      <c r="G1032" s="1925">
        <v>25000</v>
      </c>
      <c r="I1032" s="1927"/>
    </row>
    <row r="1033" spans="1:9" x14ac:dyDescent="0.25">
      <c r="A1033" s="1941" t="s">
        <v>3598</v>
      </c>
      <c r="B1033" s="1901" t="s">
        <v>2695</v>
      </c>
      <c r="E1033" s="1925">
        <v>241241.08</v>
      </c>
      <c r="G1033" s="1925">
        <v>250000</v>
      </c>
      <c r="I1033" s="1927"/>
    </row>
    <row r="1034" spans="1:9" x14ac:dyDescent="0.25">
      <c r="A1034" s="1941" t="s">
        <v>3599</v>
      </c>
      <c r="B1034" s="1901" t="s">
        <v>2696</v>
      </c>
      <c r="E1034" s="1925">
        <v>82053.83</v>
      </c>
      <c r="G1034" s="1925">
        <v>74000</v>
      </c>
      <c r="I1034" s="1927"/>
    </row>
    <row r="1035" spans="1:9" x14ac:dyDescent="0.25">
      <c r="A1035" s="1941" t="s">
        <v>3600</v>
      </c>
      <c r="B1035" s="1901" t="s">
        <v>2697</v>
      </c>
      <c r="E1035" s="1925">
        <v>0</v>
      </c>
      <c r="G1035" s="1925">
        <v>3000</v>
      </c>
      <c r="I1035" s="1927"/>
    </row>
    <row r="1036" spans="1:9" x14ac:dyDescent="0.25">
      <c r="A1036" s="1941" t="s">
        <v>3601</v>
      </c>
      <c r="B1036" s="1901" t="s">
        <v>2698</v>
      </c>
      <c r="E1036" s="1925">
        <v>4014.07</v>
      </c>
      <c r="G1036" s="1925">
        <v>5000</v>
      </c>
      <c r="I1036" s="1927"/>
    </row>
    <row r="1037" spans="1:9" x14ac:dyDescent="0.25">
      <c r="A1037" s="1941" t="s">
        <v>3602</v>
      </c>
      <c r="B1037" s="1901" t="s">
        <v>2699</v>
      </c>
      <c r="E1037" s="1925">
        <v>0</v>
      </c>
      <c r="G1037" s="1925">
        <v>0</v>
      </c>
      <c r="I1037" s="1927"/>
    </row>
    <row r="1038" spans="1:9" x14ac:dyDescent="0.25">
      <c r="A1038" s="1942" t="s">
        <v>3809</v>
      </c>
      <c r="B1038" s="1901"/>
      <c r="E1038" s="1925">
        <v>235486</v>
      </c>
      <c r="G1038" s="1925"/>
      <c r="I1038" s="1927"/>
    </row>
    <row r="1039" spans="1:9" x14ac:dyDescent="0.25">
      <c r="A1039" s="1941" t="s">
        <v>3810</v>
      </c>
      <c r="B1039" s="1901"/>
      <c r="E1039" s="1925">
        <v>3938</v>
      </c>
      <c r="G1039" s="1925"/>
      <c r="I1039" s="1927"/>
    </row>
    <row r="1040" spans="1:9" x14ac:dyDescent="0.25">
      <c r="A1040" s="1942" t="s">
        <v>3808</v>
      </c>
      <c r="B1040" s="1901"/>
      <c r="E1040" s="1925">
        <v>250</v>
      </c>
      <c r="G1040" s="1925"/>
      <c r="I1040" s="1927"/>
    </row>
    <row r="1041" spans="1:9" x14ac:dyDescent="0.25">
      <c r="A1041" s="1941">
        <v>600</v>
      </c>
      <c r="B1041" s="1901" t="s">
        <v>1096</v>
      </c>
      <c r="E1041" s="1925">
        <v>399288.51</v>
      </c>
      <c r="G1041" s="1925">
        <v>427000</v>
      </c>
      <c r="I1041" s="1927"/>
    </row>
    <row r="1042" spans="1:9" x14ac:dyDescent="0.25">
      <c r="A1042" s="1941">
        <v>4123</v>
      </c>
      <c r="B1042" s="1901" t="s">
        <v>2700</v>
      </c>
      <c r="E1042" s="1925">
        <v>399288.51</v>
      </c>
      <c r="G1042" s="1925">
        <v>427000</v>
      </c>
      <c r="I1042" s="1927"/>
    </row>
    <row r="1043" spans="1:9" x14ac:dyDescent="0.25">
      <c r="A1043" s="1941">
        <v>4000</v>
      </c>
      <c r="B1043" s="1901" t="s">
        <v>2154</v>
      </c>
      <c r="E1043" s="1925">
        <v>544533.86</v>
      </c>
      <c r="G1043" s="1925">
        <v>578877.16</v>
      </c>
      <c r="I1043" s="1927"/>
    </row>
    <row r="1044" spans="1:9" x14ac:dyDescent="0.25">
      <c r="A1044" s="1941">
        <v>1</v>
      </c>
      <c r="B1044" s="1901" t="s">
        <v>2159</v>
      </c>
      <c r="E1044" s="1925">
        <v>17415127.949999999</v>
      </c>
      <c r="G1044" s="1925">
        <v>18030445.34</v>
      </c>
      <c r="I1044" s="1927"/>
    </row>
    <row r="1045" spans="1:9" x14ac:dyDescent="0.25">
      <c r="A1045" s="1941" t="s">
        <v>3555</v>
      </c>
      <c r="B1045" s="1901" t="s">
        <v>2701</v>
      </c>
      <c r="E1045" s="1925">
        <v>1932.6</v>
      </c>
      <c r="G1045" s="1925">
        <v>2000</v>
      </c>
      <c r="I1045" s="1927"/>
    </row>
    <row r="1046" spans="1:9" x14ac:dyDescent="0.25">
      <c r="A1046" s="1941" t="s">
        <v>3556</v>
      </c>
      <c r="B1046" s="1901" t="s">
        <v>2702</v>
      </c>
      <c r="E1046" s="1925">
        <v>5679.38</v>
      </c>
      <c r="G1046" s="1925">
        <v>5500</v>
      </c>
      <c r="I1046" s="1927"/>
    </row>
    <row r="1047" spans="1:9" x14ac:dyDescent="0.25">
      <c r="A1047" s="1941" t="s">
        <v>3556</v>
      </c>
      <c r="B1047" s="1901" t="s">
        <v>2703</v>
      </c>
      <c r="E1047" s="1925">
        <v>3760.51</v>
      </c>
      <c r="G1047" s="1925">
        <v>3500</v>
      </c>
      <c r="I1047" s="1927"/>
    </row>
    <row r="1048" spans="1:9" x14ac:dyDescent="0.25">
      <c r="A1048" s="1941" t="s">
        <v>3556</v>
      </c>
      <c r="B1048" s="1901" t="s">
        <v>2704</v>
      </c>
      <c r="E1048" s="1925">
        <v>1927.47</v>
      </c>
      <c r="G1048" s="1925">
        <v>2500</v>
      </c>
      <c r="I1048" s="1927"/>
    </row>
    <row r="1049" spans="1:9" x14ac:dyDescent="0.25">
      <c r="A1049" s="1941" t="s">
        <v>3556</v>
      </c>
      <c r="B1049" s="1901" t="s">
        <v>2705</v>
      </c>
      <c r="E1049" s="1925">
        <v>2743.01</v>
      </c>
      <c r="G1049" s="1925">
        <v>3500</v>
      </c>
      <c r="I1049" s="1927"/>
    </row>
    <row r="1050" spans="1:9" x14ac:dyDescent="0.25">
      <c r="A1050" s="1941" t="s">
        <v>3556</v>
      </c>
      <c r="B1050" s="1901" t="s">
        <v>2706</v>
      </c>
      <c r="E1050" s="1925">
        <v>3159.42</v>
      </c>
      <c r="G1050" s="1925">
        <v>3500</v>
      </c>
      <c r="I1050" s="1927"/>
    </row>
    <row r="1051" spans="1:9" x14ac:dyDescent="0.25">
      <c r="A1051" s="1941" t="s">
        <v>3556</v>
      </c>
      <c r="B1051" s="1901" t="s">
        <v>2707</v>
      </c>
      <c r="E1051" s="1925">
        <v>249.12</v>
      </c>
      <c r="G1051" s="1925">
        <v>500</v>
      </c>
      <c r="I1051" s="1927"/>
    </row>
    <row r="1052" spans="1:9" x14ac:dyDescent="0.25">
      <c r="A1052" s="1941">
        <v>300</v>
      </c>
      <c r="B1052" s="1901" t="s">
        <v>1100</v>
      </c>
      <c r="E1052" s="1925">
        <v>19451.509999999998</v>
      </c>
      <c r="G1052" s="1925">
        <v>21000</v>
      </c>
      <c r="I1052" s="1927"/>
    </row>
    <row r="1053" spans="1:9" x14ac:dyDescent="0.25">
      <c r="A1053" s="1941" t="s">
        <v>3557</v>
      </c>
      <c r="B1053" s="1901" t="s">
        <v>2708</v>
      </c>
      <c r="E1053" s="1925">
        <v>684.08</v>
      </c>
      <c r="G1053" s="1925">
        <v>1500</v>
      </c>
      <c r="I1053" s="1927"/>
    </row>
    <row r="1054" spans="1:9" x14ac:dyDescent="0.25">
      <c r="A1054" s="1941" t="s">
        <v>3558</v>
      </c>
      <c r="B1054" s="1901" t="s">
        <v>2709</v>
      </c>
      <c r="E1054" s="1925">
        <v>4013.16</v>
      </c>
      <c r="G1054" s="1925">
        <v>4000</v>
      </c>
      <c r="I1054" s="1927"/>
    </row>
    <row r="1055" spans="1:9" x14ac:dyDescent="0.25">
      <c r="A1055" s="1941">
        <v>400</v>
      </c>
      <c r="B1055" s="1901" t="s">
        <v>2256</v>
      </c>
      <c r="E1055" s="1925">
        <v>4697.24</v>
      </c>
      <c r="G1055" s="1925">
        <v>5500</v>
      </c>
      <c r="I1055" s="1927"/>
    </row>
    <row r="1056" spans="1:9" x14ac:dyDescent="0.25">
      <c r="A1056" s="1941">
        <v>2540</v>
      </c>
      <c r="B1056" s="1901" t="s">
        <v>2652</v>
      </c>
      <c r="E1056" s="1925">
        <v>24148.75</v>
      </c>
      <c r="G1056" s="1925">
        <v>26500</v>
      </c>
      <c r="I1056" s="1927"/>
    </row>
    <row r="1057" spans="1:9" x14ac:dyDescent="0.25">
      <c r="A1057" s="1941" t="s">
        <v>3559</v>
      </c>
      <c r="B1057" s="1901" t="s">
        <v>2710</v>
      </c>
      <c r="E1057" s="1925">
        <v>149577.60999999999</v>
      </c>
      <c r="G1057" s="1925">
        <v>152703</v>
      </c>
      <c r="I1057" s="1927"/>
    </row>
    <row r="1058" spans="1:9" x14ac:dyDescent="0.25">
      <c r="A1058" s="1941" t="s">
        <v>3559</v>
      </c>
      <c r="B1058" s="1901" t="s">
        <v>2711</v>
      </c>
      <c r="E1058" s="1925">
        <v>47760.72</v>
      </c>
      <c r="G1058" s="1925">
        <v>87302</v>
      </c>
      <c r="I1058" s="1927"/>
    </row>
    <row r="1059" spans="1:9" x14ac:dyDescent="0.25">
      <c r="A1059" s="1941" t="s">
        <v>3559</v>
      </c>
      <c r="B1059" s="1901" t="s">
        <v>2712</v>
      </c>
      <c r="E1059" s="1925">
        <v>120091.42</v>
      </c>
      <c r="G1059" s="1925">
        <v>118523</v>
      </c>
      <c r="I1059" s="1927"/>
    </row>
    <row r="1060" spans="1:9" x14ac:dyDescent="0.25">
      <c r="A1060" s="1941" t="s">
        <v>3559</v>
      </c>
      <c r="B1060" s="1901" t="s">
        <v>2713</v>
      </c>
      <c r="E1060" s="1925">
        <v>97513.279999999999</v>
      </c>
      <c r="G1060" s="1925">
        <v>77389</v>
      </c>
      <c r="I1060" s="1927"/>
    </row>
    <row r="1061" spans="1:9" x14ac:dyDescent="0.25">
      <c r="A1061" s="1941" t="s">
        <v>3559</v>
      </c>
      <c r="B1061" s="1901" t="s">
        <v>2714</v>
      </c>
      <c r="E1061" s="1925">
        <v>135640.29999999999</v>
      </c>
      <c r="G1061" s="1925">
        <v>130915</v>
      </c>
      <c r="I1061" s="1927"/>
    </row>
    <row r="1062" spans="1:9" x14ac:dyDescent="0.25">
      <c r="A1062" s="1941" t="s">
        <v>3559</v>
      </c>
      <c r="B1062" s="1901" t="s">
        <v>2715</v>
      </c>
      <c r="E1062" s="1925">
        <v>214526.3</v>
      </c>
      <c r="G1062" s="1925">
        <v>210902</v>
      </c>
      <c r="I1062" s="1927"/>
    </row>
    <row r="1063" spans="1:9" x14ac:dyDescent="0.25">
      <c r="A1063" s="1941" t="s">
        <v>3560</v>
      </c>
      <c r="B1063" s="1901" t="s">
        <v>2716</v>
      </c>
      <c r="E1063" s="1925">
        <v>9337.67</v>
      </c>
      <c r="G1063" s="1925">
        <v>10000</v>
      </c>
      <c r="I1063" s="1927"/>
    </row>
    <row r="1064" spans="1:9" x14ac:dyDescent="0.25">
      <c r="A1064" s="1941" t="s">
        <v>3561</v>
      </c>
      <c r="B1064" s="1901" t="s">
        <v>2717</v>
      </c>
      <c r="E1064" s="1925">
        <v>41742.730000000003</v>
      </c>
      <c r="G1064" s="1925">
        <v>40000</v>
      </c>
      <c r="I1064" s="1927"/>
    </row>
    <row r="1065" spans="1:9" x14ac:dyDescent="0.25">
      <c r="A1065" s="1941" t="s">
        <v>3562</v>
      </c>
      <c r="B1065" s="1901" t="s">
        <v>2718</v>
      </c>
      <c r="E1065" s="1925">
        <v>54139.09</v>
      </c>
      <c r="G1065" s="1925">
        <v>55000</v>
      </c>
      <c r="I1065" s="1927"/>
    </row>
    <row r="1066" spans="1:9" x14ac:dyDescent="0.25">
      <c r="A1066" s="1941" t="s">
        <v>3563</v>
      </c>
      <c r="B1066" s="1901" t="s">
        <v>2719</v>
      </c>
      <c r="E1066" s="1925">
        <v>1014.56</v>
      </c>
      <c r="G1066" s="1925">
        <v>2500</v>
      </c>
      <c r="I1066" s="1927"/>
    </row>
    <row r="1067" spans="1:9" x14ac:dyDescent="0.25">
      <c r="A1067" s="1941" t="s">
        <v>3563</v>
      </c>
      <c r="B1067" s="1901" t="s">
        <v>2720</v>
      </c>
      <c r="E1067" s="1925">
        <v>0</v>
      </c>
      <c r="G1067" s="1925">
        <v>100</v>
      </c>
      <c r="I1067" s="1927"/>
    </row>
    <row r="1068" spans="1:9" x14ac:dyDescent="0.25">
      <c r="A1068" s="1941" t="s">
        <v>3563</v>
      </c>
      <c r="B1068" s="1901" t="s">
        <v>2721</v>
      </c>
      <c r="E1068" s="1925">
        <v>0</v>
      </c>
      <c r="G1068" s="1925">
        <v>100</v>
      </c>
      <c r="I1068" s="1927"/>
    </row>
    <row r="1069" spans="1:9" x14ac:dyDescent="0.25">
      <c r="A1069" s="1941" t="s">
        <v>3563</v>
      </c>
      <c r="B1069" s="1901" t="s">
        <v>2722</v>
      </c>
      <c r="E1069" s="1925">
        <v>0</v>
      </c>
      <c r="G1069" s="1925">
        <v>100</v>
      </c>
      <c r="I1069" s="1927"/>
    </row>
    <row r="1070" spans="1:9" x14ac:dyDescent="0.25">
      <c r="A1070" s="1941" t="s">
        <v>3563</v>
      </c>
      <c r="B1070" s="1901" t="s">
        <v>2723</v>
      </c>
      <c r="E1070" s="1925">
        <v>195.44</v>
      </c>
      <c r="G1070" s="1925">
        <v>1000</v>
      </c>
      <c r="I1070" s="1927"/>
    </row>
    <row r="1071" spans="1:9" x14ac:dyDescent="0.25">
      <c r="A1071" s="1941" t="s">
        <v>3564</v>
      </c>
      <c r="B1071" s="1901" t="s">
        <v>2724</v>
      </c>
      <c r="E1071" s="1925">
        <v>423.31</v>
      </c>
      <c r="G1071" s="1925">
        <v>1000</v>
      </c>
      <c r="I1071" s="1927"/>
    </row>
    <row r="1072" spans="1:9" x14ac:dyDescent="0.25">
      <c r="A1072" s="1941" t="s">
        <v>3564</v>
      </c>
      <c r="B1072" s="1901" t="s">
        <v>2725</v>
      </c>
      <c r="E1072" s="1925">
        <v>1004.47</v>
      </c>
      <c r="G1072" s="1925">
        <v>1000</v>
      </c>
      <c r="I1072" s="1927"/>
    </row>
    <row r="1073" spans="1:9" x14ac:dyDescent="0.25">
      <c r="A1073" s="1941" t="s">
        <v>3564</v>
      </c>
      <c r="B1073" s="1901" t="s">
        <v>2726</v>
      </c>
      <c r="E1073" s="1925">
        <v>727.4</v>
      </c>
      <c r="G1073" s="1925">
        <v>1000</v>
      </c>
      <c r="I1073" s="1927"/>
    </row>
    <row r="1074" spans="1:9" x14ac:dyDescent="0.25">
      <c r="A1074" s="1941" t="s">
        <v>3564</v>
      </c>
      <c r="B1074" s="1901" t="s">
        <v>2727</v>
      </c>
      <c r="E1074" s="1925">
        <v>240.64</v>
      </c>
      <c r="G1074" s="1925">
        <v>1000</v>
      </c>
      <c r="I1074" s="1927"/>
    </row>
    <row r="1075" spans="1:9" x14ac:dyDescent="0.25">
      <c r="A1075" s="1941" t="s">
        <v>3564</v>
      </c>
      <c r="B1075" s="1901" t="s">
        <v>2728</v>
      </c>
      <c r="E1075" s="1925">
        <v>725.88</v>
      </c>
      <c r="G1075" s="1925">
        <v>1000</v>
      </c>
      <c r="I1075" s="1927"/>
    </row>
    <row r="1076" spans="1:9" x14ac:dyDescent="0.25">
      <c r="A1076" s="1941" t="s">
        <v>3565</v>
      </c>
      <c r="B1076" s="1901" t="s">
        <v>2729</v>
      </c>
      <c r="E1076" s="1925">
        <v>4064.56</v>
      </c>
      <c r="G1076" s="1925">
        <v>4000</v>
      </c>
      <c r="I1076" s="1927"/>
    </row>
    <row r="1077" spans="1:9" x14ac:dyDescent="0.25">
      <c r="A1077" s="1941" t="s">
        <v>3565</v>
      </c>
      <c r="B1077" s="1901" t="s">
        <v>2730</v>
      </c>
      <c r="E1077" s="1925">
        <v>4190.83</v>
      </c>
      <c r="G1077" s="1925">
        <v>4000</v>
      </c>
      <c r="I1077" s="1927"/>
    </row>
    <row r="1078" spans="1:9" x14ac:dyDescent="0.25">
      <c r="A1078" s="1941" t="s">
        <v>3565</v>
      </c>
      <c r="B1078" s="1901" t="s">
        <v>2731</v>
      </c>
      <c r="E1078" s="1925">
        <v>3786.16</v>
      </c>
      <c r="G1078" s="1925">
        <v>4000</v>
      </c>
      <c r="I1078" s="1927"/>
    </row>
    <row r="1079" spans="1:9" x14ac:dyDescent="0.25">
      <c r="A1079" s="1941" t="s">
        <v>3565</v>
      </c>
      <c r="B1079" s="1901" t="s">
        <v>2732</v>
      </c>
      <c r="E1079" s="1925">
        <v>3140.51</v>
      </c>
      <c r="G1079" s="1925">
        <v>4000</v>
      </c>
      <c r="I1079" s="1927"/>
    </row>
    <row r="1080" spans="1:9" x14ac:dyDescent="0.25">
      <c r="A1080" s="1941" t="s">
        <v>3565</v>
      </c>
      <c r="B1080" s="1901" t="s">
        <v>2733</v>
      </c>
      <c r="E1080" s="1925">
        <v>4189.59</v>
      </c>
      <c r="G1080" s="1925">
        <v>4000</v>
      </c>
      <c r="I1080" s="1927"/>
    </row>
    <row r="1081" spans="1:9" x14ac:dyDescent="0.25">
      <c r="A1081" s="1941">
        <v>100</v>
      </c>
      <c r="B1081" s="1901" t="s">
        <v>194</v>
      </c>
      <c r="E1081" s="1925">
        <v>894032.47</v>
      </c>
      <c r="G1081" s="1925">
        <v>911534</v>
      </c>
      <c r="I1081" s="1927"/>
    </row>
    <row r="1082" spans="1:9" x14ac:dyDescent="0.25">
      <c r="A1082" s="1941" t="s">
        <v>3566</v>
      </c>
      <c r="B1082" s="1901" t="s">
        <v>2401</v>
      </c>
      <c r="E1082" s="1925">
        <v>24252.95</v>
      </c>
      <c r="G1082" s="1925">
        <v>24466</v>
      </c>
      <c r="I1082" s="1927"/>
    </row>
    <row r="1083" spans="1:9" x14ac:dyDescent="0.25">
      <c r="A1083" s="1941" t="s">
        <v>3566</v>
      </c>
      <c r="B1083" s="1901" t="s">
        <v>2734</v>
      </c>
      <c r="E1083" s="1925">
        <v>8752.1299999999992</v>
      </c>
      <c r="G1083" s="1925">
        <v>16310</v>
      </c>
      <c r="I1083" s="1927"/>
    </row>
    <row r="1084" spans="1:9" x14ac:dyDescent="0.25">
      <c r="A1084" s="1941" t="s">
        <v>3566</v>
      </c>
      <c r="B1084" s="1901" t="s">
        <v>2735</v>
      </c>
      <c r="E1084" s="1925">
        <v>24518.48</v>
      </c>
      <c r="G1084" s="1925">
        <v>24466</v>
      </c>
      <c r="I1084" s="1927"/>
    </row>
    <row r="1085" spans="1:9" x14ac:dyDescent="0.25">
      <c r="A1085" s="1941" t="s">
        <v>3566</v>
      </c>
      <c r="B1085" s="1901" t="s">
        <v>2736</v>
      </c>
      <c r="E1085" s="1925">
        <v>19990.7</v>
      </c>
      <c r="G1085" s="1925">
        <v>16310</v>
      </c>
      <c r="I1085" s="1927"/>
    </row>
    <row r="1086" spans="1:9" x14ac:dyDescent="0.25">
      <c r="A1086" s="1941" t="s">
        <v>3566</v>
      </c>
      <c r="B1086" s="1901" t="s">
        <v>2402</v>
      </c>
      <c r="E1086" s="1925">
        <v>33613.1</v>
      </c>
      <c r="G1086" s="1925">
        <v>33605</v>
      </c>
      <c r="I1086" s="1927"/>
    </row>
    <row r="1087" spans="1:9" x14ac:dyDescent="0.25">
      <c r="A1087" s="1941" t="s">
        <v>3566</v>
      </c>
      <c r="B1087" s="1901" t="s">
        <v>2737</v>
      </c>
      <c r="E1087" s="1925">
        <v>54104.45</v>
      </c>
      <c r="G1087" s="1925">
        <v>52888</v>
      </c>
      <c r="I1087" s="1927"/>
    </row>
    <row r="1088" spans="1:9" x14ac:dyDescent="0.25">
      <c r="A1088" s="1941" t="s">
        <v>3567</v>
      </c>
      <c r="B1088" s="1901" t="s">
        <v>2738</v>
      </c>
      <c r="E1088" s="1925">
        <v>10963.81</v>
      </c>
      <c r="G1088" s="1925">
        <v>10200</v>
      </c>
      <c r="I1088" s="1927"/>
    </row>
    <row r="1089" spans="1:9" x14ac:dyDescent="0.25">
      <c r="A1089" s="1941" t="s">
        <v>3568</v>
      </c>
      <c r="B1089" s="1901" t="s">
        <v>2739</v>
      </c>
      <c r="E1089" s="1925">
        <v>174.87</v>
      </c>
      <c r="G1089" s="1925">
        <v>176</v>
      </c>
      <c r="I1089" s="1927"/>
    </row>
    <row r="1090" spans="1:9" x14ac:dyDescent="0.25">
      <c r="A1090" s="1941" t="s">
        <v>3568</v>
      </c>
      <c r="B1090" s="1901" t="s">
        <v>2740</v>
      </c>
      <c r="E1090" s="1925">
        <v>63.3</v>
      </c>
      <c r="G1090" s="1925">
        <v>118</v>
      </c>
      <c r="I1090" s="1927"/>
    </row>
    <row r="1091" spans="1:9" x14ac:dyDescent="0.25">
      <c r="A1091" s="1941" t="s">
        <v>3568</v>
      </c>
      <c r="B1091" s="1901" t="s">
        <v>2741</v>
      </c>
      <c r="E1091" s="1925">
        <v>171.75</v>
      </c>
      <c r="G1091" s="1925">
        <v>176</v>
      </c>
      <c r="I1091" s="1927"/>
    </row>
    <row r="1092" spans="1:9" x14ac:dyDescent="0.25">
      <c r="A1092" s="1941" t="s">
        <v>3568</v>
      </c>
      <c r="B1092" s="1901" t="s">
        <v>2742</v>
      </c>
      <c r="E1092" s="1925">
        <v>153.72</v>
      </c>
      <c r="G1092" s="1925">
        <v>118</v>
      </c>
      <c r="I1092" s="1927"/>
    </row>
    <row r="1093" spans="1:9" x14ac:dyDescent="0.25">
      <c r="A1093" s="1941" t="s">
        <v>3568</v>
      </c>
      <c r="B1093" s="1901" t="s">
        <v>2405</v>
      </c>
      <c r="E1093" s="1925">
        <v>461.58</v>
      </c>
      <c r="G1093" s="1925">
        <v>452</v>
      </c>
      <c r="I1093" s="1927"/>
    </row>
    <row r="1094" spans="1:9" x14ac:dyDescent="0.25">
      <c r="A1094" s="1941" t="s">
        <v>3568</v>
      </c>
      <c r="B1094" s="1901" t="s">
        <v>2743</v>
      </c>
      <c r="E1094" s="1925">
        <v>831.43</v>
      </c>
      <c r="G1094" s="1925">
        <v>814</v>
      </c>
      <c r="I1094" s="1927"/>
    </row>
    <row r="1095" spans="1:9" x14ac:dyDescent="0.25">
      <c r="A1095" s="1941">
        <v>200</v>
      </c>
      <c r="B1095" s="1901" t="s">
        <v>49</v>
      </c>
      <c r="E1095" s="1925">
        <v>178052.27</v>
      </c>
      <c r="G1095" s="1925">
        <v>180099</v>
      </c>
      <c r="I1095" s="1927"/>
    </row>
    <row r="1096" spans="1:9" x14ac:dyDescent="0.25">
      <c r="A1096" s="1941" t="s">
        <v>3569</v>
      </c>
      <c r="B1096" s="1901" t="s">
        <v>2744</v>
      </c>
      <c r="E1096" s="1925">
        <v>85164.91</v>
      </c>
      <c r="G1096" s="1925">
        <v>100000</v>
      </c>
      <c r="I1096" s="1927"/>
    </row>
    <row r="1097" spans="1:9" x14ac:dyDescent="0.25">
      <c r="A1097" s="1941" t="s">
        <v>3570</v>
      </c>
      <c r="B1097" s="1901" t="s">
        <v>2745</v>
      </c>
      <c r="E1097" s="1925">
        <v>27190.19</v>
      </c>
      <c r="G1097" s="1925">
        <v>25000</v>
      </c>
      <c r="I1097" s="1927"/>
    </row>
    <row r="1098" spans="1:9" x14ac:dyDescent="0.25">
      <c r="A1098" s="1941" t="s">
        <v>3571</v>
      </c>
      <c r="B1098" s="1901" t="s">
        <v>2746</v>
      </c>
      <c r="E1098" s="1925">
        <v>6502</v>
      </c>
      <c r="G1098" s="1925">
        <v>5000</v>
      </c>
      <c r="I1098" s="1927"/>
    </row>
    <row r="1099" spans="1:9" x14ac:dyDescent="0.25">
      <c r="A1099" s="1941" t="s">
        <v>3571</v>
      </c>
      <c r="B1099" s="1901" t="s">
        <v>2747</v>
      </c>
      <c r="E1099" s="1925">
        <v>1719.96</v>
      </c>
      <c r="G1099" s="1925">
        <v>2500</v>
      </c>
      <c r="I1099" s="1927"/>
    </row>
    <row r="1100" spans="1:9" x14ac:dyDescent="0.25">
      <c r="A1100" s="1941" t="s">
        <v>3571</v>
      </c>
      <c r="B1100" s="1901" t="s">
        <v>2748</v>
      </c>
      <c r="E1100" s="1925">
        <v>2646</v>
      </c>
      <c r="G1100" s="1925">
        <v>2500</v>
      </c>
      <c r="I1100" s="1927"/>
    </row>
    <row r="1101" spans="1:9" x14ac:dyDescent="0.25">
      <c r="A1101" s="1941" t="s">
        <v>3571</v>
      </c>
      <c r="B1101" s="1901" t="s">
        <v>2749</v>
      </c>
      <c r="E1101" s="1925">
        <v>1255.6400000000001</v>
      </c>
      <c r="G1101" s="1925">
        <v>2500</v>
      </c>
      <c r="I1101" s="1927"/>
    </row>
    <row r="1102" spans="1:9" x14ac:dyDescent="0.25">
      <c r="A1102" s="1941" t="s">
        <v>3571</v>
      </c>
      <c r="B1102" s="1901" t="s">
        <v>2750</v>
      </c>
      <c r="E1102" s="1925">
        <v>2725.12</v>
      </c>
      <c r="G1102" s="1925">
        <v>5000</v>
      </c>
      <c r="I1102" s="1927"/>
    </row>
    <row r="1103" spans="1:9" x14ac:dyDescent="0.25">
      <c r="A1103" s="1941" t="s">
        <v>3571</v>
      </c>
      <c r="B1103" s="1901" t="s">
        <v>2751</v>
      </c>
      <c r="E1103" s="1925">
        <v>196.75</v>
      </c>
      <c r="G1103" s="1925">
        <v>3000</v>
      </c>
      <c r="I1103" s="1927"/>
    </row>
    <row r="1104" spans="1:9" x14ac:dyDescent="0.25">
      <c r="A1104" s="1941" t="s">
        <v>3571</v>
      </c>
      <c r="B1104" s="1901" t="s">
        <v>2752</v>
      </c>
      <c r="E1104" s="1925">
        <v>15649.89</v>
      </c>
      <c r="G1104" s="1925">
        <v>16250</v>
      </c>
      <c r="I1104" s="1927"/>
    </row>
    <row r="1105" spans="1:9" x14ac:dyDescent="0.25">
      <c r="A1105" s="1941" t="s">
        <v>3572</v>
      </c>
      <c r="B1105" s="1901" t="s">
        <v>2753</v>
      </c>
      <c r="E1105" s="1925">
        <v>374.82</v>
      </c>
      <c r="G1105" s="1925">
        <v>1500</v>
      </c>
      <c r="I1105" s="1927"/>
    </row>
    <row r="1106" spans="1:9" x14ac:dyDescent="0.25">
      <c r="A1106" s="1941" t="s">
        <v>3573</v>
      </c>
      <c r="B1106" s="1901" t="s">
        <v>2754</v>
      </c>
      <c r="E1106" s="1925">
        <v>12778.88</v>
      </c>
      <c r="G1106" s="1925">
        <v>15000</v>
      </c>
      <c r="I1106" s="1927"/>
    </row>
    <row r="1107" spans="1:9" x14ac:dyDescent="0.25">
      <c r="A1107" s="1941" t="s">
        <v>3574</v>
      </c>
      <c r="B1107" s="1901" t="s">
        <v>2755</v>
      </c>
      <c r="E1107" s="1925">
        <v>2244</v>
      </c>
      <c r="G1107" s="1925">
        <v>1000</v>
      </c>
      <c r="I1107" s="1927"/>
    </row>
    <row r="1108" spans="1:9" x14ac:dyDescent="0.25">
      <c r="A1108" s="1941" t="s">
        <v>3575</v>
      </c>
      <c r="B1108" s="1901" t="s">
        <v>2756</v>
      </c>
      <c r="E1108" s="1925">
        <v>54</v>
      </c>
      <c r="G1108" s="1925">
        <v>0</v>
      </c>
      <c r="I1108" s="1927"/>
    </row>
    <row r="1109" spans="1:9" x14ac:dyDescent="0.25">
      <c r="A1109" s="1941" t="s">
        <v>3576</v>
      </c>
      <c r="B1109" s="1901" t="s">
        <v>2757</v>
      </c>
      <c r="E1109" s="1925">
        <v>2611.9</v>
      </c>
      <c r="G1109" s="1925">
        <v>3500</v>
      </c>
      <c r="I1109" s="1927"/>
    </row>
    <row r="1110" spans="1:9" x14ac:dyDescent="0.25">
      <c r="A1110" s="1941">
        <v>300</v>
      </c>
      <c r="B1110" s="1901" t="s">
        <v>1100</v>
      </c>
      <c r="E1110" s="1925">
        <v>161114.06</v>
      </c>
      <c r="G1110" s="1925">
        <v>182750</v>
      </c>
      <c r="I1110" s="1927"/>
    </row>
    <row r="1111" spans="1:9" x14ac:dyDescent="0.25">
      <c r="A1111" s="1941" t="s">
        <v>3577</v>
      </c>
      <c r="B1111" s="1901" t="s">
        <v>2758</v>
      </c>
      <c r="E1111" s="1925">
        <v>14642.87</v>
      </c>
      <c r="G1111" s="1925">
        <v>15000</v>
      </c>
      <c r="I1111" s="1927"/>
    </row>
    <row r="1112" spans="1:9" x14ac:dyDescent="0.25">
      <c r="A1112" s="1941" t="s">
        <v>3577</v>
      </c>
      <c r="B1112" s="1901" t="s">
        <v>2759</v>
      </c>
      <c r="E1112" s="1925">
        <v>9314.02</v>
      </c>
      <c r="G1112" s="1925">
        <v>10000</v>
      </c>
      <c r="I1112" s="1927"/>
    </row>
    <row r="1113" spans="1:9" x14ac:dyDescent="0.25">
      <c r="A1113" s="1941" t="s">
        <v>3577</v>
      </c>
      <c r="B1113" s="1901" t="s">
        <v>2760</v>
      </c>
      <c r="E1113" s="1925">
        <v>8272.7800000000007</v>
      </c>
      <c r="G1113" s="1925">
        <v>12000</v>
      </c>
      <c r="I1113" s="1927"/>
    </row>
    <row r="1114" spans="1:9" x14ac:dyDescent="0.25">
      <c r="A1114" s="1941" t="s">
        <v>3577</v>
      </c>
      <c r="B1114" s="1901" t="s">
        <v>2761</v>
      </c>
      <c r="E1114" s="1925">
        <v>7694.9</v>
      </c>
      <c r="G1114" s="1925">
        <v>10000</v>
      </c>
      <c r="I1114" s="1927"/>
    </row>
    <row r="1115" spans="1:9" x14ac:dyDescent="0.25">
      <c r="A1115" s="1941" t="s">
        <v>3577</v>
      </c>
      <c r="B1115" s="1901" t="s">
        <v>2762</v>
      </c>
      <c r="E1115" s="1925">
        <v>13359.06</v>
      </c>
      <c r="G1115" s="1925">
        <v>14000</v>
      </c>
      <c r="I1115" s="1927"/>
    </row>
    <row r="1116" spans="1:9" x14ac:dyDescent="0.25">
      <c r="A1116" s="1941" t="s">
        <v>3577</v>
      </c>
      <c r="B1116" s="1901" t="s">
        <v>2763</v>
      </c>
      <c r="E1116" s="1925">
        <v>9629.7999999999993</v>
      </c>
      <c r="G1116" s="1925">
        <v>10000</v>
      </c>
      <c r="I1116" s="1927"/>
    </row>
    <row r="1117" spans="1:9" x14ac:dyDescent="0.25">
      <c r="A1117" s="1941" t="s">
        <v>3578</v>
      </c>
      <c r="B1117" s="1901" t="s">
        <v>2764</v>
      </c>
      <c r="E1117" s="1925">
        <v>0</v>
      </c>
      <c r="G1117" s="1925">
        <v>0</v>
      </c>
      <c r="I1117" s="1927"/>
    </row>
    <row r="1118" spans="1:9" x14ac:dyDescent="0.25">
      <c r="A1118" s="1941" t="s">
        <v>3578</v>
      </c>
      <c r="B1118" s="1901" t="s">
        <v>2765</v>
      </c>
      <c r="E1118" s="1925">
        <v>2244.17</v>
      </c>
      <c r="G1118" s="1925">
        <v>3000</v>
      </c>
      <c r="I1118" s="1927"/>
    </row>
    <row r="1119" spans="1:9" x14ac:dyDescent="0.25">
      <c r="A1119" s="1941" t="s">
        <v>3579</v>
      </c>
      <c r="B1119" s="1901" t="s">
        <v>2766</v>
      </c>
      <c r="E1119" s="1925">
        <v>0</v>
      </c>
      <c r="G1119" s="1925">
        <v>5000</v>
      </c>
      <c r="I1119" s="1927"/>
    </row>
    <row r="1120" spans="1:9" x14ac:dyDescent="0.25">
      <c r="A1120" s="1941" t="s">
        <v>3580</v>
      </c>
      <c r="B1120" s="1901" t="s">
        <v>2767</v>
      </c>
      <c r="E1120" s="1925">
        <v>0</v>
      </c>
      <c r="G1120" s="1925">
        <v>10000</v>
      </c>
      <c r="I1120" s="1927"/>
    </row>
    <row r="1121" spans="1:9" x14ac:dyDescent="0.25">
      <c r="A1121" s="1941">
        <v>400</v>
      </c>
      <c r="B1121" s="1901" t="s">
        <v>2256</v>
      </c>
      <c r="E1121" s="1925">
        <v>65157.599999999999</v>
      </c>
      <c r="G1121" s="1925">
        <v>89000</v>
      </c>
      <c r="I1121" s="1927"/>
    </row>
    <row r="1122" spans="1:9" x14ac:dyDescent="0.25">
      <c r="A1122" s="1941" t="s">
        <v>3581</v>
      </c>
      <c r="B1122" s="1901" t="s">
        <v>2768</v>
      </c>
      <c r="E1122" s="1925">
        <v>171930.04</v>
      </c>
      <c r="G1122" s="1925">
        <v>160000</v>
      </c>
      <c r="I1122" s="1927"/>
    </row>
    <row r="1123" spans="1:9" x14ac:dyDescent="0.25">
      <c r="A1123" s="1941" t="s">
        <v>3582</v>
      </c>
      <c r="B1123" s="1901" t="s">
        <v>2769</v>
      </c>
      <c r="E1123" s="1925">
        <v>526487.6</v>
      </c>
      <c r="G1123" s="1925">
        <v>570000</v>
      </c>
      <c r="I1123" s="1927"/>
    </row>
    <row r="1124" spans="1:9" x14ac:dyDescent="0.25">
      <c r="A1124" s="1941" t="s">
        <v>3583</v>
      </c>
      <c r="B1124" s="1901" t="s">
        <v>2770</v>
      </c>
      <c r="E1124" s="1925">
        <v>11741.62</v>
      </c>
      <c r="G1124" s="1925">
        <v>12500</v>
      </c>
      <c r="I1124" s="1927"/>
    </row>
    <row r="1125" spans="1:9" x14ac:dyDescent="0.25">
      <c r="A1125" s="1941" t="s">
        <v>3584</v>
      </c>
      <c r="B1125" s="1901" t="s">
        <v>2771</v>
      </c>
      <c r="E1125" s="1925">
        <v>16363.19</v>
      </c>
      <c r="G1125" s="1925">
        <v>18000</v>
      </c>
      <c r="I1125" s="1927"/>
    </row>
    <row r="1126" spans="1:9" x14ac:dyDescent="0.25">
      <c r="A1126" s="1941">
        <v>500</v>
      </c>
      <c r="B1126" s="1901" t="s">
        <v>1095</v>
      </c>
      <c r="E1126" s="1925">
        <v>726522.45</v>
      </c>
      <c r="G1126" s="1925">
        <v>760500</v>
      </c>
      <c r="I1126" s="1927"/>
    </row>
    <row r="1127" spans="1:9" x14ac:dyDescent="0.25">
      <c r="A1127" s="1941">
        <v>2542</v>
      </c>
      <c r="B1127" s="1901" t="s">
        <v>2772</v>
      </c>
      <c r="E1127" s="1925">
        <v>2024878.85</v>
      </c>
      <c r="G1127" s="1925">
        <v>2123883</v>
      </c>
      <c r="I1127" s="1927"/>
    </row>
    <row r="1128" spans="1:9" x14ac:dyDescent="0.25">
      <c r="A1128" s="1941" t="s">
        <v>3603</v>
      </c>
      <c r="B1128" s="1901" t="s">
        <v>2773</v>
      </c>
      <c r="E1128" s="1925">
        <v>440.14</v>
      </c>
      <c r="G1128" s="1925">
        <v>5000</v>
      </c>
      <c r="I1128" s="1927"/>
    </row>
    <row r="1129" spans="1:9" x14ac:dyDescent="0.25">
      <c r="A1129" s="1941">
        <v>300</v>
      </c>
      <c r="B1129" s="1901" t="s">
        <v>1100</v>
      </c>
      <c r="E1129" s="1925">
        <v>440.14</v>
      </c>
      <c r="G1129" s="1925">
        <v>5000</v>
      </c>
      <c r="I1129" s="1927"/>
    </row>
    <row r="1130" spans="1:9" x14ac:dyDescent="0.25">
      <c r="A1130" s="1941" t="s">
        <v>3604</v>
      </c>
      <c r="B1130" s="1901" t="s">
        <v>2774</v>
      </c>
      <c r="E1130" s="1925">
        <v>1425.25</v>
      </c>
      <c r="G1130" s="1925">
        <v>3000</v>
      </c>
      <c r="I1130" s="1927"/>
    </row>
    <row r="1131" spans="1:9" x14ac:dyDescent="0.25">
      <c r="A1131" s="1941" t="s">
        <v>3604</v>
      </c>
      <c r="B1131" s="1901" t="s">
        <v>2775</v>
      </c>
      <c r="E1131" s="1925">
        <v>13099.78</v>
      </c>
      <c r="G1131" s="1925">
        <v>12000</v>
      </c>
      <c r="I1131" s="1927"/>
    </row>
    <row r="1132" spans="1:9" x14ac:dyDescent="0.25">
      <c r="A1132" s="1941" t="s">
        <v>3605</v>
      </c>
      <c r="B1132" s="1901" t="s">
        <v>2776</v>
      </c>
      <c r="E1132" s="1925">
        <v>1912.11</v>
      </c>
      <c r="G1132" s="1925">
        <v>2000</v>
      </c>
      <c r="I1132" s="1927"/>
    </row>
    <row r="1133" spans="1:9" x14ac:dyDescent="0.25">
      <c r="A1133" s="1941">
        <v>400</v>
      </c>
      <c r="B1133" s="1901" t="s">
        <v>2256</v>
      </c>
      <c r="E1133" s="1925">
        <v>16436.78</v>
      </c>
      <c r="G1133" s="1925">
        <v>17000</v>
      </c>
      <c r="I1133" s="1927"/>
    </row>
    <row r="1134" spans="1:9" x14ac:dyDescent="0.25">
      <c r="A1134" s="1941" t="s">
        <v>3606</v>
      </c>
      <c r="B1134" s="1901" t="s">
        <v>2777</v>
      </c>
      <c r="E1134" s="1925">
        <v>7574.9</v>
      </c>
      <c r="G1134" s="1925">
        <v>75000</v>
      </c>
      <c r="I1134" s="1927"/>
    </row>
    <row r="1135" spans="1:9" x14ac:dyDescent="0.25">
      <c r="A1135" s="1941" t="s">
        <v>3607</v>
      </c>
      <c r="B1135" s="1901" t="s">
        <v>2778</v>
      </c>
      <c r="E1135" s="1925">
        <v>1299</v>
      </c>
      <c r="G1135" s="1925">
        <v>800</v>
      </c>
      <c r="I1135" s="1927"/>
    </row>
    <row r="1136" spans="1:9" x14ac:dyDescent="0.25">
      <c r="A1136" s="1941">
        <v>500</v>
      </c>
      <c r="B1136" s="1901" t="s">
        <v>1095</v>
      </c>
      <c r="E1136" s="1925">
        <v>8873.9</v>
      </c>
      <c r="G1136" s="1925">
        <v>75800</v>
      </c>
      <c r="I1136" s="1927"/>
    </row>
    <row r="1137" spans="1:9" x14ac:dyDescent="0.25">
      <c r="A1137" s="1941">
        <v>2543</v>
      </c>
      <c r="B1137" s="1901" t="s">
        <v>2779</v>
      </c>
      <c r="E1137" s="1925">
        <v>25750.82</v>
      </c>
      <c r="G1137" s="1925">
        <v>97800</v>
      </c>
      <c r="I1137" s="1927"/>
    </row>
    <row r="1138" spans="1:9" x14ac:dyDescent="0.25">
      <c r="A1138" s="1941" t="s">
        <v>3649</v>
      </c>
      <c r="B1138" s="1901" t="s">
        <v>2780</v>
      </c>
      <c r="E1138" s="1925">
        <v>2681.17</v>
      </c>
      <c r="G1138" s="1925">
        <v>3500</v>
      </c>
      <c r="I1138" s="1927"/>
    </row>
    <row r="1139" spans="1:9" x14ac:dyDescent="0.25">
      <c r="A1139" s="1941">
        <v>300</v>
      </c>
      <c r="B1139" s="1901" t="s">
        <v>1100</v>
      </c>
      <c r="E1139" s="1925">
        <v>2681.17</v>
      </c>
      <c r="G1139" s="1925">
        <v>3500</v>
      </c>
      <c r="I1139" s="1927"/>
    </row>
    <row r="1140" spans="1:9" x14ac:dyDescent="0.25">
      <c r="A1140" s="1941" t="s">
        <v>3650</v>
      </c>
      <c r="B1140" s="1901" t="s">
        <v>2781</v>
      </c>
      <c r="E1140" s="1925">
        <v>2512.81</v>
      </c>
      <c r="G1140" s="1925">
        <v>2000</v>
      </c>
      <c r="I1140" s="1927"/>
    </row>
    <row r="1141" spans="1:9" x14ac:dyDescent="0.25">
      <c r="A1141" s="1941" t="s">
        <v>3651</v>
      </c>
      <c r="B1141" s="1901" t="s">
        <v>2782</v>
      </c>
      <c r="E1141" s="1925">
        <v>4629.9799999999996</v>
      </c>
      <c r="G1141" s="1925">
        <v>7500</v>
      </c>
      <c r="I1141" s="1927"/>
    </row>
    <row r="1142" spans="1:9" x14ac:dyDescent="0.25">
      <c r="A1142" s="1941">
        <v>400</v>
      </c>
      <c r="B1142" s="1901" t="s">
        <v>2256</v>
      </c>
      <c r="E1142" s="1925">
        <v>7142.79</v>
      </c>
      <c r="G1142" s="1925">
        <v>9500</v>
      </c>
      <c r="I1142" s="1927"/>
    </row>
    <row r="1143" spans="1:9" x14ac:dyDescent="0.25">
      <c r="A1143" s="1941">
        <v>2545</v>
      </c>
      <c r="B1143" s="1901" t="s">
        <v>2783</v>
      </c>
      <c r="E1143" s="1925">
        <v>9823.9599999999991</v>
      </c>
      <c r="G1143" s="1925">
        <v>13000</v>
      </c>
      <c r="I1143" s="1927"/>
    </row>
    <row r="1144" spans="1:9" x14ac:dyDescent="0.25">
      <c r="A1144" s="1941">
        <v>2000</v>
      </c>
      <c r="B1144" s="1901" t="s">
        <v>457</v>
      </c>
      <c r="E1144" s="1925">
        <v>2084602.38</v>
      </c>
      <c r="G1144" s="1925">
        <v>2261183</v>
      </c>
      <c r="I1144" s="1927"/>
    </row>
    <row r="1145" spans="1:9" x14ac:dyDescent="0.25">
      <c r="A1145" s="1941">
        <v>2</v>
      </c>
      <c r="B1145" s="1901" t="s">
        <v>2168</v>
      </c>
      <c r="E1145" s="1925">
        <v>2084602.38</v>
      </c>
      <c r="G1145" s="1925">
        <v>2261183</v>
      </c>
      <c r="I1145" s="1927"/>
    </row>
    <row r="1146" spans="1:9" x14ac:dyDescent="0.25">
      <c r="A1146" s="1941" t="s">
        <v>3817</v>
      </c>
      <c r="B1146" s="1901" t="s">
        <v>2784</v>
      </c>
      <c r="E1146" s="1925">
        <v>125000</v>
      </c>
      <c r="G1146" s="1925">
        <v>125000</v>
      </c>
      <c r="I1146" s="1927"/>
    </row>
    <row r="1147" spans="1:9" x14ac:dyDescent="0.25">
      <c r="A1147" s="1941" t="s">
        <v>3817</v>
      </c>
      <c r="B1147" s="1901" t="s">
        <v>2785</v>
      </c>
      <c r="E1147" s="1925">
        <v>4520000</v>
      </c>
      <c r="G1147" s="1925">
        <v>213528</v>
      </c>
      <c r="I1147" s="1927"/>
    </row>
    <row r="1148" spans="1:9" x14ac:dyDescent="0.25">
      <c r="A1148" s="1941" t="s">
        <v>3817</v>
      </c>
      <c r="B1148" s="1901" t="s">
        <v>2786</v>
      </c>
      <c r="E1148" s="1925">
        <v>2165000</v>
      </c>
      <c r="G1148" s="1925">
        <v>2165000</v>
      </c>
      <c r="I1148" s="1927"/>
    </row>
    <row r="1149" spans="1:9" x14ac:dyDescent="0.25">
      <c r="A1149" s="1941" t="s">
        <v>3818</v>
      </c>
      <c r="B1149" s="1901" t="s">
        <v>2787</v>
      </c>
      <c r="E1149" s="1925">
        <v>44300</v>
      </c>
      <c r="G1149" s="1925">
        <v>44300</v>
      </c>
      <c r="I1149" s="1927"/>
    </row>
    <row r="1150" spans="1:9" x14ac:dyDescent="0.25">
      <c r="A1150" s="1941" t="s">
        <v>3818</v>
      </c>
      <c r="B1150" s="1901" t="s">
        <v>2788</v>
      </c>
      <c r="E1150" s="1925">
        <v>196444.9</v>
      </c>
      <c r="G1150" s="1925">
        <v>174396.5</v>
      </c>
      <c r="I1150" s="1927"/>
    </row>
    <row r="1151" spans="1:9" x14ac:dyDescent="0.25">
      <c r="A1151" s="1941" t="s">
        <v>3818</v>
      </c>
      <c r="B1151" s="1901" t="s">
        <v>2789</v>
      </c>
      <c r="E1151" s="1925">
        <v>279793.32</v>
      </c>
      <c r="G1151" s="1925">
        <v>279793.33</v>
      </c>
      <c r="I1151" s="1927"/>
    </row>
    <row r="1152" spans="1:9" x14ac:dyDescent="0.25">
      <c r="A1152" s="1941" t="s">
        <v>3819</v>
      </c>
      <c r="B1152" s="1901" t="s">
        <v>2790</v>
      </c>
      <c r="E1152" s="1925">
        <v>1500</v>
      </c>
      <c r="G1152" s="1925">
        <v>2500</v>
      </c>
      <c r="I1152" s="1927"/>
    </row>
    <row r="1153" spans="1:9" x14ac:dyDescent="0.25">
      <c r="A1153" s="1941" t="s">
        <v>3820</v>
      </c>
      <c r="B1153" s="1901" t="s">
        <v>1096</v>
      </c>
      <c r="E1153" s="1925">
        <v>91211.95</v>
      </c>
      <c r="G1153" s="1925">
        <v>3004517.83</v>
      </c>
      <c r="I1153" s="1927"/>
    </row>
    <row r="1154" spans="1:9" x14ac:dyDescent="0.25">
      <c r="A1154" s="1941" t="s">
        <v>3817</v>
      </c>
      <c r="B1154" s="1901" t="s">
        <v>2791</v>
      </c>
      <c r="E1154" s="1925">
        <v>235486</v>
      </c>
      <c r="G1154" s="1925">
        <v>3004517.83</v>
      </c>
      <c r="I1154" s="1927"/>
    </row>
    <row r="1155" spans="1:9" x14ac:dyDescent="0.25">
      <c r="A1155" s="1941" t="s">
        <v>3818</v>
      </c>
      <c r="B1155" s="1901" t="s">
        <v>438</v>
      </c>
      <c r="E1155" s="1925">
        <v>3938</v>
      </c>
      <c r="G1155" s="1925">
        <v>3004517.83</v>
      </c>
      <c r="I1155" s="1927"/>
    </row>
    <row r="1156" spans="1:9" x14ac:dyDescent="0.25">
      <c r="A1156" s="1941">
        <v>3</v>
      </c>
      <c r="B1156" s="1901" t="s">
        <v>2176</v>
      </c>
      <c r="E1156" s="1925">
        <v>3003518.13</v>
      </c>
      <c r="G1156" s="1925">
        <v>3004517.83</v>
      </c>
      <c r="I1156" s="1927"/>
    </row>
    <row r="1157" spans="1:9" x14ac:dyDescent="0.25">
      <c r="A1157" s="1941" t="s">
        <v>3652</v>
      </c>
      <c r="B1157" s="1901" t="s">
        <v>2792</v>
      </c>
      <c r="E1157" s="1925">
        <v>57203.25</v>
      </c>
      <c r="G1157" s="1925">
        <v>56477</v>
      </c>
      <c r="I1157" s="1927"/>
    </row>
    <row r="1158" spans="1:9" x14ac:dyDescent="0.25">
      <c r="A1158" s="1941" t="s">
        <v>3653</v>
      </c>
      <c r="B1158" s="1901" t="s">
        <v>2793</v>
      </c>
      <c r="E1158" s="1925">
        <v>0</v>
      </c>
      <c r="G1158" s="1925">
        <v>5000</v>
      </c>
      <c r="I1158" s="1927"/>
    </row>
    <row r="1159" spans="1:9" x14ac:dyDescent="0.25">
      <c r="A1159" s="1941" t="s">
        <v>3654</v>
      </c>
      <c r="B1159" s="1901" t="s">
        <v>2794</v>
      </c>
      <c r="E1159" s="1925">
        <v>47827.5</v>
      </c>
      <c r="G1159" s="1925">
        <v>47141</v>
      </c>
      <c r="I1159" s="1927"/>
    </row>
    <row r="1160" spans="1:9" x14ac:dyDescent="0.25">
      <c r="A1160" s="1941" t="s">
        <v>3655</v>
      </c>
      <c r="B1160" s="1901" t="s">
        <v>2795</v>
      </c>
      <c r="E1160" s="1925">
        <v>296612.57</v>
      </c>
      <c r="G1160" s="1925">
        <v>300000</v>
      </c>
      <c r="I1160" s="1927"/>
    </row>
    <row r="1161" spans="1:9" x14ac:dyDescent="0.25">
      <c r="A1161" s="1941" t="s">
        <v>3655</v>
      </c>
      <c r="B1161" s="1901" t="s">
        <v>2796</v>
      </c>
      <c r="E1161" s="1925">
        <v>62290.84</v>
      </c>
      <c r="G1161" s="1925">
        <v>62500</v>
      </c>
      <c r="I1161" s="1927"/>
    </row>
    <row r="1162" spans="1:9" x14ac:dyDescent="0.25">
      <c r="A1162" s="1941" t="s">
        <v>3656</v>
      </c>
      <c r="B1162" s="1901" t="s">
        <v>2797</v>
      </c>
      <c r="E1162" s="1925">
        <v>31577.62</v>
      </c>
      <c r="G1162" s="1925">
        <v>32000</v>
      </c>
      <c r="I1162" s="1927"/>
    </row>
    <row r="1163" spans="1:9" x14ac:dyDescent="0.25">
      <c r="A1163" s="1941" t="s">
        <v>3657</v>
      </c>
      <c r="B1163" s="1901" t="s">
        <v>2798</v>
      </c>
      <c r="E1163" s="1925">
        <v>180099.64</v>
      </c>
      <c r="G1163" s="1925">
        <v>180000</v>
      </c>
      <c r="I1163" s="1927"/>
    </row>
    <row r="1164" spans="1:9" x14ac:dyDescent="0.25">
      <c r="A1164" s="1941" t="s">
        <v>3657</v>
      </c>
      <c r="B1164" s="1901" t="s">
        <v>2799</v>
      </c>
      <c r="E1164" s="1925">
        <v>48113.21</v>
      </c>
      <c r="G1164" s="1925">
        <v>50000</v>
      </c>
      <c r="I1164" s="1927"/>
    </row>
    <row r="1165" spans="1:9" x14ac:dyDescent="0.25">
      <c r="A1165" s="1941" t="s">
        <v>3658</v>
      </c>
      <c r="B1165" s="1901" t="s">
        <v>2800</v>
      </c>
      <c r="E1165" s="1925">
        <v>9506.26</v>
      </c>
      <c r="G1165" s="1925">
        <v>10000</v>
      </c>
      <c r="I1165" s="1927"/>
    </row>
    <row r="1166" spans="1:9" x14ac:dyDescent="0.25">
      <c r="A1166" s="1941" t="s">
        <v>3659</v>
      </c>
      <c r="B1166" s="1901" t="s">
        <v>2801</v>
      </c>
      <c r="E1166" s="1925">
        <v>10250</v>
      </c>
      <c r="G1166" s="1925">
        <v>10000</v>
      </c>
      <c r="I1166" s="1927"/>
    </row>
    <row r="1167" spans="1:9" x14ac:dyDescent="0.25">
      <c r="A1167" s="1941" t="s">
        <v>3660</v>
      </c>
      <c r="B1167" s="1901" t="s">
        <v>2802</v>
      </c>
      <c r="E1167" s="1925">
        <v>95295.99</v>
      </c>
      <c r="G1167" s="1925">
        <v>95000</v>
      </c>
      <c r="I1167" s="1927"/>
    </row>
    <row r="1168" spans="1:9" x14ac:dyDescent="0.25">
      <c r="A1168" s="1941" t="s">
        <v>3661</v>
      </c>
      <c r="B1168" s="1901" t="s">
        <v>2803</v>
      </c>
      <c r="E1168" s="1925">
        <v>56440.88</v>
      </c>
      <c r="G1168" s="1925">
        <v>55000</v>
      </c>
      <c r="I1168" s="1927"/>
    </row>
    <row r="1169" spans="1:9" x14ac:dyDescent="0.25">
      <c r="A1169" s="1941" t="s">
        <v>3662</v>
      </c>
      <c r="B1169" s="1901" t="s">
        <v>2804</v>
      </c>
      <c r="E1169" s="1925">
        <v>271.51</v>
      </c>
      <c r="G1169" s="1925">
        <v>1000</v>
      </c>
      <c r="I1169" s="1927"/>
    </row>
    <row r="1170" spans="1:9" x14ac:dyDescent="0.25">
      <c r="A1170" s="1941">
        <v>100</v>
      </c>
      <c r="B1170" s="1901" t="s">
        <v>194</v>
      </c>
      <c r="E1170" s="1925">
        <v>895489.27</v>
      </c>
      <c r="G1170" s="1925">
        <v>904118</v>
      </c>
      <c r="I1170" s="1927"/>
    </row>
    <row r="1171" spans="1:9" x14ac:dyDescent="0.25">
      <c r="A1171" s="1941" t="s">
        <v>3663</v>
      </c>
      <c r="B1171" s="1901" t="s">
        <v>2805</v>
      </c>
      <c r="E1171" s="1925">
        <v>57793.24</v>
      </c>
      <c r="G1171" s="1925">
        <v>57795</v>
      </c>
      <c r="I1171" s="1927"/>
    </row>
    <row r="1172" spans="1:9" x14ac:dyDescent="0.25">
      <c r="A1172" s="1941" t="s">
        <v>3664</v>
      </c>
      <c r="B1172" s="1901" t="s">
        <v>2806</v>
      </c>
      <c r="E1172" s="1925">
        <v>1715.92</v>
      </c>
      <c r="G1172" s="1925">
        <v>1800</v>
      </c>
      <c r="I1172" s="1927"/>
    </row>
    <row r="1173" spans="1:9" x14ac:dyDescent="0.25">
      <c r="A1173" s="1941">
        <v>200</v>
      </c>
      <c r="B1173" s="1901" t="s">
        <v>49</v>
      </c>
      <c r="E1173" s="1925">
        <v>59509.16</v>
      </c>
      <c r="G1173" s="1925">
        <v>59595</v>
      </c>
      <c r="I1173" s="1927"/>
    </row>
    <row r="1174" spans="1:9" x14ac:dyDescent="0.25">
      <c r="A1174" s="1941" t="s">
        <v>3665</v>
      </c>
      <c r="B1174" s="1901" t="s">
        <v>2807</v>
      </c>
      <c r="E1174" s="1925">
        <v>7332.25</v>
      </c>
      <c r="G1174" s="1925">
        <v>9500</v>
      </c>
      <c r="I1174" s="1927"/>
    </row>
    <row r="1175" spans="1:9" x14ac:dyDescent="0.25">
      <c r="A1175" s="1941" t="s">
        <v>3666</v>
      </c>
      <c r="B1175" s="1901" t="s">
        <v>2808</v>
      </c>
      <c r="E1175" s="1925">
        <v>521.27</v>
      </c>
      <c r="G1175" s="1925">
        <v>1200</v>
      </c>
      <c r="I1175" s="1927"/>
    </row>
    <row r="1176" spans="1:9" x14ac:dyDescent="0.25">
      <c r="A1176" s="1941" t="s">
        <v>3667</v>
      </c>
      <c r="B1176" s="1901" t="s">
        <v>2809</v>
      </c>
      <c r="E1176" s="1925">
        <v>32745.75</v>
      </c>
      <c r="G1176" s="1925">
        <v>40000</v>
      </c>
      <c r="I1176" s="1927"/>
    </row>
    <row r="1177" spans="1:9" x14ac:dyDescent="0.25">
      <c r="A1177" s="1941" t="s">
        <v>3668</v>
      </c>
      <c r="B1177" s="1901" t="s">
        <v>2810</v>
      </c>
      <c r="E1177" s="1925">
        <v>7712.7</v>
      </c>
      <c r="G1177" s="1925">
        <v>5000</v>
      </c>
      <c r="I1177" s="1927"/>
    </row>
    <row r="1178" spans="1:9" x14ac:dyDescent="0.25">
      <c r="A1178" s="1941" t="s">
        <v>3669</v>
      </c>
      <c r="B1178" s="1901" t="s">
        <v>2811</v>
      </c>
      <c r="E1178" s="1925">
        <v>444.9</v>
      </c>
      <c r="G1178" s="1925">
        <v>500</v>
      </c>
      <c r="I1178" s="1927"/>
    </row>
    <row r="1179" spans="1:9" x14ac:dyDescent="0.25">
      <c r="A1179" s="1941" t="s">
        <v>3670</v>
      </c>
      <c r="B1179" s="1901" t="s">
        <v>2812</v>
      </c>
      <c r="E1179" s="1925">
        <v>1408.65</v>
      </c>
      <c r="G1179" s="1925">
        <v>1100</v>
      </c>
      <c r="I1179" s="1927"/>
    </row>
    <row r="1180" spans="1:9" x14ac:dyDescent="0.25">
      <c r="A1180" s="1941" t="s">
        <v>3671</v>
      </c>
      <c r="B1180" s="1901" t="s">
        <v>2813</v>
      </c>
      <c r="E1180" s="1925">
        <v>1426.31</v>
      </c>
      <c r="G1180" s="1925">
        <v>18000</v>
      </c>
      <c r="I1180" s="1927"/>
    </row>
    <row r="1181" spans="1:9" x14ac:dyDescent="0.25">
      <c r="A1181" s="1941" t="s">
        <v>3672</v>
      </c>
      <c r="B1181" s="1901" t="s">
        <v>2814</v>
      </c>
      <c r="E1181" s="1925">
        <v>373.69</v>
      </c>
      <c r="G1181" s="1925">
        <v>500</v>
      </c>
      <c r="I1181" s="1927"/>
    </row>
    <row r="1182" spans="1:9" x14ac:dyDescent="0.25">
      <c r="A1182" s="1941" t="s">
        <v>3673</v>
      </c>
      <c r="B1182" s="1901" t="s">
        <v>2815</v>
      </c>
      <c r="E1182" s="1925">
        <v>36574</v>
      </c>
      <c r="G1182" s="1925">
        <v>36000</v>
      </c>
      <c r="I1182" s="1927"/>
    </row>
    <row r="1183" spans="1:9" x14ac:dyDescent="0.25">
      <c r="A1183" s="1941">
        <v>300</v>
      </c>
      <c r="B1183" s="1901" t="s">
        <v>1100</v>
      </c>
      <c r="E1183" s="1925">
        <v>88539.32</v>
      </c>
      <c r="G1183" s="1925">
        <v>111800</v>
      </c>
      <c r="I1183" s="1927"/>
    </row>
    <row r="1184" spans="1:9" x14ac:dyDescent="0.25">
      <c r="A1184" s="1941" t="s">
        <v>3674</v>
      </c>
      <c r="B1184" s="1901" t="s">
        <v>2816</v>
      </c>
      <c r="E1184" s="1925">
        <v>71533.649999999994</v>
      </c>
      <c r="G1184" s="1925">
        <v>75000</v>
      </c>
      <c r="I1184" s="1927"/>
    </row>
    <row r="1185" spans="1:9" x14ac:dyDescent="0.25">
      <c r="A1185" s="1941" t="s">
        <v>3675</v>
      </c>
      <c r="B1185" s="1901" t="s">
        <v>2817</v>
      </c>
      <c r="E1185" s="1925">
        <v>124559.7</v>
      </c>
      <c r="G1185" s="1925">
        <v>85000</v>
      </c>
      <c r="I1185" s="1927"/>
    </row>
    <row r="1186" spans="1:9" x14ac:dyDescent="0.25">
      <c r="A1186" s="1941" t="s">
        <v>3675</v>
      </c>
      <c r="B1186" s="1901" t="s">
        <v>2818</v>
      </c>
      <c r="E1186" s="1925">
        <v>707.34</v>
      </c>
      <c r="G1186" s="1925">
        <v>1000</v>
      </c>
      <c r="I1186" s="1927"/>
    </row>
    <row r="1187" spans="1:9" x14ac:dyDescent="0.25">
      <c r="A1187" s="1941" t="s">
        <v>3676</v>
      </c>
      <c r="B1187" s="1901" t="s">
        <v>2819</v>
      </c>
      <c r="E1187" s="1925">
        <v>1026.17</v>
      </c>
      <c r="G1187" s="1925">
        <v>2300</v>
      </c>
      <c r="I1187" s="1927"/>
    </row>
    <row r="1188" spans="1:9" x14ac:dyDescent="0.25">
      <c r="A1188" s="1941" t="s">
        <v>3677</v>
      </c>
      <c r="B1188" s="1901" t="s">
        <v>2820</v>
      </c>
      <c r="E1188" s="1925">
        <v>5591.92</v>
      </c>
      <c r="G1188" s="1925">
        <v>6000</v>
      </c>
      <c r="I1188" s="1927"/>
    </row>
    <row r="1189" spans="1:9" x14ac:dyDescent="0.25">
      <c r="A1189" s="1941">
        <v>400</v>
      </c>
      <c r="B1189" s="1901" t="s">
        <v>2256</v>
      </c>
      <c r="E1189" s="1925">
        <v>203418.52</v>
      </c>
      <c r="G1189" s="1925">
        <v>169300</v>
      </c>
      <c r="I1189" s="1927"/>
    </row>
    <row r="1190" spans="1:9" x14ac:dyDescent="0.25">
      <c r="A1190" s="1941" t="s">
        <v>3678</v>
      </c>
      <c r="B1190" s="1901" t="s">
        <v>2821</v>
      </c>
      <c r="E1190" s="1925">
        <v>0</v>
      </c>
      <c r="G1190" s="1925">
        <v>235000</v>
      </c>
      <c r="I1190" s="1927"/>
    </row>
    <row r="1191" spans="1:9" x14ac:dyDescent="0.25">
      <c r="A1191" s="1988" t="s">
        <v>3959</v>
      </c>
      <c r="B1191" s="1984" t="s">
        <v>3957</v>
      </c>
      <c r="E1191" s="1985">
        <v>135348.44</v>
      </c>
      <c r="G1191" s="1985">
        <v>0</v>
      </c>
      <c r="I1191" s="1986"/>
    </row>
    <row r="1192" spans="1:9" x14ac:dyDescent="0.25">
      <c r="A1192" s="1988" t="s">
        <v>3960</v>
      </c>
      <c r="B1192" s="1984" t="s">
        <v>3958</v>
      </c>
      <c r="E1192" s="1985">
        <v>14916.18</v>
      </c>
      <c r="G1192" s="1985">
        <v>0</v>
      </c>
      <c r="I1192" s="1986"/>
    </row>
    <row r="1193" spans="1:9" x14ac:dyDescent="0.25">
      <c r="A1193" s="1941">
        <v>500</v>
      </c>
      <c r="B1193" s="1901" t="s">
        <v>1095</v>
      </c>
      <c r="E1193" s="1925">
        <v>150264.62</v>
      </c>
      <c r="G1193" s="1925">
        <v>235000</v>
      </c>
      <c r="I1193" s="1927"/>
    </row>
    <row r="1194" spans="1:9" x14ac:dyDescent="0.25">
      <c r="A1194" s="1941">
        <v>2555</v>
      </c>
      <c r="B1194" s="1901" t="s">
        <v>2822</v>
      </c>
      <c r="E1194" s="1925">
        <v>1397220.89</v>
      </c>
      <c r="G1194" s="1925">
        <v>1479813</v>
      </c>
      <c r="I1194" s="1927"/>
    </row>
    <row r="1195" spans="1:9" x14ac:dyDescent="0.25">
      <c r="A1195" s="1941" t="s">
        <v>3745</v>
      </c>
      <c r="B1195" s="1901" t="s">
        <v>2823</v>
      </c>
      <c r="E1195" s="1925">
        <v>41945.52</v>
      </c>
      <c r="G1195" s="1925">
        <v>40000</v>
      </c>
      <c r="I1195" s="1927"/>
    </row>
    <row r="1196" spans="1:9" x14ac:dyDescent="0.25">
      <c r="A1196" s="1941">
        <v>300</v>
      </c>
      <c r="B1196" s="1901" t="s">
        <v>1100</v>
      </c>
      <c r="E1196" s="1925">
        <v>41945.52</v>
      </c>
      <c r="G1196" s="1925">
        <v>40000</v>
      </c>
      <c r="I1196" s="1927"/>
    </row>
    <row r="1197" spans="1:9" x14ac:dyDescent="0.25">
      <c r="A1197" s="1941">
        <v>2556</v>
      </c>
      <c r="B1197" s="1901" t="s">
        <v>2824</v>
      </c>
      <c r="E1197" s="1925">
        <v>41945.52</v>
      </c>
      <c r="G1197" s="1925">
        <v>40000</v>
      </c>
      <c r="I1197" s="1927"/>
    </row>
    <row r="1198" spans="1:9" x14ac:dyDescent="0.25">
      <c r="A1198" s="1941" t="s">
        <v>3746</v>
      </c>
      <c r="B1198" s="1901" t="s">
        <v>2825</v>
      </c>
      <c r="E1198" s="1925">
        <v>2601.5</v>
      </c>
      <c r="G1198" s="1925">
        <v>2600</v>
      </c>
      <c r="I1198" s="1927"/>
    </row>
    <row r="1199" spans="1:9" x14ac:dyDescent="0.25">
      <c r="A1199" s="1941">
        <v>300</v>
      </c>
      <c r="B1199" s="1901" t="s">
        <v>1100</v>
      </c>
      <c r="E1199" s="1925">
        <v>2601.5</v>
      </c>
      <c r="G1199" s="1925">
        <v>2600</v>
      </c>
      <c r="I1199" s="1927"/>
    </row>
    <row r="1200" spans="1:9" x14ac:dyDescent="0.25">
      <c r="A1200" s="1941">
        <v>2559</v>
      </c>
      <c r="B1200" s="1901" t="s">
        <v>2826</v>
      </c>
      <c r="E1200" s="1925">
        <v>2601.5</v>
      </c>
      <c r="G1200" s="1925">
        <v>2600</v>
      </c>
      <c r="I1200" s="1927"/>
    </row>
    <row r="1201" spans="1:9" x14ac:dyDescent="0.25">
      <c r="A1201" s="1941">
        <v>2000</v>
      </c>
      <c r="B1201" s="1901" t="s">
        <v>457</v>
      </c>
      <c r="E1201" s="1925">
        <v>1441767.91</v>
      </c>
      <c r="G1201" s="1925">
        <v>1522413</v>
      </c>
      <c r="I1201" s="1927"/>
    </row>
    <row r="1202" spans="1:9" x14ac:dyDescent="0.25">
      <c r="A1202" s="1941">
        <v>4</v>
      </c>
      <c r="B1202" s="1901" t="s">
        <v>341</v>
      </c>
      <c r="E1202" s="1925">
        <v>1441767.91</v>
      </c>
      <c r="G1202" s="1925">
        <v>1522413</v>
      </c>
      <c r="I1202" s="1927"/>
    </row>
    <row r="1203" spans="1:9" x14ac:dyDescent="0.25">
      <c r="A1203" s="1941" t="s">
        <v>3679</v>
      </c>
      <c r="B1203" s="1901" t="s">
        <v>2827</v>
      </c>
      <c r="E1203" s="1925">
        <v>3473.75</v>
      </c>
      <c r="G1203" s="1925">
        <v>0</v>
      </c>
      <c r="I1203" s="1927"/>
    </row>
    <row r="1204" spans="1:9" x14ac:dyDescent="0.25">
      <c r="A1204" s="1941" t="s">
        <v>3679</v>
      </c>
      <c r="B1204" s="1901" t="s">
        <v>2827</v>
      </c>
      <c r="E1204" s="1925">
        <v>2717.61</v>
      </c>
      <c r="G1204" s="1925">
        <v>0</v>
      </c>
      <c r="I1204" s="1927"/>
    </row>
    <row r="1205" spans="1:9" x14ac:dyDescent="0.25">
      <c r="A1205" s="1941" t="s">
        <v>3679</v>
      </c>
      <c r="B1205" s="1901" t="s">
        <v>2828</v>
      </c>
      <c r="E1205" s="1925">
        <v>151.54</v>
      </c>
      <c r="G1205" s="1925">
        <v>6091</v>
      </c>
      <c r="I1205" s="1927"/>
    </row>
    <row r="1206" spans="1:9" x14ac:dyDescent="0.25">
      <c r="A1206" s="1941" t="s">
        <v>3680</v>
      </c>
      <c r="B1206" s="1901" t="s">
        <v>2829</v>
      </c>
      <c r="E1206" s="1925">
        <v>2510.73</v>
      </c>
      <c r="G1206" s="1925">
        <v>0</v>
      </c>
      <c r="I1206" s="1927"/>
    </row>
    <row r="1207" spans="1:9" x14ac:dyDescent="0.25">
      <c r="A1207" s="1941" t="s">
        <v>3680</v>
      </c>
      <c r="B1207" s="1901" t="s">
        <v>2829</v>
      </c>
      <c r="E1207" s="1925">
        <v>1980.36</v>
      </c>
      <c r="G1207" s="1925">
        <v>0</v>
      </c>
      <c r="I1207" s="1927"/>
    </row>
    <row r="1208" spans="1:9" x14ac:dyDescent="0.25">
      <c r="A1208" s="1941" t="s">
        <v>3680</v>
      </c>
      <c r="B1208" s="1901" t="s">
        <v>2830</v>
      </c>
      <c r="E1208" s="1925">
        <v>5376.46</v>
      </c>
      <c r="G1208" s="1925">
        <v>8000</v>
      </c>
      <c r="I1208" s="1927"/>
    </row>
    <row r="1209" spans="1:9" x14ac:dyDescent="0.25">
      <c r="A1209" s="1941" t="s">
        <v>3681</v>
      </c>
      <c r="B1209" s="1901" t="s">
        <v>2831</v>
      </c>
      <c r="E1209" s="1925">
        <v>16596.71</v>
      </c>
      <c r="G1209" s="1925">
        <v>15489</v>
      </c>
      <c r="I1209" s="1927"/>
    </row>
    <row r="1210" spans="1:9" x14ac:dyDescent="0.25">
      <c r="A1210" s="1941" t="s">
        <v>3681</v>
      </c>
      <c r="B1210" s="1901" t="s">
        <v>2832</v>
      </c>
      <c r="E1210" s="1925">
        <v>11773.46</v>
      </c>
      <c r="G1210" s="1925">
        <v>11701</v>
      </c>
      <c r="I1210" s="1927"/>
    </row>
    <row r="1211" spans="1:9" x14ac:dyDescent="0.25">
      <c r="A1211" s="1941" t="s">
        <v>3681</v>
      </c>
      <c r="B1211" s="1901" t="s">
        <v>2833</v>
      </c>
      <c r="E1211" s="1925">
        <v>13710.44</v>
      </c>
      <c r="G1211" s="1925">
        <v>13854</v>
      </c>
      <c r="I1211" s="1927"/>
    </row>
    <row r="1212" spans="1:9" x14ac:dyDescent="0.25">
      <c r="A1212" s="1941" t="s">
        <v>3681</v>
      </c>
      <c r="B1212" s="1901" t="s">
        <v>2834</v>
      </c>
      <c r="E1212" s="1925">
        <v>12057.88</v>
      </c>
      <c r="G1212" s="1925">
        <v>12365</v>
      </c>
      <c r="I1212" s="1927"/>
    </row>
    <row r="1213" spans="1:9" x14ac:dyDescent="0.25">
      <c r="A1213" s="1941" t="s">
        <v>3681</v>
      </c>
      <c r="B1213" s="1901" t="s">
        <v>2835</v>
      </c>
      <c r="E1213" s="1925">
        <v>19714.48</v>
      </c>
      <c r="G1213" s="1925">
        <v>21908</v>
      </c>
      <c r="I1213" s="1927"/>
    </row>
    <row r="1214" spans="1:9" x14ac:dyDescent="0.25">
      <c r="A1214" s="1941" t="s">
        <v>3681</v>
      </c>
      <c r="B1214" s="1901" t="s">
        <v>2836</v>
      </c>
      <c r="E1214" s="1925">
        <v>3412.61</v>
      </c>
      <c r="G1214" s="1925">
        <v>6243</v>
      </c>
      <c r="I1214" s="1927"/>
    </row>
    <row r="1215" spans="1:9" x14ac:dyDescent="0.25">
      <c r="A1215" s="1941">
        <v>200</v>
      </c>
      <c r="B1215" s="1901" t="s">
        <v>49</v>
      </c>
      <c r="E1215" s="1925">
        <v>93476.03</v>
      </c>
      <c r="G1215" s="1925">
        <v>95651</v>
      </c>
      <c r="I1215" s="1927"/>
    </row>
    <row r="1216" spans="1:9" x14ac:dyDescent="0.25">
      <c r="A1216" s="1941">
        <v>1100</v>
      </c>
      <c r="B1216" s="1901" t="s">
        <v>961</v>
      </c>
      <c r="E1216" s="1925">
        <v>93476.03</v>
      </c>
      <c r="G1216" s="1925">
        <v>95651</v>
      </c>
      <c r="I1216" s="1927"/>
    </row>
    <row r="1217" spans="1:9" x14ac:dyDescent="0.25">
      <c r="A1217" s="1941" t="s">
        <v>3682</v>
      </c>
      <c r="B1217" s="1901" t="s">
        <v>2837</v>
      </c>
      <c r="E1217" s="1925">
        <v>1283.8699999999999</v>
      </c>
      <c r="G1217" s="1925">
        <v>0</v>
      </c>
      <c r="I1217" s="1927"/>
    </row>
    <row r="1218" spans="1:9" x14ac:dyDescent="0.25">
      <c r="A1218" s="1941" t="s">
        <v>3682</v>
      </c>
      <c r="B1218" s="1901" t="s">
        <v>2838</v>
      </c>
      <c r="E1218" s="1925">
        <v>331.48</v>
      </c>
      <c r="G1218" s="1925">
        <v>1612</v>
      </c>
      <c r="I1218" s="1927"/>
    </row>
    <row r="1219" spans="1:9" x14ac:dyDescent="0.25">
      <c r="A1219" s="1941" t="s">
        <v>3683</v>
      </c>
      <c r="B1219" s="1901" t="s">
        <v>2839</v>
      </c>
      <c r="E1219" s="1925">
        <v>946.79</v>
      </c>
      <c r="G1219" s="1925">
        <v>0</v>
      </c>
      <c r="I1219" s="1927"/>
    </row>
    <row r="1220" spans="1:9" x14ac:dyDescent="0.25">
      <c r="A1220" s="1941" t="s">
        <v>3683</v>
      </c>
      <c r="B1220" s="1901" t="s">
        <v>2840</v>
      </c>
      <c r="E1220" s="1925">
        <v>219.16</v>
      </c>
      <c r="G1220" s="1925">
        <v>1166</v>
      </c>
      <c r="I1220" s="1927"/>
    </row>
    <row r="1221" spans="1:9" x14ac:dyDescent="0.25">
      <c r="A1221" s="1941" t="s">
        <v>3684</v>
      </c>
      <c r="B1221" s="1901" t="s">
        <v>2841</v>
      </c>
      <c r="E1221" s="1925">
        <v>503.4</v>
      </c>
      <c r="G1221" s="1925">
        <v>0</v>
      </c>
      <c r="I1221" s="1927"/>
    </row>
    <row r="1222" spans="1:9" x14ac:dyDescent="0.25">
      <c r="A1222" s="1941" t="s">
        <v>3684</v>
      </c>
      <c r="B1222" s="1901" t="s">
        <v>2842</v>
      </c>
      <c r="E1222" s="1925">
        <v>97.16</v>
      </c>
      <c r="G1222" s="1925">
        <v>673</v>
      </c>
      <c r="I1222" s="1927"/>
    </row>
    <row r="1223" spans="1:9" x14ac:dyDescent="0.25">
      <c r="A1223" s="1941">
        <v>200</v>
      </c>
      <c r="B1223" s="1901" t="s">
        <v>49</v>
      </c>
      <c r="E1223" s="1925">
        <v>3381.86</v>
      </c>
      <c r="G1223" s="1925">
        <v>3451</v>
      </c>
      <c r="I1223" s="1927"/>
    </row>
    <row r="1224" spans="1:9" x14ac:dyDescent="0.25">
      <c r="A1224" s="1941">
        <v>1200</v>
      </c>
      <c r="B1224" s="1901" t="s">
        <v>2266</v>
      </c>
      <c r="E1224" s="1925">
        <v>3381.86</v>
      </c>
      <c r="G1224" s="1925">
        <v>3451</v>
      </c>
      <c r="I1224" s="1927"/>
    </row>
    <row r="1225" spans="1:9" x14ac:dyDescent="0.25">
      <c r="A1225" s="1941" t="s">
        <v>3682</v>
      </c>
      <c r="B1225" s="1901" t="s">
        <v>2843</v>
      </c>
      <c r="E1225" s="1925">
        <v>11550.36</v>
      </c>
      <c r="G1225" s="1925">
        <v>0</v>
      </c>
      <c r="I1225" s="1927"/>
    </row>
    <row r="1226" spans="1:9" x14ac:dyDescent="0.25">
      <c r="A1226" s="1941" t="s">
        <v>3682</v>
      </c>
      <c r="B1226" s="1901" t="s">
        <v>2843</v>
      </c>
      <c r="E1226" s="1925">
        <v>8952.1299999999992</v>
      </c>
      <c r="G1226" s="1925">
        <v>0</v>
      </c>
      <c r="I1226" s="1927"/>
    </row>
    <row r="1227" spans="1:9" x14ac:dyDescent="0.25">
      <c r="A1227" s="1941" t="s">
        <v>3682</v>
      </c>
      <c r="B1227" s="1901" t="s">
        <v>2843</v>
      </c>
      <c r="E1227" s="1925">
        <v>5196.16</v>
      </c>
      <c r="G1227" s="1925">
        <v>0</v>
      </c>
      <c r="I1227" s="1927"/>
    </row>
    <row r="1228" spans="1:9" x14ac:dyDescent="0.25">
      <c r="A1228" s="1941" t="s">
        <v>3682</v>
      </c>
      <c r="B1228" s="1901" t="s">
        <v>2843</v>
      </c>
      <c r="E1228" s="1925">
        <v>4248.59</v>
      </c>
      <c r="G1228" s="1925">
        <v>0</v>
      </c>
      <c r="I1228" s="1927"/>
    </row>
    <row r="1229" spans="1:9" x14ac:dyDescent="0.25">
      <c r="A1229" s="1941" t="s">
        <v>3682</v>
      </c>
      <c r="B1229" s="1901" t="s">
        <v>2844</v>
      </c>
      <c r="E1229" s="1925">
        <v>9637.98</v>
      </c>
      <c r="G1229" s="1925">
        <v>49750</v>
      </c>
      <c r="I1229" s="1927"/>
    </row>
    <row r="1230" spans="1:9" x14ac:dyDescent="0.25">
      <c r="A1230" s="1941" t="s">
        <v>3682</v>
      </c>
      <c r="B1230" s="1901" t="s">
        <v>2843</v>
      </c>
      <c r="E1230" s="1925">
        <v>13820.42</v>
      </c>
      <c r="G1230" s="1925">
        <v>0</v>
      </c>
      <c r="I1230" s="1927"/>
    </row>
    <row r="1231" spans="1:9" x14ac:dyDescent="0.25">
      <c r="A1231" s="1941" t="s">
        <v>3683</v>
      </c>
      <c r="B1231" s="1901" t="s">
        <v>2845</v>
      </c>
      <c r="E1231" s="1925">
        <v>8581.14</v>
      </c>
      <c r="G1231" s="1925">
        <v>0</v>
      </c>
      <c r="I1231" s="1927"/>
    </row>
    <row r="1232" spans="1:9" x14ac:dyDescent="0.25">
      <c r="A1232" s="1941" t="s">
        <v>3683</v>
      </c>
      <c r="B1232" s="1901" t="s">
        <v>2845</v>
      </c>
      <c r="E1232" s="1925">
        <v>6586.04</v>
      </c>
      <c r="G1232" s="1925">
        <v>0</v>
      </c>
      <c r="I1232" s="1927"/>
    </row>
    <row r="1233" spans="1:9" x14ac:dyDescent="0.25">
      <c r="A1233" s="1941" t="s">
        <v>3683</v>
      </c>
      <c r="B1233" s="1901" t="s">
        <v>2845</v>
      </c>
      <c r="E1233" s="1925">
        <v>3885.11</v>
      </c>
      <c r="G1233" s="1925">
        <v>0</v>
      </c>
      <c r="I1233" s="1927"/>
    </row>
    <row r="1234" spans="1:9" x14ac:dyDescent="0.25">
      <c r="A1234" s="1941" t="s">
        <v>3683</v>
      </c>
      <c r="B1234" s="1901" t="s">
        <v>2845</v>
      </c>
      <c r="E1234" s="1925">
        <v>3165.62</v>
      </c>
      <c r="G1234" s="1925">
        <v>0</v>
      </c>
      <c r="I1234" s="1927"/>
    </row>
    <row r="1235" spans="1:9" x14ac:dyDescent="0.25">
      <c r="A1235" s="1941" t="s">
        <v>3683</v>
      </c>
      <c r="B1235" s="1901" t="s">
        <v>2846</v>
      </c>
      <c r="E1235" s="1925">
        <v>6373.9</v>
      </c>
      <c r="G1235" s="1925">
        <v>35972</v>
      </c>
      <c r="I1235" s="1927"/>
    </row>
    <row r="1236" spans="1:9" x14ac:dyDescent="0.25">
      <c r="A1236" s="1941" t="s">
        <v>3683</v>
      </c>
      <c r="B1236" s="1901" t="s">
        <v>2845</v>
      </c>
      <c r="E1236" s="1925">
        <v>10201.24</v>
      </c>
      <c r="G1236" s="1925">
        <v>0</v>
      </c>
      <c r="I1236" s="1927"/>
    </row>
    <row r="1237" spans="1:9" x14ac:dyDescent="0.25">
      <c r="A1237" s="1941" t="s">
        <v>3684</v>
      </c>
      <c r="B1237" s="1901" t="s">
        <v>2847</v>
      </c>
      <c r="E1237" s="1925">
        <v>3435.78</v>
      </c>
      <c r="G1237" s="1925">
        <v>0</v>
      </c>
      <c r="I1237" s="1927"/>
    </row>
    <row r="1238" spans="1:9" x14ac:dyDescent="0.25">
      <c r="A1238" s="1941" t="s">
        <v>3684</v>
      </c>
      <c r="B1238" s="1901" t="s">
        <v>2847</v>
      </c>
      <c r="E1238" s="1925">
        <v>2171.19</v>
      </c>
      <c r="G1238" s="1925">
        <v>0</v>
      </c>
      <c r="I1238" s="1927"/>
    </row>
    <row r="1239" spans="1:9" x14ac:dyDescent="0.25">
      <c r="A1239" s="1941" t="s">
        <v>3684</v>
      </c>
      <c r="B1239" s="1901" t="s">
        <v>2847</v>
      </c>
      <c r="E1239" s="1925">
        <v>1312.25</v>
      </c>
      <c r="G1239" s="1925">
        <v>0</v>
      </c>
      <c r="I1239" s="1927"/>
    </row>
    <row r="1240" spans="1:9" x14ac:dyDescent="0.25">
      <c r="A1240" s="1941" t="s">
        <v>3684</v>
      </c>
      <c r="B1240" s="1901" t="s">
        <v>2847</v>
      </c>
      <c r="E1240" s="1925">
        <v>918.11</v>
      </c>
      <c r="G1240" s="1925">
        <v>0</v>
      </c>
      <c r="I1240" s="1927"/>
    </row>
    <row r="1241" spans="1:9" x14ac:dyDescent="0.25">
      <c r="A1241" s="1941" t="s">
        <v>3684</v>
      </c>
      <c r="B1241" s="1901" t="s">
        <v>2848</v>
      </c>
      <c r="E1241" s="1925">
        <v>2173.4299999999998</v>
      </c>
      <c r="G1241" s="1925">
        <v>14854</v>
      </c>
      <c r="I1241" s="1927"/>
    </row>
    <row r="1242" spans="1:9" x14ac:dyDescent="0.25">
      <c r="A1242" s="1941" t="s">
        <v>3684</v>
      </c>
      <c r="B1242" s="1901" t="s">
        <v>2847</v>
      </c>
      <c r="E1242" s="1925">
        <v>2800.6</v>
      </c>
      <c r="G1242" s="1925">
        <v>0</v>
      </c>
      <c r="I1242" s="1927"/>
    </row>
    <row r="1243" spans="1:9" x14ac:dyDescent="0.25">
      <c r="A1243" s="1941">
        <v>200</v>
      </c>
      <c r="B1243" s="1901" t="s">
        <v>49</v>
      </c>
      <c r="E1243" s="1925">
        <v>105010.05</v>
      </c>
      <c r="G1243" s="1925">
        <v>100576</v>
      </c>
      <c r="I1243" s="1927"/>
    </row>
    <row r="1244" spans="1:9" x14ac:dyDescent="0.25">
      <c r="A1244" s="1941">
        <v>1200</v>
      </c>
      <c r="B1244" s="1901" t="s">
        <v>2274</v>
      </c>
      <c r="E1244" s="1925">
        <v>105010.05</v>
      </c>
      <c r="G1244" s="1925">
        <v>100576</v>
      </c>
      <c r="I1244" s="1927"/>
    </row>
    <row r="1245" spans="1:9" x14ac:dyDescent="0.25">
      <c r="A1245" s="1941" t="s">
        <v>3682</v>
      </c>
      <c r="B1245" s="1901" t="s">
        <v>2849</v>
      </c>
      <c r="E1245" s="1925">
        <v>1415.32</v>
      </c>
      <c r="G1245" s="1925">
        <v>0</v>
      </c>
      <c r="I1245" s="1927"/>
    </row>
    <row r="1246" spans="1:9" x14ac:dyDescent="0.25">
      <c r="A1246" s="1941" t="s">
        <v>3682</v>
      </c>
      <c r="B1246" s="1901" t="s">
        <v>2850</v>
      </c>
      <c r="E1246" s="1925">
        <v>973.68</v>
      </c>
      <c r="G1246" s="1925">
        <v>5710</v>
      </c>
      <c r="I1246" s="1927"/>
    </row>
    <row r="1247" spans="1:9" x14ac:dyDescent="0.25">
      <c r="A1247" s="1941" t="s">
        <v>3682</v>
      </c>
      <c r="B1247" s="1901" t="s">
        <v>2849</v>
      </c>
      <c r="E1247" s="1925">
        <v>3256.72</v>
      </c>
      <c r="G1247" s="1925">
        <v>0</v>
      </c>
      <c r="I1247" s="1927"/>
    </row>
    <row r="1248" spans="1:9" x14ac:dyDescent="0.25">
      <c r="A1248" s="1941" t="s">
        <v>3683</v>
      </c>
      <c r="B1248" s="1901" t="s">
        <v>2851</v>
      </c>
      <c r="E1248" s="1925">
        <v>1043.95</v>
      </c>
      <c r="G1248" s="1925">
        <v>0</v>
      </c>
      <c r="I1248" s="1927"/>
    </row>
    <row r="1249" spans="1:9" x14ac:dyDescent="0.25">
      <c r="A1249" s="1941" t="s">
        <v>3683</v>
      </c>
      <c r="B1249" s="1901" t="s">
        <v>2852</v>
      </c>
      <c r="E1249" s="1925">
        <v>643.79999999999995</v>
      </c>
      <c r="G1249" s="1925">
        <v>4129</v>
      </c>
      <c r="I1249" s="1927"/>
    </row>
    <row r="1250" spans="1:9" x14ac:dyDescent="0.25">
      <c r="A1250" s="1941" t="s">
        <v>3683</v>
      </c>
      <c r="B1250" s="1901" t="s">
        <v>2851</v>
      </c>
      <c r="E1250" s="1925">
        <v>2404.2399999999998</v>
      </c>
      <c r="G1250" s="1925">
        <v>0</v>
      </c>
      <c r="I1250" s="1927"/>
    </row>
    <row r="1251" spans="1:9" x14ac:dyDescent="0.25">
      <c r="A1251" s="1941" t="s">
        <v>3684</v>
      </c>
      <c r="B1251" s="1901" t="s">
        <v>2853</v>
      </c>
      <c r="E1251" s="1925">
        <v>875.64</v>
      </c>
      <c r="G1251" s="1925">
        <v>0</v>
      </c>
      <c r="I1251" s="1927"/>
    </row>
    <row r="1252" spans="1:9" x14ac:dyDescent="0.25">
      <c r="A1252" s="1941" t="s">
        <v>3684</v>
      </c>
      <c r="B1252" s="1901" t="s">
        <v>2854</v>
      </c>
      <c r="E1252" s="1925">
        <v>297.8</v>
      </c>
      <c r="G1252" s="1925">
        <v>1735</v>
      </c>
      <c r="I1252" s="1927"/>
    </row>
    <row r="1253" spans="1:9" x14ac:dyDescent="0.25">
      <c r="A1253" s="1941" t="s">
        <v>3684</v>
      </c>
      <c r="B1253" s="1901" t="s">
        <v>2853</v>
      </c>
      <c r="E1253" s="1925">
        <v>426.6</v>
      </c>
      <c r="G1253" s="1925">
        <v>0</v>
      </c>
      <c r="I1253" s="1927"/>
    </row>
    <row r="1254" spans="1:9" x14ac:dyDescent="0.25">
      <c r="A1254" s="1941">
        <v>200</v>
      </c>
      <c r="B1254" s="1901" t="s">
        <v>49</v>
      </c>
      <c r="E1254" s="1925">
        <v>11337.75</v>
      </c>
      <c r="G1254" s="1925">
        <v>11574</v>
      </c>
      <c r="I1254" s="1927"/>
    </row>
    <row r="1255" spans="1:9" x14ac:dyDescent="0.25">
      <c r="A1255" s="1941">
        <v>1200</v>
      </c>
      <c r="B1255" s="1901" t="s">
        <v>2290</v>
      </c>
      <c r="E1255" s="1925">
        <v>11337.75</v>
      </c>
      <c r="G1255" s="1925">
        <v>11574</v>
      </c>
      <c r="I1255" s="1927"/>
    </row>
    <row r="1256" spans="1:9" x14ac:dyDescent="0.25">
      <c r="A1256" s="1941" t="s">
        <v>3685</v>
      </c>
      <c r="B1256" s="1901" t="s">
        <v>2855</v>
      </c>
      <c r="E1256" s="1925">
        <v>5330.98</v>
      </c>
      <c r="G1256" s="1925">
        <v>0</v>
      </c>
      <c r="I1256" s="1927"/>
    </row>
    <row r="1257" spans="1:9" x14ac:dyDescent="0.25">
      <c r="A1257" s="1941" t="s">
        <v>3685</v>
      </c>
      <c r="B1257" s="1901" t="s">
        <v>2855</v>
      </c>
      <c r="E1257" s="1925">
        <v>11776.05</v>
      </c>
      <c r="G1257" s="1925">
        <v>0</v>
      </c>
      <c r="I1257" s="1927"/>
    </row>
    <row r="1258" spans="1:9" x14ac:dyDescent="0.25">
      <c r="A1258" s="1941" t="s">
        <v>3685</v>
      </c>
      <c r="B1258" s="1901" t="s">
        <v>2856</v>
      </c>
      <c r="E1258" s="1925">
        <v>4682.55</v>
      </c>
      <c r="G1258" s="1925">
        <v>23655</v>
      </c>
      <c r="I1258" s="1927"/>
    </row>
    <row r="1259" spans="1:9" x14ac:dyDescent="0.25">
      <c r="A1259" s="1941" t="s">
        <v>3686</v>
      </c>
      <c r="B1259" s="1901" t="s">
        <v>2857</v>
      </c>
      <c r="E1259" s="1925">
        <v>3901.93</v>
      </c>
      <c r="G1259" s="1925">
        <v>0</v>
      </c>
      <c r="I1259" s="1927"/>
    </row>
    <row r="1260" spans="1:9" x14ac:dyDescent="0.25">
      <c r="A1260" s="1941" t="s">
        <v>3686</v>
      </c>
      <c r="B1260" s="1901" t="s">
        <v>2857</v>
      </c>
      <c r="E1260" s="1925">
        <v>8655.3700000000008</v>
      </c>
      <c r="G1260" s="1925">
        <v>0</v>
      </c>
      <c r="I1260" s="1927"/>
    </row>
    <row r="1261" spans="1:9" x14ac:dyDescent="0.25">
      <c r="A1261" s="1941" t="s">
        <v>3686</v>
      </c>
      <c r="B1261" s="1901" t="s">
        <v>2858</v>
      </c>
      <c r="E1261" s="1925">
        <v>3109.08</v>
      </c>
      <c r="G1261" s="1925">
        <v>17104</v>
      </c>
      <c r="I1261" s="1927"/>
    </row>
    <row r="1262" spans="1:9" x14ac:dyDescent="0.25">
      <c r="A1262" s="1941" t="s">
        <v>3687</v>
      </c>
      <c r="B1262" s="1901" t="s">
        <v>2859</v>
      </c>
      <c r="E1262" s="1925">
        <v>902.2</v>
      </c>
      <c r="G1262" s="1925">
        <v>0</v>
      </c>
      <c r="I1262" s="1927"/>
    </row>
    <row r="1263" spans="1:9" x14ac:dyDescent="0.25">
      <c r="A1263" s="1941" t="s">
        <v>3687</v>
      </c>
      <c r="B1263" s="1901" t="s">
        <v>2859</v>
      </c>
      <c r="E1263" s="1925">
        <v>878.8</v>
      </c>
      <c r="G1263" s="1925">
        <v>0</v>
      </c>
      <c r="I1263" s="1927"/>
    </row>
    <row r="1264" spans="1:9" x14ac:dyDescent="0.25">
      <c r="A1264" s="1941" t="s">
        <v>3687</v>
      </c>
      <c r="B1264" s="1901" t="s">
        <v>2860</v>
      </c>
      <c r="E1264" s="1925">
        <v>337.92</v>
      </c>
      <c r="G1264" s="1925">
        <v>2382</v>
      </c>
      <c r="I1264" s="1927"/>
    </row>
    <row r="1265" spans="1:9" x14ac:dyDescent="0.25">
      <c r="A1265" s="1941">
        <v>200</v>
      </c>
      <c r="B1265" s="1901" t="s">
        <v>49</v>
      </c>
      <c r="E1265" s="1925">
        <v>39574.879999999997</v>
      </c>
      <c r="G1265" s="1925">
        <v>43141</v>
      </c>
      <c r="I1265" s="1927"/>
    </row>
    <row r="1266" spans="1:9" x14ac:dyDescent="0.25">
      <c r="A1266" s="1941">
        <v>1220</v>
      </c>
      <c r="B1266" s="1901" t="s">
        <v>2300</v>
      </c>
      <c r="E1266" s="1925">
        <v>39574.879999999997</v>
      </c>
      <c r="G1266" s="1925">
        <v>43141</v>
      </c>
      <c r="I1266" s="1927"/>
    </row>
    <row r="1267" spans="1:9" x14ac:dyDescent="0.25">
      <c r="A1267" s="1941" t="s">
        <v>3747</v>
      </c>
      <c r="B1267" s="1901" t="s">
        <v>2861</v>
      </c>
      <c r="E1267" s="1925">
        <v>627.19000000000005</v>
      </c>
      <c r="G1267" s="1925">
        <v>0</v>
      </c>
      <c r="I1267" s="1927"/>
    </row>
    <row r="1268" spans="1:9" x14ac:dyDescent="0.25">
      <c r="A1268" s="1941" t="s">
        <v>3747</v>
      </c>
      <c r="B1268" s="1901" t="s">
        <v>2862</v>
      </c>
      <c r="E1268" s="1925">
        <v>677.18</v>
      </c>
      <c r="G1268" s="1925">
        <v>967</v>
      </c>
      <c r="I1268" s="1927"/>
    </row>
    <row r="1269" spans="1:9" x14ac:dyDescent="0.25">
      <c r="A1269" s="1941" t="s">
        <v>3748</v>
      </c>
      <c r="B1269" s="1901" t="s">
        <v>2863</v>
      </c>
      <c r="E1269" s="1925">
        <v>495.12</v>
      </c>
      <c r="G1269" s="1925">
        <v>0</v>
      </c>
      <c r="I1269" s="1927"/>
    </row>
    <row r="1270" spans="1:9" x14ac:dyDescent="0.25">
      <c r="A1270" s="1941" t="s">
        <v>3748</v>
      </c>
      <c r="B1270" s="1901" t="s">
        <v>2864</v>
      </c>
      <c r="E1270" s="1925">
        <v>461</v>
      </c>
      <c r="G1270" s="1925">
        <v>639</v>
      </c>
      <c r="I1270" s="1927"/>
    </row>
    <row r="1271" spans="1:9" x14ac:dyDescent="0.25">
      <c r="A1271" s="1941" t="s">
        <v>3749</v>
      </c>
      <c r="B1271" s="1901" t="s">
        <v>2865</v>
      </c>
      <c r="E1271" s="1925">
        <v>30.69</v>
      </c>
      <c r="G1271" s="1925">
        <v>0</v>
      </c>
      <c r="I1271" s="1927"/>
    </row>
    <row r="1272" spans="1:9" x14ac:dyDescent="0.25">
      <c r="A1272" s="1941" t="s">
        <v>3749</v>
      </c>
      <c r="B1272" s="1901" t="s">
        <v>2866</v>
      </c>
      <c r="E1272" s="1925">
        <v>1086.99</v>
      </c>
      <c r="G1272" s="1925">
        <v>1255</v>
      </c>
      <c r="I1272" s="1927"/>
    </row>
    <row r="1273" spans="1:9" x14ac:dyDescent="0.25">
      <c r="A1273" s="1941">
        <v>200</v>
      </c>
      <c r="B1273" s="1901" t="s">
        <v>49</v>
      </c>
      <c r="E1273" s="1925">
        <v>3378.17</v>
      </c>
      <c r="G1273" s="1925">
        <v>2861</v>
      </c>
      <c r="I1273" s="1927"/>
    </row>
    <row r="1274" spans="1:9" x14ac:dyDescent="0.25">
      <c r="A1274" s="1941">
        <v>1226</v>
      </c>
      <c r="B1274" s="1901" t="s">
        <v>2091</v>
      </c>
      <c r="E1274" s="1925">
        <v>3378.17</v>
      </c>
      <c r="G1274" s="1925">
        <v>2861</v>
      </c>
      <c r="I1274" s="1927"/>
    </row>
    <row r="1275" spans="1:9" x14ac:dyDescent="0.25">
      <c r="A1275" s="1941" t="s">
        <v>3688</v>
      </c>
      <c r="B1275" s="1901" t="s">
        <v>2867</v>
      </c>
      <c r="E1275" s="1925">
        <v>59.01</v>
      </c>
      <c r="G1275" s="1925">
        <v>0</v>
      </c>
      <c r="I1275" s="1927"/>
    </row>
    <row r="1276" spans="1:9" x14ac:dyDescent="0.25">
      <c r="A1276" s="1941" t="s">
        <v>3689</v>
      </c>
      <c r="B1276" s="1901" t="s">
        <v>2868</v>
      </c>
      <c r="E1276" s="1925">
        <v>40.049999999999997</v>
      </c>
      <c r="G1276" s="1925">
        <v>0</v>
      </c>
      <c r="I1276" s="1927"/>
    </row>
    <row r="1277" spans="1:9" x14ac:dyDescent="0.25">
      <c r="A1277" s="1941" t="s">
        <v>3690</v>
      </c>
      <c r="B1277" s="1901" t="s">
        <v>2869</v>
      </c>
      <c r="E1277" s="1925">
        <v>0</v>
      </c>
      <c r="G1277" s="1925">
        <v>8896</v>
      </c>
      <c r="I1277" s="1927"/>
    </row>
    <row r="1278" spans="1:9" x14ac:dyDescent="0.25">
      <c r="A1278" s="1941" t="s">
        <v>3690</v>
      </c>
      <c r="B1278" s="1901" t="s">
        <v>2870</v>
      </c>
      <c r="E1278" s="1925">
        <v>6487.31</v>
      </c>
      <c r="G1278" s="1925">
        <v>0</v>
      </c>
      <c r="I1278" s="1927"/>
    </row>
    <row r="1279" spans="1:9" x14ac:dyDescent="0.25">
      <c r="A1279" s="1941">
        <v>200</v>
      </c>
      <c r="B1279" s="1901" t="s">
        <v>49</v>
      </c>
      <c r="E1279" s="1925">
        <v>6586.37</v>
      </c>
      <c r="G1279" s="1925">
        <v>8896</v>
      </c>
      <c r="I1279" s="1927"/>
    </row>
    <row r="1280" spans="1:9" x14ac:dyDescent="0.25">
      <c r="A1280" s="1941">
        <v>1250</v>
      </c>
      <c r="B1280" s="1901" t="s">
        <v>2333</v>
      </c>
      <c r="E1280" s="1925">
        <v>6586.37</v>
      </c>
      <c r="G1280" s="1925">
        <v>8896</v>
      </c>
      <c r="I1280" s="1927"/>
    </row>
    <row r="1281" spans="1:9" x14ac:dyDescent="0.25">
      <c r="A1281" s="1941" t="s">
        <v>3691</v>
      </c>
      <c r="B1281" s="1901" t="s">
        <v>2871</v>
      </c>
      <c r="E1281" s="1925">
        <v>0</v>
      </c>
      <c r="G1281" s="1925">
        <v>12316</v>
      </c>
      <c r="I1281" s="1927"/>
    </row>
    <row r="1282" spans="1:9" x14ac:dyDescent="0.25">
      <c r="A1282" s="1941" t="s">
        <v>3691</v>
      </c>
      <c r="B1282" s="1901" t="s">
        <v>2872</v>
      </c>
      <c r="E1282" s="1925">
        <v>830.4</v>
      </c>
      <c r="G1282" s="1925">
        <v>12316</v>
      </c>
      <c r="I1282" s="1927"/>
    </row>
    <row r="1283" spans="1:9" x14ac:dyDescent="0.25">
      <c r="A1283" s="1941" t="s">
        <v>3691</v>
      </c>
      <c r="B1283" s="1901" t="s">
        <v>2873</v>
      </c>
      <c r="E1283" s="1925">
        <v>16791.439999999999</v>
      </c>
      <c r="G1283" s="1925">
        <v>0</v>
      </c>
      <c r="I1283" s="1927"/>
    </row>
    <row r="1284" spans="1:9" x14ac:dyDescent="0.25">
      <c r="A1284" s="1941" t="s">
        <v>3692</v>
      </c>
      <c r="B1284" s="1901" t="s">
        <v>2874</v>
      </c>
      <c r="E1284" s="1925">
        <v>0</v>
      </c>
      <c r="G1284" s="1925">
        <v>8905</v>
      </c>
      <c r="I1284" s="1927"/>
    </row>
    <row r="1285" spans="1:9" x14ac:dyDescent="0.25">
      <c r="A1285" s="1941" t="s">
        <v>3692</v>
      </c>
      <c r="B1285" s="1901" t="s">
        <v>2875</v>
      </c>
      <c r="E1285" s="1925">
        <v>549.04</v>
      </c>
      <c r="G1285" s="1925">
        <v>8905</v>
      </c>
      <c r="I1285" s="1927"/>
    </row>
    <row r="1286" spans="1:9" x14ac:dyDescent="0.25">
      <c r="A1286" s="1941" t="s">
        <v>3692</v>
      </c>
      <c r="B1286" s="1901" t="s">
        <v>2876</v>
      </c>
      <c r="E1286" s="1925">
        <v>12257.41</v>
      </c>
      <c r="G1286" s="1925">
        <v>0</v>
      </c>
      <c r="I1286" s="1927"/>
    </row>
    <row r="1287" spans="1:9" x14ac:dyDescent="0.25">
      <c r="A1287" s="1941" t="s">
        <v>3693</v>
      </c>
      <c r="B1287" s="1901" t="s">
        <v>2877</v>
      </c>
      <c r="E1287" s="1925">
        <v>0</v>
      </c>
      <c r="G1287" s="1925">
        <v>3000</v>
      </c>
      <c r="I1287" s="1927"/>
    </row>
    <row r="1288" spans="1:9" x14ac:dyDescent="0.25">
      <c r="A1288" s="1941" t="s">
        <v>3693</v>
      </c>
      <c r="B1288" s="1901" t="s">
        <v>2878</v>
      </c>
      <c r="E1288" s="1925">
        <v>282.68</v>
      </c>
      <c r="G1288" s="1925">
        <v>3000</v>
      </c>
      <c r="I1288" s="1927"/>
    </row>
    <row r="1289" spans="1:9" x14ac:dyDescent="0.25">
      <c r="A1289" s="1941" t="s">
        <v>3693</v>
      </c>
      <c r="B1289" s="1901" t="s">
        <v>2879</v>
      </c>
      <c r="E1289" s="1925">
        <v>3322.83</v>
      </c>
      <c r="G1289" s="1925">
        <v>0</v>
      </c>
      <c r="I1289" s="1927"/>
    </row>
    <row r="1290" spans="1:9" x14ac:dyDescent="0.25">
      <c r="A1290" s="1941">
        <v>200</v>
      </c>
      <c r="B1290" s="1901" t="s">
        <v>49</v>
      </c>
      <c r="E1290" s="1925">
        <v>34033.800000000003</v>
      </c>
      <c r="G1290" s="1925">
        <v>48442</v>
      </c>
      <c r="I1290" s="1927"/>
    </row>
    <row r="1291" spans="1:9" x14ac:dyDescent="0.25">
      <c r="A1291" s="1941">
        <v>1275</v>
      </c>
      <c r="B1291" s="1901" t="s">
        <v>1130</v>
      </c>
      <c r="E1291" s="1925">
        <v>34033.800000000003</v>
      </c>
      <c r="G1291" s="1925">
        <v>48442</v>
      </c>
      <c r="I1291" s="1927"/>
    </row>
    <row r="1292" spans="1:9" x14ac:dyDescent="0.25">
      <c r="A1292" s="1941" t="s">
        <v>3784</v>
      </c>
      <c r="B1292" s="1901" t="s">
        <v>2880</v>
      </c>
      <c r="E1292" s="1925">
        <v>33.06</v>
      </c>
      <c r="G1292" s="1925">
        <v>35</v>
      </c>
      <c r="I1292" s="1927"/>
    </row>
    <row r="1293" spans="1:9" x14ac:dyDescent="0.25">
      <c r="A1293" s="1941">
        <v>200</v>
      </c>
      <c r="B1293" s="1901" t="s">
        <v>49</v>
      </c>
      <c r="E1293" s="1925">
        <v>33.06</v>
      </c>
      <c r="G1293" s="1925">
        <v>35</v>
      </c>
      <c r="I1293" s="1927"/>
    </row>
    <row r="1294" spans="1:9" x14ac:dyDescent="0.25">
      <c r="A1294" s="1941">
        <v>1512</v>
      </c>
      <c r="B1294" s="1901" t="s">
        <v>2370</v>
      </c>
      <c r="E1294" s="1925">
        <v>33.06</v>
      </c>
      <c r="G1294" s="1925">
        <v>35</v>
      </c>
      <c r="I1294" s="1927"/>
    </row>
    <row r="1295" spans="1:9" x14ac:dyDescent="0.25">
      <c r="A1295" s="1941" t="s">
        <v>3784</v>
      </c>
      <c r="B1295" s="1901" t="s">
        <v>2881</v>
      </c>
      <c r="E1295" s="1925">
        <v>1204.53</v>
      </c>
      <c r="G1295" s="1925">
        <v>1989</v>
      </c>
      <c r="I1295" s="1927"/>
    </row>
    <row r="1296" spans="1:9" x14ac:dyDescent="0.25">
      <c r="A1296" s="1941">
        <v>200</v>
      </c>
      <c r="B1296" s="1901" t="s">
        <v>49</v>
      </c>
      <c r="E1296" s="1925">
        <v>1204.53</v>
      </c>
      <c r="G1296" s="1925">
        <v>1989</v>
      </c>
      <c r="I1296" s="1927"/>
    </row>
    <row r="1297" spans="1:9" x14ac:dyDescent="0.25">
      <c r="A1297" s="1941">
        <v>1500</v>
      </c>
      <c r="B1297" s="1901" t="s">
        <v>2381</v>
      </c>
      <c r="E1297" s="1925">
        <v>1204.53</v>
      </c>
      <c r="G1297" s="1925">
        <v>1989</v>
      </c>
      <c r="I1297" s="1927"/>
    </row>
    <row r="1298" spans="1:9" x14ac:dyDescent="0.25">
      <c r="A1298" s="1941" t="s">
        <v>3785</v>
      </c>
      <c r="B1298" s="1901" t="s">
        <v>2882</v>
      </c>
      <c r="E1298" s="1925">
        <v>199.75</v>
      </c>
      <c r="G1298" s="1925">
        <v>0</v>
      </c>
      <c r="I1298" s="1927"/>
    </row>
    <row r="1299" spans="1:9" x14ac:dyDescent="0.25">
      <c r="A1299" s="1941" t="s">
        <v>3786</v>
      </c>
      <c r="B1299" s="1901" t="s">
        <v>2883</v>
      </c>
      <c r="E1299" s="1925">
        <v>746.26</v>
      </c>
      <c r="G1299" s="1925">
        <v>247</v>
      </c>
      <c r="I1299" s="1927"/>
    </row>
    <row r="1300" spans="1:9" x14ac:dyDescent="0.25">
      <c r="A1300" s="1941" t="s">
        <v>3784</v>
      </c>
      <c r="B1300" s="1901" t="s">
        <v>2884</v>
      </c>
      <c r="E1300" s="1925">
        <v>273.20999999999998</v>
      </c>
      <c r="G1300" s="1925">
        <v>354</v>
      </c>
      <c r="I1300" s="1927"/>
    </row>
    <row r="1301" spans="1:9" x14ac:dyDescent="0.25">
      <c r="A1301" s="1941">
        <v>200</v>
      </c>
      <c r="B1301" s="1901" t="s">
        <v>49</v>
      </c>
      <c r="E1301" s="1925">
        <v>1200.22</v>
      </c>
      <c r="G1301" s="1925">
        <v>601</v>
      </c>
      <c r="I1301" s="1927"/>
    </row>
    <row r="1302" spans="1:9" x14ac:dyDescent="0.25">
      <c r="A1302" s="1941">
        <v>1500</v>
      </c>
      <c r="B1302" s="1901" t="s">
        <v>2391</v>
      </c>
      <c r="E1302" s="1925">
        <v>1200.22</v>
      </c>
      <c r="G1302" s="1925">
        <v>601</v>
      </c>
      <c r="I1302" s="1927"/>
    </row>
    <row r="1303" spans="1:9" x14ac:dyDescent="0.25">
      <c r="A1303" s="1941" t="s">
        <v>3786</v>
      </c>
      <c r="B1303" s="1901" t="s">
        <v>2885</v>
      </c>
      <c r="E1303" s="1925">
        <v>85.76</v>
      </c>
      <c r="G1303" s="1925">
        <v>0</v>
      </c>
      <c r="I1303" s="1927"/>
    </row>
    <row r="1304" spans="1:9" x14ac:dyDescent="0.25">
      <c r="A1304" s="1941" t="s">
        <v>3786</v>
      </c>
      <c r="B1304" s="1901" t="s">
        <v>2886</v>
      </c>
      <c r="E1304" s="1925">
        <v>0</v>
      </c>
      <c r="G1304" s="1925">
        <v>86</v>
      </c>
      <c r="I1304" s="1927"/>
    </row>
    <row r="1305" spans="1:9" x14ac:dyDescent="0.25">
      <c r="A1305" s="1941" t="s">
        <v>3784</v>
      </c>
      <c r="B1305" s="1901" t="s">
        <v>2887</v>
      </c>
      <c r="E1305" s="1925">
        <v>96.04</v>
      </c>
      <c r="G1305" s="1925">
        <v>0</v>
      </c>
      <c r="I1305" s="1927"/>
    </row>
    <row r="1306" spans="1:9" x14ac:dyDescent="0.25">
      <c r="A1306" s="1941" t="s">
        <v>3784</v>
      </c>
      <c r="B1306" s="1901" t="s">
        <v>2888</v>
      </c>
      <c r="E1306" s="1925">
        <v>0</v>
      </c>
      <c r="G1306" s="1925">
        <v>96</v>
      </c>
      <c r="I1306" s="1927"/>
    </row>
    <row r="1307" spans="1:9" x14ac:dyDescent="0.25">
      <c r="A1307" s="1941">
        <v>200</v>
      </c>
      <c r="B1307" s="1901" t="s">
        <v>49</v>
      </c>
      <c r="E1307" s="1925">
        <v>181.8</v>
      </c>
      <c r="G1307" s="1925">
        <v>182</v>
      </c>
      <c r="I1307" s="1927"/>
    </row>
    <row r="1308" spans="1:9" x14ac:dyDescent="0.25">
      <c r="A1308" s="1941">
        <v>1500</v>
      </c>
      <c r="B1308" s="1901" t="s">
        <v>2394</v>
      </c>
      <c r="E1308" s="1925">
        <v>181.8</v>
      </c>
      <c r="G1308" s="1925">
        <v>182</v>
      </c>
      <c r="I1308" s="1927"/>
    </row>
    <row r="1309" spans="1:9" x14ac:dyDescent="0.25">
      <c r="A1309" s="1941">
        <v>1000</v>
      </c>
      <c r="B1309" s="1901" t="s">
        <v>456</v>
      </c>
      <c r="E1309" s="1925">
        <v>299417.52</v>
      </c>
      <c r="G1309" s="1925">
        <v>317399</v>
      </c>
      <c r="I1309" s="1927"/>
    </row>
    <row r="1310" spans="1:9" x14ac:dyDescent="0.25">
      <c r="A1310" s="1941" t="s">
        <v>3694</v>
      </c>
      <c r="B1310" s="1901" t="s">
        <v>2889</v>
      </c>
      <c r="E1310" s="1925">
        <v>664.62</v>
      </c>
      <c r="G1310" s="1925">
        <v>725</v>
      </c>
      <c r="I1310" s="1927"/>
    </row>
    <row r="1311" spans="1:9" x14ac:dyDescent="0.25">
      <c r="A1311" s="1941" t="s">
        <v>3694</v>
      </c>
      <c r="B1311" s="1901" t="s">
        <v>2890</v>
      </c>
      <c r="E1311" s="1925">
        <v>918.5</v>
      </c>
      <c r="G1311" s="1925">
        <v>919</v>
      </c>
      <c r="I1311" s="1927"/>
    </row>
    <row r="1312" spans="1:9" x14ac:dyDescent="0.25">
      <c r="A1312" s="1941" t="s">
        <v>3694</v>
      </c>
      <c r="B1312" s="1901" t="s">
        <v>2891</v>
      </c>
      <c r="E1312" s="1925">
        <v>0</v>
      </c>
      <c r="G1312" s="1925">
        <v>0</v>
      </c>
      <c r="I1312" s="1927"/>
    </row>
    <row r="1313" spans="1:9" x14ac:dyDescent="0.25">
      <c r="A1313" s="1941">
        <v>200</v>
      </c>
      <c r="B1313" s="1901" t="s">
        <v>49</v>
      </c>
      <c r="E1313" s="1925">
        <v>1583.12</v>
      </c>
      <c r="G1313" s="1925">
        <v>1644</v>
      </c>
      <c r="I1313" s="1927"/>
    </row>
    <row r="1314" spans="1:9" x14ac:dyDescent="0.25">
      <c r="A1314" s="1941">
        <v>2112</v>
      </c>
      <c r="B1314" s="1901" t="s">
        <v>2408</v>
      </c>
      <c r="E1314" s="1925">
        <v>1583.12</v>
      </c>
      <c r="G1314" s="1925">
        <v>1644</v>
      </c>
      <c r="I1314" s="1927"/>
    </row>
    <row r="1315" spans="1:9" x14ac:dyDescent="0.25">
      <c r="A1315" s="1941" t="s">
        <v>3695</v>
      </c>
      <c r="B1315" s="1901" t="s">
        <v>2892</v>
      </c>
      <c r="E1315" s="1925">
        <v>688.6</v>
      </c>
      <c r="G1315" s="1925">
        <v>0</v>
      </c>
      <c r="I1315" s="1927"/>
    </row>
    <row r="1316" spans="1:9" x14ac:dyDescent="0.25">
      <c r="A1316" s="1941" t="s">
        <v>3696</v>
      </c>
      <c r="B1316" s="1901" t="s">
        <v>2893</v>
      </c>
      <c r="E1316" s="1925">
        <v>1504.32</v>
      </c>
      <c r="G1316" s="1925">
        <v>2500</v>
      </c>
      <c r="I1316" s="1927"/>
    </row>
    <row r="1317" spans="1:9" x14ac:dyDescent="0.25">
      <c r="A1317" s="1941">
        <v>200</v>
      </c>
      <c r="B1317" s="1901" t="s">
        <v>49</v>
      </c>
      <c r="E1317" s="1925">
        <v>2192.92</v>
      </c>
      <c r="G1317" s="1925">
        <v>2500</v>
      </c>
      <c r="I1317" s="1927"/>
    </row>
    <row r="1318" spans="1:9" x14ac:dyDescent="0.25">
      <c r="A1318" s="1941">
        <v>2113</v>
      </c>
      <c r="B1318" s="1901" t="s">
        <v>2416</v>
      </c>
      <c r="E1318" s="1925">
        <v>2192.92</v>
      </c>
      <c r="G1318" s="1925">
        <v>2500</v>
      </c>
      <c r="I1318" s="1927"/>
    </row>
    <row r="1319" spans="1:9" x14ac:dyDescent="0.25">
      <c r="A1319" s="1941" t="s">
        <v>3757</v>
      </c>
      <c r="B1319" s="1901" t="s">
        <v>2894</v>
      </c>
      <c r="E1319" s="1925">
        <v>1247.79</v>
      </c>
      <c r="G1319" s="1925">
        <v>1248</v>
      </c>
      <c r="I1319" s="1927"/>
    </row>
    <row r="1320" spans="1:9" x14ac:dyDescent="0.25">
      <c r="A1320" s="1941">
        <v>200</v>
      </c>
      <c r="B1320" s="1901" t="s">
        <v>49</v>
      </c>
      <c r="E1320" s="1925">
        <v>1247.79</v>
      </c>
      <c r="G1320" s="1925">
        <v>1248</v>
      </c>
      <c r="I1320" s="1927"/>
    </row>
    <row r="1321" spans="1:9" x14ac:dyDescent="0.25">
      <c r="A1321" s="1941">
        <v>2119</v>
      </c>
      <c r="B1321" s="1901" t="s">
        <v>2422</v>
      </c>
      <c r="E1321" s="1925">
        <v>1247.79</v>
      </c>
      <c r="G1321" s="1925">
        <v>1248</v>
      </c>
      <c r="I1321" s="1927"/>
    </row>
    <row r="1322" spans="1:9" x14ac:dyDescent="0.25">
      <c r="A1322" s="1941" t="s">
        <v>3697</v>
      </c>
      <c r="B1322" s="1901" t="s">
        <v>2895</v>
      </c>
      <c r="E1322" s="1925">
        <v>999</v>
      </c>
      <c r="G1322" s="1925">
        <v>1123</v>
      </c>
      <c r="I1322" s="1927"/>
    </row>
    <row r="1323" spans="1:9" x14ac:dyDescent="0.25">
      <c r="A1323" s="1941" t="s">
        <v>3697</v>
      </c>
      <c r="B1323" s="1901" t="s">
        <v>2895</v>
      </c>
      <c r="E1323" s="1925">
        <v>1116.49</v>
      </c>
      <c r="G1323" s="1925">
        <v>1256</v>
      </c>
      <c r="I1323" s="1927"/>
    </row>
    <row r="1324" spans="1:9" x14ac:dyDescent="0.25">
      <c r="A1324" s="1941">
        <v>200</v>
      </c>
      <c r="B1324" s="1901" t="s">
        <v>49</v>
      </c>
      <c r="E1324" s="1925">
        <v>2115.7600000000002</v>
      </c>
      <c r="G1324" s="1925">
        <v>2379</v>
      </c>
      <c r="I1324" s="1927"/>
    </row>
    <row r="1325" spans="1:9" x14ac:dyDescent="0.25">
      <c r="A1325" s="1941">
        <v>2121</v>
      </c>
      <c r="B1325" s="1901" t="s">
        <v>2431</v>
      </c>
      <c r="E1325" s="1925">
        <v>2115.7600000000002</v>
      </c>
      <c r="G1325" s="1925">
        <v>2379</v>
      </c>
      <c r="I1325" s="1927"/>
    </row>
    <row r="1326" spans="1:9" x14ac:dyDescent="0.25">
      <c r="A1326" s="1941" t="s">
        <v>3698</v>
      </c>
      <c r="B1326" s="1901" t="s">
        <v>2896</v>
      </c>
      <c r="E1326" s="1925">
        <v>0</v>
      </c>
      <c r="G1326" s="1925">
        <v>0</v>
      </c>
      <c r="I1326" s="1927"/>
    </row>
    <row r="1327" spans="1:9" x14ac:dyDescent="0.25">
      <c r="A1327" s="1941" t="s">
        <v>3698</v>
      </c>
      <c r="B1327" s="1901" t="s">
        <v>2896</v>
      </c>
      <c r="E1327" s="1925">
        <v>0</v>
      </c>
      <c r="G1327" s="1925">
        <v>0</v>
      </c>
      <c r="I1327" s="1927"/>
    </row>
    <row r="1328" spans="1:9" x14ac:dyDescent="0.25">
      <c r="A1328" s="1941" t="s">
        <v>3698</v>
      </c>
      <c r="B1328" s="1901" t="s">
        <v>2897</v>
      </c>
      <c r="E1328" s="1925">
        <v>0</v>
      </c>
      <c r="G1328" s="1925">
        <v>4200</v>
      </c>
      <c r="I1328" s="1927"/>
    </row>
    <row r="1329" spans="1:9" x14ac:dyDescent="0.25">
      <c r="A1329" s="1941" t="s">
        <v>3699</v>
      </c>
      <c r="B1329" s="1901" t="s">
        <v>2898</v>
      </c>
      <c r="E1329" s="1925">
        <v>0</v>
      </c>
      <c r="G1329" s="1925">
        <v>0</v>
      </c>
      <c r="I1329" s="1927"/>
    </row>
    <row r="1330" spans="1:9" x14ac:dyDescent="0.25">
      <c r="A1330" s="1941" t="s">
        <v>3699</v>
      </c>
      <c r="B1330" s="1901" t="s">
        <v>2898</v>
      </c>
      <c r="E1330" s="1925">
        <v>0</v>
      </c>
      <c r="G1330" s="1925">
        <v>0</v>
      </c>
      <c r="I1330" s="1927"/>
    </row>
    <row r="1331" spans="1:9" x14ac:dyDescent="0.25">
      <c r="A1331" s="1941" t="s">
        <v>3699</v>
      </c>
      <c r="B1331" s="1901" t="s">
        <v>2899</v>
      </c>
      <c r="E1331" s="1925">
        <v>0</v>
      </c>
      <c r="G1331" s="1925">
        <v>3100</v>
      </c>
      <c r="I1331" s="1927"/>
    </row>
    <row r="1332" spans="1:9" x14ac:dyDescent="0.25">
      <c r="A1332" s="1941">
        <v>200</v>
      </c>
      <c r="B1332" s="1901" t="s">
        <v>49</v>
      </c>
      <c r="E1332" s="1925">
        <v>0</v>
      </c>
      <c r="G1332" s="1925">
        <v>7300</v>
      </c>
      <c r="I1332" s="1927"/>
    </row>
    <row r="1333" spans="1:9" x14ac:dyDescent="0.25">
      <c r="A1333" s="1941">
        <v>2132</v>
      </c>
      <c r="B1333" s="1901" t="s">
        <v>2436</v>
      </c>
      <c r="E1333" s="1925">
        <v>0</v>
      </c>
      <c r="G1333" s="1925">
        <v>7300</v>
      </c>
      <c r="I1333" s="1927"/>
    </row>
    <row r="1334" spans="1:9" x14ac:dyDescent="0.25">
      <c r="A1334" s="1941" t="s">
        <v>3700</v>
      </c>
      <c r="B1334" s="1901" t="s">
        <v>2900</v>
      </c>
      <c r="E1334" s="1925">
        <v>0</v>
      </c>
      <c r="G1334" s="1925">
        <v>0</v>
      </c>
      <c r="I1334" s="1927"/>
    </row>
    <row r="1335" spans="1:9" x14ac:dyDescent="0.25">
      <c r="A1335" s="1941" t="s">
        <v>3700</v>
      </c>
      <c r="B1335" s="1901" t="s">
        <v>2901</v>
      </c>
      <c r="E1335" s="1925">
        <v>14265.54</v>
      </c>
      <c r="G1335" s="1925">
        <v>10900</v>
      </c>
      <c r="I1335" s="1927"/>
    </row>
    <row r="1336" spans="1:9" x14ac:dyDescent="0.25">
      <c r="A1336" s="1941" t="s">
        <v>3701</v>
      </c>
      <c r="B1336" s="1901" t="s">
        <v>2902</v>
      </c>
      <c r="E1336" s="1925">
        <v>0</v>
      </c>
      <c r="G1336" s="1925">
        <v>0</v>
      </c>
      <c r="I1336" s="1927"/>
    </row>
    <row r="1337" spans="1:9" x14ac:dyDescent="0.25">
      <c r="A1337" s="1941" t="s">
        <v>3701</v>
      </c>
      <c r="B1337" s="1901" t="s">
        <v>2903</v>
      </c>
      <c r="E1337" s="1925">
        <v>10338.57</v>
      </c>
      <c r="G1337" s="1925">
        <v>7825</v>
      </c>
      <c r="I1337" s="1927"/>
    </row>
    <row r="1338" spans="1:9" x14ac:dyDescent="0.25">
      <c r="A1338" s="1941">
        <v>200</v>
      </c>
      <c r="B1338" s="1901" t="s">
        <v>49</v>
      </c>
      <c r="E1338" s="1925">
        <v>24604.11</v>
      </c>
      <c r="G1338" s="1925">
        <v>18725</v>
      </c>
      <c r="I1338" s="1927"/>
    </row>
    <row r="1339" spans="1:9" x14ac:dyDescent="0.25">
      <c r="A1339" s="1941">
        <v>2134</v>
      </c>
      <c r="B1339" s="1901" t="s">
        <v>2445</v>
      </c>
      <c r="E1339" s="1925">
        <v>24604.11</v>
      </c>
      <c r="G1339" s="1925">
        <v>18725</v>
      </c>
      <c r="I1339" s="1927"/>
    </row>
    <row r="1340" spans="1:9" x14ac:dyDescent="0.25">
      <c r="A1340" s="1941" t="s">
        <v>3702</v>
      </c>
      <c r="B1340" s="1901" t="s">
        <v>2904</v>
      </c>
      <c r="E1340" s="1925">
        <v>4056.64</v>
      </c>
      <c r="G1340" s="1925">
        <v>4018</v>
      </c>
      <c r="I1340" s="1927"/>
    </row>
    <row r="1341" spans="1:9" x14ac:dyDescent="0.25">
      <c r="A1341" s="1941" t="s">
        <v>3703</v>
      </c>
      <c r="B1341" s="1901" t="s">
        <v>2905</v>
      </c>
      <c r="E1341" s="1925">
        <v>3630.91</v>
      </c>
      <c r="G1341" s="1925">
        <v>4309</v>
      </c>
      <c r="I1341" s="1927"/>
    </row>
    <row r="1342" spans="1:9" x14ac:dyDescent="0.25">
      <c r="A1342" s="1941" t="s">
        <v>3704</v>
      </c>
      <c r="B1342" s="1901" t="s">
        <v>2906</v>
      </c>
      <c r="E1342" s="1925">
        <v>3092.31</v>
      </c>
      <c r="G1342" s="1925">
        <v>3326</v>
      </c>
      <c r="I1342" s="1927"/>
    </row>
    <row r="1343" spans="1:9" x14ac:dyDescent="0.25">
      <c r="A1343" s="1941">
        <v>200</v>
      </c>
      <c r="B1343" s="1901" t="s">
        <v>49</v>
      </c>
      <c r="E1343" s="1925">
        <v>10779.86</v>
      </c>
      <c r="G1343" s="1925">
        <v>11653</v>
      </c>
      <c r="I1343" s="1927"/>
    </row>
    <row r="1344" spans="1:9" x14ac:dyDescent="0.25">
      <c r="A1344" s="1941">
        <v>2140</v>
      </c>
      <c r="B1344" s="1901" t="s">
        <v>199</v>
      </c>
      <c r="E1344" s="1925">
        <v>10779.86</v>
      </c>
      <c r="G1344" s="1925">
        <v>11653</v>
      </c>
      <c r="I1344" s="1927"/>
    </row>
    <row r="1345" spans="1:9" x14ac:dyDescent="0.25">
      <c r="A1345" s="1941" t="s">
        <v>3705</v>
      </c>
      <c r="B1345" s="1901" t="s">
        <v>2907</v>
      </c>
      <c r="E1345" s="1925">
        <v>5027.79</v>
      </c>
      <c r="G1345" s="1925">
        <v>5586</v>
      </c>
      <c r="I1345" s="1927"/>
    </row>
    <row r="1346" spans="1:9" x14ac:dyDescent="0.25">
      <c r="A1346" s="1941">
        <v>200</v>
      </c>
      <c r="B1346" s="1901" t="s">
        <v>49</v>
      </c>
      <c r="E1346" s="1925">
        <v>5027.79</v>
      </c>
      <c r="G1346" s="1925">
        <v>5586</v>
      </c>
      <c r="I1346" s="1927"/>
    </row>
    <row r="1347" spans="1:9" x14ac:dyDescent="0.25">
      <c r="A1347" s="1941">
        <v>2150</v>
      </c>
      <c r="B1347" s="1901" t="s">
        <v>2477</v>
      </c>
      <c r="E1347" s="1925">
        <v>5027.79</v>
      </c>
      <c r="G1347" s="1925">
        <v>5586</v>
      </c>
      <c r="I1347" s="1927"/>
    </row>
    <row r="1348" spans="1:9" x14ac:dyDescent="0.25">
      <c r="A1348" s="1941" t="s">
        <v>3706</v>
      </c>
      <c r="B1348" s="1901" t="s">
        <v>2908</v>
      </c>
      <c r="E1348" s="1925">
        <v>274.58999999999997</v>
      </c>
      <c r="G1348" s="1925">
        <v>500</v>
      </c>
      <c r="I1348" s="1927"/>
    </row>
    <row r="1349" spans="1:9" x14ac:dyDescent="0.25">
      <c r="A1349" s="1941" t="s">
        <v>3707</v>
      </c>
      <c r="B1349" s="1901" t="s">
        <v>2909</v>
      </c>
      <c r="E1349" s="1925">
        <v>2339.36</v>
      </c>
      <c r="G1349" s="1925">
        <v>2600</v>
      </c>
      <c r="I1349" s="1927"/>
    </row>
    <row r="1350" spans="1:9" x14ac:dyDescent="0.25">
      <c r="A1350" s="1941">
        <v>200</v>
      </c>
      <c r="B1350" s="1901" t="s">
        <v>49</v>
      </c>
      <c r="E1350" s="1925">
        <v>2613.9499999999998</v>
      </c>
      <c r="G1350" s="1925">
        <v>3100</v>
      </c>
      <c r="I1350" s="1927"/>
    </row>
    <row r="1351" spans="1:9" x14ac:dyDescent="0.25">
      <c r="A1351" s="1941">
        <v>2190</v>
      </c>
      <c r="B1351" s="1901" t="s">
        <v>2910</v>
      </c>
      <c r="E1351" s="1925">
        <v>2613.9499999999998</v>
      </c>
      <c r="G1351" s="1925">
        <v>3100</v>
      </c>
      <c r="I1351" s="1927"/>
    </row>
    <row r="1352" spans="1:9" x14ac:dyDescent="0.25">
      <c r="A1352" s="1941" t="s">
        <v>3708</v>
      </c>
      <c r="B1352" s="1901" t="s">
        <v>2911</v>
      </c>
      <c r="E1352" s="1925">
        <v>9.56</v>
      </c>
      <c r="G1352" s="1925">
        <v>0</v>
      </c>
      <c r="I1352" s="1927"/>
    </row>
    <row r="1353" spans="1:9" x14ac:dyDescent="0.25">
      <c r="A1353" s="1941" t="s">
        <v>3709</v>
      </c>
      <c r="B1353" s="1901" t="s">
        <v>2912</v>
      </c>
      <c r="E1353" s="1925">
        <v>0</v>
      </c>
      <c r="G1353" s="1925">
        <v>85</v>
      </c>
      <c r="I1353" s="1927"/>
    </row>
    <row r="1354" spans="1:9" x14ac:dyDescent="0.25">
      <c r="A1354" s="1941" t="s">
        <v>3709</v>
      </c>
      <c r="B1354" s="1901" t="s">
        <v>2913</v>
      </c>
      <c r="E1354" s="1925">
        <v>75.3</v>
      </c>
      <c r="G1354" s="1925">
        <v>0</v>
      </c>
      <c r="I1354" s="1927"/>
    </row>
    <row r="1355" spans="1:9" x14ac:dyDescent="0.25">
      <c r="A1355" s="1941" t="s">
        <v>3709</v>
      </c>
      <c r="B1355" s="1901" t="s">
        <v>2914</v>
      </c>
      <c r="E1355" s="1925">
        <v>122.59</v>
      </c>
      <c r="G1355" s="1925">
        <v>0</v>
      </c>
      <c r="I1355" s="1927"/>
    </row>
    <row r="1356" spans="1:9" x14ac:dyDescent="0.25">
      <c r="A1356" s="1941">
        <v>200</v>
      </c>
      <c r="B1356" s="1901" t="s">
        <v>49</v>
      </c>
      <c r="E1356" s="1925">
        <v>207.45</v>
      </c>
      <c r="G1356" s="1925">
        <v>85</v>
      </c>
      <c r="I1356" s="1927"/>
    </row>
    <row r="1357" spans="1:9" x14ac:dyDescent="0.25">
      <c r="A1357" s="1941">
        <v>2210</v>
      </c>
      <c r="B1357" s="1901" t="s">
        <v>2489</v>
      </c>
      <c r="E1357" s="1925">
        <v>207.45</v>
      </c>
      <c r="G1357" s="1925">
        <v>85</v>
      </c>
      <c r="I1357" s="1927"/>
    </row>
    <row r="1358" spans="1:9" x14ac:dyDescent="0.25">
      <c r="A1358" s="1941" t="s">
        <v>3710</v>
      </c>
      <c r="B1358" s="1901" t="s">
        <v>2915</v>
      </c>
      <c r="E1358" s="1925">
        <v>22.23</v>
      </c>
      <c r="G1358" s="1925">
        <v>0</v>
      </c>
      <c r="I1358" s="1927"/>
    </row>
    <row r="1359" spans="1:9" x14ac:dyDescent="0.25">
      <c r="A1359" s="1941">
        <v>200</v>
      </c>
      <c r="B1359" s="1901" t="s">
        <v>49</v>
      </c>
      <c r="E1359" s="1925">
        <v>22.23</v>
      </c>
      <c r="G1359" s="1925">
        <v>0</v>
      </c>
      <c r="I1359" s="1927"/>
    </row>
    <row r="1360" spans="1:9" x14ac:dyDescent="0.25">
      <c r="A1360" s="1941">
        <v>2212</v>
      </c>
      <c r="B1360" s="1901" t="s">
        <v>2495</v>
      </c>
      <c r="E1360" s="1925">
        <v>22.23</v>
      </c>
      <c r="G1360" s="1925">
        <v>0</v>
      </c>
      <c r="I1360" s="1927"/>
    </row>
    <row r="1361" spans="1:9" x14ac:dyDescent="0.25">
      <c r="A1361" s="1941" t="s">
        <v>3711</v>
      </c>
      <c r="B1361" s="1901" t="s">
        <v>2916</v>
      </c>
      <c r="E1361" s="1925">
        <v>4.55</v>
      </c>
      <c r="G1361" s="1925">
        <v>10</v>
      </c>
      <c r="I1361" s="1927"/>
    </row>
    <row r="1362" spans="1:9" x14ac:dyDescent="0.25">
      <c r="A1362" s="1941" t="s">
        <v>3712</v>
      </c>
      <c r="B1362" s="1901" t="s">
        <v>2917</v>
      </c>
      <c r="E1362" s="1925">
        <v>3.63</v>
      </c>
      <c r="G1362" s="1925">
        <v>10</v>
      </c>
      <c r="I1362" s="1927"/>
    </row>
    <row r="1363" spans="1:9" x14ac:dyDescent="0.25">
      <c r="A1363" s="1941" t="s">
        <v>3713</v>
      </c>
      <c r="B1363" s="1901" t="s">
        <v>2918</v>
      </c>
      <c r="E1363" s="1925">
        <v>25.76</v>
      </c>
      <c r="G1363" s="1925">
        <v>60</v>
      </c>
      <c r="I1363" s="1927"/>
    </row>
    <row r="1364" spans="1:9" x14ac:dyDescent="0.25">
      <c r="A1364" s="1941">
        <v>200</v>
      </c>
      <c r="B1364" s="1901" t="s">
        <v>49</v>
      </c>
      <c r="E1364" s="1925">
        <v>33.94</v>
      </c>
      <c r="G1364" s="1925">
        <v>80</v>
      </c>
      <c r="I1364" s="1927"/>
    </row>
    <row r="1365" spans="1:9" x14ac:dyDescent="0.25">
      <c r="A1365" s="1941">
        <v>2213</v>
      </c>
      <c r="B1365" s="1901" t="s">
        <v>2500</v>
      </c>
      <c r="E1365" s="1925">
        <v>33.94</v>
      </c>
      <c r="G1365" s="1925">
        <v>80</v>
      </c>
      <c r="I1365" s="1927"/>
    </row>
    <row r="1366" spans="1:9" x14ac:dyDescent="0.25">
      <c r="A1366" s="1941" t="s">
        <v>3714</v>
      </c>
      <c r="B1366" s="1901" t="s">
        <v>2919</v>
      </c>
      <c r="E1366" s="1925">
        <v>3730.04</v>
      </c>
      <c r="G1366" s="1925">
        <v>3590</v>
      </c>
      <c r="I1366" s="1927"/>
    </row>
    <row r="1367" spans="1:9" x14ac:dyDescent="0.25">
      <c r="A1367" s="1941" t="s">
        <v>3714</v>
      </c>
      <c r="B1367" s="1901" t="s">
        <v>2919</v>
      </c>
      <c r="E1367" s="1925">
        <v>1763.24</v>
      </c>
      <c r="G1367" s="1925">
        <v>1695</v>
      </c>
      <c r="I1367" s="1927"/>
    </row>
    <row r="1368" spans="1:9" x14ac:dyDescent="0.25">
      <c r="A1368" s="1941" t="s">
        <v>3714</v>
      </c>
      <c r="B1368" s="1901" t="s">
        <v>2919</v>
      </c>
      <c r="E1368" s="1925">
        <v>2253.7199999999998</v>
      </c>
      <c r="G1368" s="1925">
        <v>2182</v>
      </c>
      <c r="I1368" s="1927"/>
    </row>
    <row r="1369" spans="1:9" x14ac:dyDescent="0.25">
      <c r="A1369" s="1941" t="s">
        <v>3714</v>
      </c>
      <c r="B1369" s="1901" t="s">
        <v>2919</v>
      </c>
      <c r="E1369" s="1925">
        <v>2258.6799999999998</v>
      </c>
      <c r="G1369" s="1925">
        <v>2172</v>
      </c>
      <c r="I1369" s="1927"/>
    </row>
    <row r="1370" spans="1:9" x14ac:dyDescent="0.25">
      <c r="A1370" s="1941" t="s">
        <v>3714</v>
      </c>
      <c r="B1370" s="1901" t="s">
        <v>2920</v>
      </c>
      <c r="E1370" s="1925">
        <v>0</v>
      </c>
      <c r="G1370" s="1925">
        <v>0</v>
      </c>
      <c r="I1370" s="1927"/>
    </row>
    <row r="1371" spans="1:9" x14ac:dyDescent="0.25">
      <c r="A1371" s="1941" t="s">
        <v>3715</v>
      </c>
      <c r="B1371" s="1901" t="s">
        <v>2921</v>
      </c>
      <c r="E1371" s="1925">
        <v>2696.29</v>
      </c>
      <c r="G1371" s="1925">
        <v>2585</v>
      </c>
      <c r="I1371" s="1927"/>
    </row>
    <row r="1372" spans="1:9" x14ac:dyDescent="0.25">
      <c r="A1372" s="1941" t="s">
        <v>3715</v>
      </c>
      <c r="B1372" s="1901" t="s">
        <v>2921</v>
      </c>
      <c r="E1372" s="1925">
        <v>1279.9100000000001</v>
      </c>
      <c r="G1372" s="1925">
        <v>1226</v>
      </c>
      <c r="I1372" s="1927"/>
    </row>
    <row r="1373" spans="1:9" x14ac:dyDescent="0.25">
      <c r="A1373" s="1941" t="s">
        <v>3715</v>
      </c>
      <c r="B1373" s="1901" t="s">
        <v>2921</v>
      </c>
      <c r="E1373" s="1925">
        <v>1614.97</v>
      </c>
      <c r="G1373" s="1925">
        <v>1557</v>
      </c>
      <c r="I1373" s="1927"/>
    </row>
    <row r="1374" spans="1:9" x14ac:dyDescent="0.25">
      <c r="A1374" s="1941" t="s">
        <v>3715</v>
      </c>
      <c r="B1374" s="1901" t="s">
        <v>2921</v>
      </c>
      <c r="E1374" s="1925">
        <v>1639.61</v>
      </c>
      <c r="G1374" s="1925">
        <v>1570</v>
      </c>
      <c r="I1374" s="1927"/>
    </row>
    <row r="1375" spans="1:9" x14ac:dyDescent="0.25">
      <c r="A1375" s="1941" t="s">
        <v>3715</v>
      </c>
      <c r="B1375" s="1901" t="s">
        <v>2922</v>
      </c>
      <c r="E1375" s="1925">
        <v>0</v>
      </c>
      <c r="G1375" s="1925">
        <v>0</v>
      </c>
      <c r="I1375" s="1927"/>
    </row>
    <row r="1376" spans="1:9" x14ac:dyDescent="0.25">
      <c r="A1376" s="1941" t="s">
        <v>3716</v>
      </c>
      <c r="B1376" s="1901" t="s">
        <v>2923</v>
      </c>
      <c r="E1376" s="1925">
        <v>996.19</v>
      </c>
      <c r="G1376" s="1925">
        <v>1107</v>
      </c>
      <c r="I1376" s="1927"/>
    </row>
    <row r="1377" spans="1:9" x14ac:dyDescent="0.25">
      <c r="A1377" s="1941">
        <v>200</v>
      </c>
      <c r="B1377" s="1901" t="s">
        <v>49</v>
      </c>
      <c r="E1377" s="1925">
        <v>18232.650000000001</v>
      </c>
      <c r="G1377" s="1925">
        <v>17684</v>
      </c>
      <c r="I1377" s="1927"/>
    </row>
    <row r="1378" spans="1:9" x14ac:dyDescent="0.25">
      <c r="A1378" s="1941">
        <v>2222</v>
      </c>
      <c r="B1378" s="1901" t="s">
        <v>2524</v>
      </c>
      <c r="E1378" s="1925">
        <v>18232.650000000001</v>
      </c>
      <c r="G1378" s="1925">
        <v>17684</v>
      </c>
      <c r="I1378" s="1927"/>
    </row>
    <row r="1379" spans="1:9" x14ac:dyDescent="0.25">
      <c r="A1379" s="1941" t="s">
        <v>3717</v>
      </c>
      <c r="B1379" s="1901" t="s">
        <v>2924</v>
      </c>
      <c r="E1379" s="1925">
        <v>16891.099999999999</v>
      </c>
      <c r="G1379" s="1925">
        <v>16248</v>
      </c>
      <c r="I1379" s="1927"/>
    </row>
    <row r="1380" spans="1:9" x14ac:dyDescent="0.25">
      <c r="A1380" s="1941" t="s">
        <v>3718</v>
      </c>
      <c r="B1380" s="1901" t="s">
        <v>2925</v>
      </c>
      <c r="E1380" s="1925">
        <v>12267.32</v>
      </c>
      <c r="G1380" s="1925">
        <v>11748</v>
      </c>
      <c r="I1380" s="1927"/>
    </row>
    <row r="1381" spans="1:9" x14ac:dyDescent="0.25">
      <c r="A1381" s="1941">
        <v>200</v>
      </c>
      <c r="B1381" s="1901" t="s">
        <v>49</v>
      </c>
      <c r="E1381" s="1925">
        <v>29158.42</v>
      </c>
      <c r="G1381" s="1925">
        <v>27996</v>
      </c>
      <c r="I1381" s="1927"/>
    </row>
    <row r="1382" spans="1:9" x14ac:dyDescent="0.25">
      <c r="A1382" s="1941">
        <v>2224</v>
      </c>
      <c r="B1382" s="1901" t="s">
        <v>2542</v>
      </c>
      <c r="E1382" s="1925">
        <v>29158.42</v>
      </c>
      <c r="G1382" s="1925">
        <v>27996</v>
      </c>
      <c r="I1382" s="1927"/>
    </row>
    <row r="1383" spans="1:9" x14ac:dyDescent="0.25">
      <c r="A1383" s="1941" t="s">
        <v>3719</v>
      </c>
      <c r="B1383" s="1901" t="s">
        <v>2926</v>
      </c>
      <c r="E1383" s="1925">
        <v>171.47</v>
      </c>
      <c r="G1383" s="1925">
        <v>172</v>
      </c>
      <c r="I1383" s="1927"/>
    </row>
    <row r="1384" spans="1:9" x14ac:dyDescent="0.25">
      <c r="A1384" s="1941" t="s">
        <v>3720</v>
      </c>
      <c r="B1384" s="1901" t="s">
        <v>2927</v>
      </c>
      <c r="E1384" s="1925">
        <v>124.01</v>
      </c>
      <c r="G1384" s="1925">
        <v>124</v>
      </c>
      <c r="I1384" s="1927"/>
    </row>
    <row r="1385" spans="1:9" x14ac:dyDescent="0.25">
      <c r="A1385" s="1941" t="s">
        <v>3721</v>
      </c>
      <c r="B1385" s="1901" t="s">
        <v>2928</v>
      </c>
      <c r="E1385" s="1925">
        <v>0</v>
      </c>
      <c r="G1385" s="1925">
        <v>0</v>
      </c>
      <c r="I1385" s="1927"/>
    </row>
    <row r="1386" spans="1:9" x14ac:dyDescent="0.25">
      <c r="A1386" s="1941">
        <v>200</v>
      </c>
      <c r="B1386" s="1901" t="s">
        <v>49</v>
      </c>
      <c r="E1386" s="1925">
        <v>295.48</v>
      </c>
      <c r="G1386" s="1925">
        <v>296</v>
      </c>
      <c r="I1386" s="1927"/>
    </row>
    <row r="1387" spans="1:9" x14ac:dyDescent="0.25">
      <c r="A1387" s="1941">
        <v>2310</v>
      </c>
      <c r="B1387" s="1901" t="s">
        <v>817</v>
      </c>
      <c r="E1387" s="1925">
        <v>295.48</v>
      </c>
      <c r="G1387" s="1925">
        <v>296</v>
      </c>
      <c r="I1387" s="1927"/>
    </row>
    <row r="1388" spans="1:9" x14ac:dyDescent="0.25">
      <c r="A1388" s="1941" t="s">
        <v>3722</v>
      </c>
      <c r="B1388" s="1901" t="s">
        <v>2929</v>
      </c>
      <c r="E1388" s="1925">
        <v>9183.8700000000008</v>
      </c>
      <c r="G1388" s="1925">
        <v>9086</v>
      </c>
      <c r="I1388" s="1927"/>
    </row>
    <row r="1389" spans="1:9" x14ac:dyDescent="0.25">
      <c r="A1389" s="1941" t="s">
        <v>3723</v>
      </c>
      <c r="B1389" s="1901" t="s">
        <v>2930</v>
      </c>
      <c r="E1389" s="1925">
        <v>6647.74</v>
      </c>
      <c r="G1389" s="1925">
        <v>6611</v>
      </c>
      <c r="I1389" s="1927"/>
    </row>
    <row r="1390" spans="1:9" x14ac:dyDescent="0.25">
      <c r="A1390" s="1941" t="s">
        <v>3724</v>
      </c>
      <c r="B1390" s="1901" t="s">
        <v>2931</v>
      </c>
      <c r="E1390" s="1925">
        <v>2174.7399999999998</v>
      </c>
      <c r="G1390" s="1925">
        <v>2138</v>
      </c>
      <c r="I1390" s="1927"/>
    </row>
    <row r="1391" spans="1:9" x14ac:dyDescent="0.25">
      <c r="A1391" s="1941">
        <v>200</v>
      </c>
      <c r="B1391" s="1901" t="s">
        <v>49</v>
      </c>
      <c r="E1391" s="1925">
        <v>18006.349999999999</v>
      </c>
      <c r="G1391" s="1925">
        <v>17835</v>
      </c>
      <c r="I1391" s="1927"/>
    </row>
    <row r="1392" spans="1:9" x14ac:dyDescent="0.25">
      <c r="A1392" s="1941">
        <v>2321</v>
      </c>
      <c r="B1392" s="1901" t="s">
        <v>2570</v>
      </c>
      <c r="E1392" s="1925">
        <v>18006.349999999999</v>
      </c>
      <c r="G1392" s="1925">
        <v>17835</v>
      </c>
      <c r="I1392" s="1927"/>
    </row>
    <row r="1393" spans="1:9" x14ac:dyDescent="0.25">
      <c r="A1393" s="1941" t="s">
        <v>3725</v>
      </c>
      <c r="B1393" s="1901" t="s">
        <v>2932</v>
      </c>
      <c r="E1393" s="1925">
        <v>6497.21</v>
      </c>
      <c r="G1393" s="1925">
        <v>6519</v>
      </c>
      <c r="I1393" s="1927"/>
    </row>
    <row r="1394" spans="1:9" x14ac:dyDescent="0.25">
      <c r="A1394" s="1941" t="s">
        <v>3725</v>
      </c>
      <c r="B1394" s="1901" t="s">
        <v>2933</v>
      </c>
      <c r="E1394" s="1925">
        <v>3323.74</v>
      </c>
      <c r="G1394" s="1925">
        <v>6123</v>
      </c>
      <c r="I1394" s="1927"/>
    </row>
    <row r="1395" spans="1:9" x14ac:dyDescent="0.25">
      <c r="A1395" s="1941" t="s">
        <v>3725</v>
      </c>
      <c r="B1395" s="1901" t="s">
        <v>2934</v>
      </c>
      <c r="E1395" s="1925">
        <v>6152.4</v>
      </c>
      <c r="G1395" s="1925">
        <v>6530</v>
      </c>
      <c r="I1395" s="1927"/>
    </row>
    <row r="1396" spans="1:9" x14ac:dyDescent="0.25">
      <c r="A1396" s="1941" t="s">
        <v>3725</v>
      </c>
      <c r="B1396" s="1901" t="s">
        <v>2935</v>
      </c>
      <c r="E1396" s="1925">
        <v>9364.33</v>
      </c>
      <c r="G1396" s="1925">
        <v>7297</v>
      </c>
      <c r="I1396" s="1927"/>
    </row>
    <row r="1397" spans="1:9" x14ac:dyDescent="0.25">
      <c r="A1397" s="1941" t="s">
        <v>3725</v>
      </c>
      <c r="B1397" s="1901" t="s">
        <v>2936</v>
      </c>
      <c r="E1397" s="1925">
        <v>6511.22</v>
      </c>
      <c r="G1397" s="1925">
        <v>6520</v>
      </c>
      <c r="I1397" s="1927"/>
    </row>
    <row r="1398" spans="1:9" x14ac:dyDescent="0.25">
      <c r="A1398" s="1941" t="s">
        <v>3725</v>
      </c>
      <c r="B1398" s="1901" t="s">
        <v>2937</v>
      </c>
      <c r="E1398" s="1925">
        <v>0</v>
      </c>
      <c r="G1398" s="1925">
        <v>0</v>
      </c>
      <c r="I1398" s="1927"/>
    </row>
    <row r="1399" spans="1:9" x14ac:dyDescent="0.25">
      <c r="A1399" s="1941" t="s">
        <v>3726</v>
      </c>
      <c r="B1399" s="1901" t="s">
        <v>2938</v>
      </c>
      <c r="E1399" s="1925">
        <v>4705.6099999999997</v>
      </c>
      <c r="G1399" s="1925">
        <v>4713</v>
      </c>
      <c r="I1399" s="1927"/>
    </row>
    <row r="1400" spans="1:9" x14ac:dyDescent="0.25">
      <c r="A1400" s="1941" t="s">
        <v>3726</v>
      </c>
      <c r="B1400" s="1901" t="s">
        <v>2939</v>
      </c>
      <c r="E1400" s="1925">
        <v>2416.79</v>
      </c>
      <c r="G1400" s="1925">
        <v>3910</v>
      </c>
      <c r="I1400" s="1927"/>
    </row>
    <row r="1401" spans="1:9" x14ac:dyDescent="0.25">
      <c r="A1401" s="1941" t="s">
        <v>3726</v>
      </c>
      <c r="B1401" s="1901" t="s">
        <v>2940</v>
      </c>
      <c r="E1401" s="1925">
        <v>4503.33</v>
      </c>
      <c r="G1401" s="1925">
        <v>4722</v>
      </c>
      <c r="I1401" s="1927"/>
    </row>
    <row r="1402" spans="1:9" x14ac:dyDescent="0.25">
      <c r="A1402" s="1941" t="s">
        <v>3726</v>
      </c>
      <c r="B1402" s="1901" t="s">
        <v>2941</v>
      </c>
      <c r="E1402" s="1925">
        <v>6781.04</v>
      </c>
      <c r="G1402" s="1925">
        <v>5726</v>
      </c>
      <c r="I1402" s="1927"/>
    </row>
    <row r="1403" spans="1:9" x14ac:dyDescent="0.25">
      <c r="A1403" s="1941" t="s">
        <v>3726</v>
      </c>
      <c r="B1403" s="1901" t="s">
        <v>2942</v>
      </c>
      <c r="E1403" s="1925">
        <v>4720.57</v>
      </c>
      <c r="G1403" s="1925">
        <v>4715</v>
      </c>
      <c r="I1403" s="1927"/>
    </row>
    <row r="1404" spans="1:9" x14ac:dyDescent="0.25">
      <c r="A1404" s="1941" t="s">
        <v>3726</v>
      </c>
      <c r="B1404" s="1901" t="s">
        <v>2943</v>
      </c>
      <c r="E1404" s="1925">
        <v>473.96</v>
      </c>
      <c r="G1404" s="1925">
        <v>500</v>
      </c>
      <c r="I1404" s="1927"/>
    </row>
    <row r="1405" spans="1:9" x14ac:dyDescent="0.25">
      <c r="A1405" s="1941" t="s">
        <v>3727</v>
      </c>
      <c r="B1405" s="1901" t="s">
        <v>2944</v>
      </c>
      <c r="E1405" s="1925">
        <v>1271.53</v>
      </c>
      <c r="G1405" s="1925">
        <v>1271</v>
      </c>
      <c r="I1405" s="1927"/>
    </row>
    <row r="1406" spans="1:9" x14ac:dyDescent="0.25">
      <c r="A1406" s="1941" t="s">
        <v>3727</v>
      </c>
      <c r="B1406" s="1901" t="s">
        <v>2945</v>
      </c>
      <c r="E1406" s="1925">
        <v>1222.04</v>
      </c>
      <c r="G1406" s="1925">
        <v>1222</v>
      </c>
      <c r="I1406" s="1927"/>
    </row>
    <row r="1407" spans="1:9" x14ac:dyDescent="0.25">
      <c r="A1407" s="1941" t="s">
        <v>3727</v>
      </c>
      <c r="B1407" s="1901" t="s">
        <v>2946</v>
      </c>
      <c r="E1407" s="1925">
        <v>1670.41</v>
      </c>
      <c r="G1407" s="1925">
        <v>1336</v>
      </c>
      <c r="I1407" s="1927"/>
    </row>
    <row r="1408" spans="1:9" x14ac:dyDescent="0.25">
      <c r="A1408" s="1941" t="s">
        <v>3727</v>
      </c>
      <c r="B1408" s="1901" t="s">
        <v>2947</v>
      </c>
      <c r="E1408" s="1925">
        <v>1244.6500000000001</v>
      </c>
      <c r="G1408" s="1925">
        <v>1245</v>
      </c>
      <c r="I1408" s="1927"/>
    </row>
    <row r="1409" spans="1:9" x14ac:dyDescent="0.25">
      <c r="A1409" s="1941" t="s">
        <v>3727</v>
      </c>
      <c r="B1409" s="1901" t="s">
        <v>2948</v>
      </c>
      <c r="E1409" s="1925">
        <v>1192.1199999999999</v>
      </c>
      <c r="G1409" s="1925">
        <v>1192</v>
      </c>
      <c r="I1409" s="1927"/>
    </row>
    <row r="1410" spans="1:9" x14ac:dyDescent="0.25">
      <c r="A1410" s="1941" t="s">
        <v>3727</v>
      </c>
      <c r="B1410" s="1901" t="s">
        <v>2949</v>
      </c>
      <c r="E1410" s="1925">
        <v>0</v>
      </c>
      <c r="G1410" s="1925">
        <v>0</v>
      </c>
      <c r="I1410" s="1927"/>
    </row>
    <row r="1411" spans="1:9" x14ac:dyDescent="0.25">
      <c r="A1411" s="1941">
        <v>200</v>
      </c>
      <c r="B1411" s="1901" t="s">
        <v>49</v>
      </c>
      <c r="E1411" s="1925">
        <v>62051.66</v>
      </c>
      <c r="G1411" s="1925">
        <v>63541</v>
      </c>
      <c r="I1411" s="1927"/>
    </row>
    <row r="1412" spans="1:9" x14ac:dyDescent="0.25">
      <c r="A1412" s="1941">
        <v>2410</v>
      </c>
      <c r="B1412" s="1901" t="s">
        <v>2627</v>
      </c>
      <c r="E1412" s="1925">
        <v>62051.66</v>
      </c>
      <c r="G1412" s="1925">
        <v>63541</v>
      </c>
      <c r="I1412" s="1927"/>
    </row>
    <row r="1413" spans="1:9" x14ac:dyDescent="0.25">
      <c r="A1413" s="1941" t="s">
        <v>3728</v>
      </c>
      <c r="B1413" s="1901" t="s">
        <v>2950</v>
      </c>
      <c r="E1413" s="1925">
        <v>11431.4</v>
      </c>
      <c r="G1413" s="1925">
        <v>11432</v>
      </c>
      <c r="I1413" s="1927"/>
    </row>
    <row r="1414" spans="1:9" x14ac:dyDescent="0.25">
      <c r="A1414" s="1941" t="s">
        <v>3729</v>
      </c>
      <c r="B1414" s="1901" t="s">
        <v>2951</v>
      </c>
      <c r="E1414" s="1925">
        <v>8265.42</v>
      </c>
      <c r="G1414" s="1925">
        <v>8265</v>
      </c>
      <c r="I1414" s="1927"/>
    </row>
    <row r="1415" spans="1:9" x14ac:dyDescent="0.25">
      <c r="A1415" s="1941">
        <v>200</v>
      </c>
      <c r="B1415" s="1901" t="s">
        <v>49</v>
      </c>
      <c r="E1415" s="1925">
        <v>19696.82</v>
      </c>
      <c r="G1415" s="1925">
        <v>19697</v>
      </c>
      <c r="I1415" s="1927"/>
    </row>
    <row r="1416" spans="1:9" x14ac:dyDescent="0.25">
      <c r="A1416" s="1941">
        <v>2520</v>
      </c>
      <c r="B1416" s="1901" t="s">
        <v>463</v>
      </c>
      <c r="E1416" s="1925">
        <v>19696.82</v>
      </c>
      <c r="G1416" s="1925">
        <v>19697</v>
      </c>
      <c r="I1416" s="1927"/>
    </row>
    <row r="1417" spans="1:9" x14ac:dyDescent="0.25">
      <c r="A1417" s="1941" t="s">
        <v>3730</v>
      </c>
      <c r="B1417" s="1901" t="s">
        <v>2952</v>
      </c>
      <c r="E1417" s="1925">
        <v>16220.68</v>
      </c>
      <c r="G1417" s="1925">
        <v>18385</v>
      </c>
      <c r="I1417" s="1927"/>
    </row>
    <row r="1418" spans="1:9" x14ac:dyDescent="0.25">
      <c r="A1418" s="1941" t="s">
        <v>3730</v>
      </c>
      <c r="B1418" s="1901" t="s">
        <v>2953</v>
      </c>
      <c r="E1418" s="1925">
        <v>5602.39</v>
      </c>
      <c r="G1418" s="1925">
        <v>10554</v>
      </c>
      <c r="I1418" s="1927"/>
    </row>
    <row r="1419" spans="1:9" x14ac:dyDescent="0.25">
      <c r="A1419" s="1941" t="s">
        <v>3730</v>
      </c>
      <c r="B1419" s="1901" t="s">
        <v>2954</v>
      </c>
      <c r="E1419" s="1925">
        <v>13606.98</v>
      </c>
      <c r="G1419" s="1925">
        <v>15211</v>
      </c>
      <c r="I1419" s="1927"/>
    </row>
    <row r="1420" spans="1:9" x14ac:dyDescent="0.25">
      <c r="A1420" s="1941" t="s">
        <v>3730</v>
      </c>
      <c r="B1420" s="1901" t="s">
        <v>2955</v>
      </c>
      <c r="E1420" s="1925">
        <v>10697.01</v>
      </c>
      <c r="G1420" s="1925">
        <v>10362</v>
      </c>
      <c r="I1420" s="1927"/>
    </row>
    <row r="1421" spans="1:9" x14ac:dyDescent="0.25">
      <c r="A1421" s="1941" t="s">
        <v>3730</v>
      </c>
      <c r="B1421" s="1901" t="s">
        <v>2956</v>
      </c>
      <c r="E1421" s="1925">
        <v>14931.33</v>
      </c>
      <c r="G1421" s="1925">
        <v>15850</v>
      </c>
      <c r="I1421" s="1927"/>
    </row>
    <row r="1422" spans="1:9" x14ac:dyDescent="0.25">
      <c r="A1422" s="1941" t="s">
        <v>3730</v>
      </c>
      <c r="B1422" s="1901" t="s">
        <v>2957</v>
      </c>
      <c r="E1422" s="1925">
        <v>35261.949999999997</v>
      </c>
      <c r="G1422" s="1925">
        <v>40000</v>
      </c>
      <c r="I1422" s="1927"/>
    </row>
    <row r="1423" spans="1:9" x14ac:dyDescent="0.25">
      <c r="A1423" s="1941" t="s">
        <v>3731</v>
      </c>
      <c r="B1423" s="1901" t="s">
        <v>2958</v>
      </c>
      <c r="E1423" s="1925">
        <v>11900.72</v>
      </c>
      <c r="G1423" s="1925">
        <v>12581</v>
      </c>
      <c r="I1423" s="1927"/>
    </row>
    <row r="1424" spans="1:9" x14ac:dyDescent="0.25">
      <c r="A1424" s="1941" t="s">
        <v>3731</v>
      </c>
      <c r="B1424" s="1901" t="s">
        <v>2959</v>
      </c>
      <c r="E1424" s="1925">
        <v>4051.01</v>
      </c>
      <c r="G1424" s="1925">
        <v>7631</v>
      </c>
      <c r="I1424" s="1927"/>
    </row>
    <row r="1425" spans="1:9" x14ac:dyDescent="0.25">
      <c r="A1425" s="1941" t="s">
        <v>3731</v>
      </c>
      <c r="B1425" s="1901" t="s">
        <v>2960</v>
      </c>
      <c r="E1425" s="1925">
        <v>9838.1200000000008</v>
      </c>
      <c r="G1425" s="1925">
        <v>10276</v>
      </c>
      <c r="I1425" s="1927"/>
    </row>
    <row r="1426" spans="1:9" x14ac:dyDescent="0.25">
      <c r="A1426" s="1941" t="s">
        <v>3731</v>
      </c>
      <c r="B1426" s="1901" t="s">
        <v>2961</v>
      </c>
      <c r="E1426" s="1925">
        <v>7718.44</v>
      </c>
      <c r="G1426" s="1925">
        <v>7069</v>
      </c>
      <c r="I1426" s="1927"/>
    </row>
    <row r="1427" spans="1:9" x14ac:dyDescent="0.25">
      <c r="A1427" s="1941" t="s">
        <v>3731</v>
      </c>
      <c r="B1427" s="1901" t="s">
        <v>2962</v>
      </c>
      <c r="E1427" s="1925">
        <v>10805.17</v>
      </c>
      <c r="G1427" s="1925">
        <v>11460</v>
      </c>
      <c r="I1427" s="1927"/>
    </row>
    <row r="1428" spans="1:9" x14ac:dyDescent="0.25">
      <c r="A1428" s="1941" t="s">
        <v>3731</v>
      </c>
      <c r="B1428" s="1901" t="s">
        <v>2963</v>
      </c>
      <c r="E1428" s="1925">
        <v>31790.25</v>
      </c>
      <c r="G1428" s="1925">
        <v>31000</v>
      </c>
      <c r="I1428" s="1927"/>
    </row>
    <row r="1429" spans="1:9" x14ac:dyDescent="0.25">
      <c r="A1429" s="1941">
        <v>200</v>
      </c>
      <c r="B1429" s="1901" t="s">
        <v>49</v>
      </c>
      <c r="E1429" s="1925">
        <v>172424.05</v>
      </c>
      <c r="G1429" s="1925">
        <v>190379</v>
      </c>
      <c r="I1429" s="1927"/>
    </row>
    <row r="1430" spans="1:9" x14ac:dyDescent="0.25">
      <c r="A1430" s="1941">
        <v>2542</v>
      </c>
      <c r="B1430" s="1901" t="s">
        <v>2772</v>
      </c>
      <c r="E1430" s="1925">
        <v>172424.05</v>
      </c>
      <c r="G1430" s="1925">
        <v>190379</v>
      </c>
      <c r="I1430" s="1927"/>
    </row>
    <row r="1431" spans="1:9" x14ac:dyDescent="0.25">
      <c r="A1431" s="1941" t="s">
        <v>3732</v>
      </c>
      <c r="B1431" s="1901" t="s">
        <v>2964</v>
      </c>
      <c r="E1431" s="1925">
        <v>95301.38</v>
      </c>
      <c r="G1431" s="1925">
        <v>95000</v>
      </c>
      <c r="I1431" s="1927"/>
    </row>
    <row r="1432" spans="1:9" x14ac:dyDescent="0.25">
      <c r="A1432" s="1941" t="s">
        <v>3733</v>
      </c>
      <c r="B1432" s="1901" t="s">
        <v>2965</v>
      </c>
      <c r="E1432" s="1925">
        <v>72168.759999999995</v>
      </c>
      <c r="G1432" s="1925">
        <v>80000</v>
      </c>
      <c r="I1432" s="1927"/>
    </row>
    <row r="1433" spans="1:9" x14ac:dyDescent="0.25">
      <c r="A1433" s="1941">
        <v>200</v>
      </c>
      <c r="B1433" s="1901" t="s">
        <v>49</v>
      </c>
      <c r="E1433" s="1925">
        <v>167470.14000000001</v>
      </c>
      <c r="G1433" s="1925">
        <v>175000</v>
      </c>
      <c r="I1433" s="1927"/>
    </row>
    <row r="1434" spans="1:9" x14ac:dyDescent="0.25">
      <c r="A1434" s="1941">
        <v>2555</v>
      </c>
      <c r="B1434" s="1901" t="s">
        <v>2822</v>
      </c>
      <c r="E1434" s="1925">
        <v>167470.14000000001</v>
      </c>
      <c r="G1434" s="1925">
        <v>175000</v>
      </c>
      <c r="I1434" s="1927"/>
    </row>
    <row r="1435" spans="1:9" x14ac:dyDescent="0.25">
      <c r="A1435" s="1941" t="s">
        <v>3734</v>
      </c>
      <c r="B1435" s="1901" t="s">
        <v>2966</v>
      </c>
      <c r="E1435" s="1925">
        <v>16539.86</v>
      </c>
      <c r="G1435" s="1925">
        <v>17500</v>
      </c>
      <c r="I1435" s="1927"/>
    </row>
    <row r="1436" spans="1:9" x14ac:dyDescent="0.25">
      <c r="A1436" s="1941" t="s">
        <v>3735</v>
      </c>
      <c r="B1436" s="1901" t="s">
        <v>2967</v>
      </c>
      <c r="E1436" s="1925">
        <v>14275.24</v>
      </c>
      <c r="G1436" s="1925">
        <v>14000</v>
      </c>
      <c r="I1436" s="1927"/>
    </row>
    <row r="1437" spans="1:9" x14ac:dyDescent="0.25">
      <c r="A1437" s="1941">
        <v>200</v>
      </c>
      <c r="B1437" s="1901" t="s">
        <v>49</v>
      </c>
      <c r="E1437" s="1925">
        <v>30815.1</v>
      </c>
      <c r="G1437" s="1925">
        <v>31500</v>
      </c>
      <c r="I1437" s="1927"/>
    </row>
    <row r="1438" spans="1:9" x14ac:dyDescent="0.25">
      <c r="A1438" s="1941">
        <v>2560</v>
      </c>
      <c r="B1438" s="1901" t="s">
        <v>100</v>
      </c>
      <c r="E1438" s="1925">
        <v>30815.1</v>
      </c>
      <c r="G1438" s="1925">
        <v>31500</v>
      </c>
      <c r="I1438" s="1927"/>
    </row>
    <row r="1439" spans="1:9" x14ac:dyDescent="0.25">
      <c r="A1439" s="1941" t="s">
        <v>3736</v>
      </c>
      <c r="B1439" s="1901" t="s">
        <v>2968</v>
      </c>
      <c r="E1439" s="1925">
        <v>128.78</v>
      </c>
      <c r="G1439" s="1925">
        <v>250</v>
      </c>
      <c r="I1439" s="1927"/>
    </row>
    <row r="1440" spans="1:9" x14ac:dyDescent="0.25">
      <c r="A1440" s="1941" t="s">
        <v>3737</v>
      </c>
      <c r="B1440" s="1901" t="s">
        <v>2969</v>
      </c>
      <c r="E1440" s="1925">
        <v>105.19</v>
      </c>
      <c r="G1440" s="1925">
        <v>200</v>
      </c>
      <c r="I1440" s="1927"/>
    </row>
    <row r="1441" spans="1:9" x14ac:dyDescent="0.25">
      <c r="A1441" s="1941" t="s">
        <v>3738</v>
      </c>
      <c r="B1441" s="1901" t="s">
        <v>2970</v>
      </c>
      <c r="E1441" s="1925">
        <v>27.55</v>
      </c>
      <c r="G1441" s="1925">
        <v>25</v>
      </c>
      <c r="I1441" s="1927"/>
    </row>
    <row r="1442" spans="1:9" x14ac:dyDescent="0.25">
      <c r="A1442" s="1941">
        <v>200</v>
      </c>
      <c r="B1442" s="1901" t="s">
        <v>49</v>
      </c>
      <c r="E1442" s="1925">
        <v>261.52</v>
      </c>
      <c r="G1442" s="1925">
        <v>475</v>
      </c>
      <c r="I1442" s="1927"/>
    </row>
    <row r="1443" spans="1:9" x14ac:dyDescent="0.25">
      <c r="A1443" s="1941">
        <v>2640</v>
      </c>
      <c r="B1443" s="1901" t="s">
        <v>403</v>
      </c>
      <c r="E1443" s="1925">
        <v>261.52</v>
      </c>
      <c r="G1443" s="1925">
        <v>475</v>
      </c>
      <c r="I1443" s="1927"/>
    </row>
    <row r="1444" spans="1:9" x14ac:dyDescent="0.25">
      <c r="A1444" s="1941">
        <v>2000</v>
      </c>
      <c r="B1444" s="1901" t="s">
        <v>457</v>
      </c>
      <c r="E1444" s="1925">
        <v>568841.11</v>
      </c>
      <c r="G1444" s="1925">
        <v>598703</v>
      </c>
      <c r="I1444" s="1927"/>
    </row>
    <row r="1445" spans="1:9" x14ac:dyDescent="0.25">
      <c r="A1445" s="1941">
        <v>5</v>
      </c>
      <c r="B1445" s="1901" t="s">
        <v>2185</v>
      </c>
      <c r="E1445" s="1925">
        <v>868258.63</v>
      </c>
      <c r="G1445" s="1925">
        <v>916102</v>
      </c>
      <c r="I1445" s="1927"/>
    </row>
    <row r="1446" spans="1:9" x14ac:dyDescent="0.25">
      <c r="A1446" s="1941" t="s">
        <v>3750</v>
      </c>
      <c r="B1446" s="1901" t="s">
        <v>2971</v>
      </c>
      <c r="E1446" s="1925">
        <v>750000</v>
      </c>
      <c r="G1446" s="1925">
        <v>750000</v>
      </c>
      <c r="I1446" s="1927"/>
    </row>
    <row r="1447" spans="1:9" x14ac:dyDescent="0.25">
      <c r="A1447" s="1941">
        <v>600</v>
      </c>
      <c r="B1447" s="1901" t="s">
        <v>1096</v>
      </c>
      <c r="E1447" s="1925">
        <v>750000</v>
      </c>
      <c r="G1447" s="1925">
        <v>750000</v>
      </c>
      <c r="I1447" s="1927"/>
    </row>
    <row r="1448" spans="1:9" x14ac:dyDescent="0.25">
      <c r="A1448" s="1941">
        <v>8110</v>
      </c>
      <c r="B1448" s="1901" t="s">
        <v>2972</v>
      </c>
      <c r="E1448" s="1925">
        <v>750000</v>
      </c>
      <c r="G1448" s="1925">
        <v>750000</v>
      </c>
      <c r="I1448" s="1927"/>
    </row>
    <row r="1449" spans="1:9" x14ac:dyDescent="0.25">
      <c r="A1449" s="1941" t="s">
        <v>3751</v>
      </c>
      <c r="B1449" s="1901" t="s">
        <v>2973</v>
      </c>
      <c r="E1449" s="1925">
        <v>0</v>
      </c>
      <c r="G1449" s="1925">
        <v>0</v>
      </c>
      <c r="I1449" s="1927"/>
    </row>
    <row r="1450" spans="1:9" x14ac:dyDescent="0.25">
      <c r="A1450" s="1941">
        <v>600</v>
      </c>
      <c r="B1450" s="1901" t="s">
        <v>1096</v>
      </c>
      <c r="E1450" s="1925">
        <v>0</v>
      </c>
      <c r="G1450" s="1925">
        <v>0</v>
      </c>
      <c r="I1450" s="1927"/>
    </row>
    <row r="1451" spans="1:9" x14ac:dyDescent="0.25">
      <c r="A1451" s="1941">
        <v>8130</v>
      </c>
      <c r="B1451" s="1901" t="s">
        <v>2974</v>
      </c>
      <c r="E1451" s="1925">
        <v>0</v>
      </c>
      <c r="G1451" s="1925">
        <v>0</v>
      </c>
      <c r="I1451" s="1927"/>
    </row>
    <row r="1452" spans="1:9" x14ac:dyDescent="0.25">
      <c r="A1452" s="1941">
        <v>8000</v>
      </c>
      <c r="B1452" s="1901" t="s">
        <v>2975</v>
      </c>
      <c r="E1452" s="1925">
        <v>750000</v>
      </c>
      <c r="G1452" s="1925">
        <v>750000</v>
      </c>
      <c r="I1452" s="1927"/>
    </row>
    <row r="1453" spans="1:9" x14ac:dyDescent="0.25">
      <c r="A1453" s="1941">
        <v>7</v>
      </c>
      <c r="B1453" s="1901" t="s">
        <v>2188</v>
      </c>
      <c r="E1453" s="1925">
        <v>750000</v>
      </c>
      <c r="G1453" s="1925">
        <v>750000</v>
      </c>
      <c r="I1453" s="1927"/>
    </row>
    <row r="1454" spans="1:9" x14ac:dyDescent="0.25">
      <c r="A1454" s="1941" t="s">
        <v>3792</v>
      </c>
      <c r="B1454" s="1901" t="s">
        <v>2976</v>
      </c>
      <c r="E1454" s="1925">
        <v>250</v>
      </c>
      <c r="G1454" s="1925">
        <v>500</v>
      </c>
      <c r="I1454" s="1927"/>
    </row>
    <row r="1455" spans="1:9" x14ac:dyDescent="0.25">
      <c r="A1455" s="1941">
        <v>100</v>
      </c>
      <c r="B1455" s="1901" t="s">
        <v>194</v>
      </c>
      <c r="E1455" s="1925">
        <v>250</v>
      </c>
      <c r="G1455" s="1925">
        <v>500</v>
      </c>
      <c r="I1455" s="1927"/>
    </row>
    <row r="1456" spans="1:9" x14ac:dyDescent="0.25">
      <c r="A1456" s="1941">
        <v>2367</v>
      </c>
      <c r="B1456" s="1901" t="s">
        <v>2391</v>
      </c>
      <c r="E1456" s="1925">
        <v>250</v>
      </c>
      <c r="G1456" s="1925">
        <v>500</v>
      </c>
      <c r="I1456" s="1927"/>
    </row>
    <row r="1457" spans="1:9" x14ac:dyDescent="0.25">
      <c r="A1457" s="1941">
        <v>1000</v>
      </c>
      <c r="B1457" s="1901" t="s">
        <v>456</v>
      </c>
      <c r="E1457" s="1925">
        <v>250</v>
      </c>
      <c r="G1457" s="1925">
        <v>500</v>
      </c>
      <c r="I1457" s="1927"/>
    </row>
    <row r="1458" spans="1:9" x14ac:dyDescent="0.25">
      <c r="A1458" s="1941" t="s">
        <v>3793</v>
      </c>
      <c r="B1458" s="1901" t="s">
        <v>2977</v>
      </c>
      <c r="E1458" s="1925">
        <v>9166.67</v>
      </c>
      <c r="G1458" s="1925">
        <v>10000</v>
      </c>
      <c r="I1458" s="1927"/>
    </row>
    <row r="1459" spans="1:9" x14ac:dyDescent="0.25">
      <c r="A1459" s="1941" t="s">
        <v>3793</v>
      </c>
      <c r="B1459" s="1901" t="s">
        <v>2978</v>
      </c>
      <c r="E1459" s="1925">
        <v>12592.1</v>
      </c>
      <c r="G1459" s="1925">
        <v>12669</v>
      </c>
      <c r="I1459" s="1927"/>
    </row>
    <row r="1460" spans="1:9" x14ac:dyDescent="0.25">
      <c r="A1460" s="1941" t="s">
        <v>3793</v>
      </c>
      <c r="B1460" s="1901" t="s">
        <v>2979</v>
      </c>
      <c r="E1460" s="1925">
        <v>0</v>
      </c>
      <c r="G1460" s="1925">
        <v>0</v>
      </c>
      <c r="I1460" s="1927"/>
    </row>
    <row r="1461" spans="1:9" x14ac:dyDescent="0.25">
      <c r="A1461" s="1941">
        <v>100</v>
      </c>
      <c r="B1461" s="1901" t="s">
        <v>194</v>
      </c>
      <c r="E1461" s="1925">
        <v>21758.77</v>
      </c>
      <c r="G1461" s="1925">
        <v>22669</v>
      </c>
      <c r="I1461" s="1927"/>
    </row>
    <row r="1462" spans="1:9" x14ac:dyDescent="0.25">
      <c r="A1462" s="1941">
        <v>2112</v>
      </c>
      <c r="B1462" s="1901" t="s">
        <v>2408</v>
      </c>
      <c r="E1462" s="1925">
        <v>21758.77</v>
      </c>
      <c r="G1462" s="1925">
        <v>22669</v>
      </c>
      <c r="I1462" s="1927"/>
    </row>
    <row r="1463" spans="1:9" x14ac:dyDescent="0.25">
      <c r="A1463" s="1941" t="s">
        <v>3793</v>
      </c>
      <c r="B1463" s="1901" t="s">
        <v>2980</v>
      </c>
      <c r="E1463" s="1925">
        <v>11389.78</v>
      </c>
      <c r="G1463" s="1925">
        <v>10229</v>
      </c>
      <c r="I1463" s="1927"/>
    </row>
    <row r="1464" spans="1:9" x14ac:dyDescent="0.25">
      <c r="A1464" s="1941">
        <v>100</v>
      </c>
      <c r="B1464" s="1901" t="s">
        <v>194</v>
      </c>
      <c r="E1464" s="1925">
        <v>11389.78</v>
      </c>
      <c r="G1464" s="1925">
        <v>10229</v>
      </c>
      <c r="I1464" s="1927"/>
    </row>
    <row r="1465" spans="1:9" x14ac:dyDescent="0.25">
      <c r="A1465" s="1941" t="s">
        <v>3794</v>
      </c>
      <c r="B1465" s="1901" t="s">
        <v>2981</v>
      </c>
      <c r="E1465" s="1925">
        <v>0</v>
      </c>
      <c r="G1465" s="1925">
        <v>250</v>
      </c>
      <c r="I1465" s="1927"/>
    </row>
    <row r="1466" spans="1:9" x14ac:dyDescent="0.25">
      <c r="A1466" s="1941">
        <v>300</v>
      </c>
      <c r="B1466" s="1901" t="s">
        <v>1100</v>
      </c>
      <c r="E1466" s="1925">
        <v>0</v>
      </c>
      <c r="G1466" s="1925">
        <v>250</v>
      </c>
      <c r="I1466" s="1927"/>
    </row>
    <row r="1467" spans="1:9" x14ac:dyDescent="0.25">
      <c r="A1467" s="1941" t="s">
        <v>3795</v>
      </c>
      <c r="B1467" s="1901" t="s">
        <v>2982</v>
      </c>
      <c r="E1467" s="1925">
        <v>173</v>
      </c>
      <c r="G1467" s="1925">
        <v>1500</v>
      </c>
      <c r="I1467" s="1927"/>
    </row>
    <row r="1468" spans="1:9" x14ac:dyDescent="0.25">
      <c r="A1468" s="1941">
        <v>400</v>
      </c>
      <c r="B1468" s="1901" t="s">
        <v>2256</v>
      </c>
      <c r="E1468" s="1925">
        <v>173</v>
      </c>
      <c r="G1468" s="1925">
        <v>1500</v>
      </c>
      <c r="I1468" s="1927"/>
    </row>
    <row r="1469" spans="1:9" x14ac:dyDescent="0.25">
      <c r="A1469" s="1941" t="s">
        <v>3796</v>
      </c>
      <c r="B1469" s="1901" t="s">
        <v>2983</v>
      </c>
      <c r="E1469" s="1925">
        <v>0</v>
      </c>
      <c r="G1469" s="1925">
        <v>500</v>
      </c>
      <c r="I1469" s="1927"/>
    </row>
    <row r="1470" spans="1:9" x14ac:dyDescent="0.25">
      <c r="A1470" s="1941">
        <v>500</v>
      </c>
      <c r="B1470" s="1901" t="s">
        <v>1095</v>
      </c>
      <c r="E1470" s="1925">
        <v>0</v>
      </c>
      <c r="G1470" s="1925">
        <v>500</v>
      </c>
      <c r="I1470" s="1927"/>
    </row>
    <row r="1471" spans="1:9" x14ac:dyDescent="0.25">
      <c r="A1471" s="1941">
        <v>2134</v>
      </c>
      <c r="B1471" s="1901" t="s">
        <v>2445</v>
      </c>
      <c r="E1471" s="1925">
        <v>11562.78</v>
      </c>
      <c r="G1471" s="1925">
        <v>12479</v>
      </c>
      <c r="I1471" s="1927"/>
    </row>
    <row r="1472" spans="1:9" x14ac:dyDescent="0.25">
      <c r="A1472" s="1941" t="s">
        <v>3793</v>
      </c>
      <c r="B1472" s="1901" t="s">
        <v>2984</v>
      </c>
      <c r="E1472" s="1925">
        <v>30580.21</v>
      </c>
      <c r="G1472" s="1925">
        <v>34000</v>
      </c>
      <c r="I1472" s="1927"/>
    </row>
    <row r="1473" spans="1:9" x14ac:dyDescent="0.25">
      <c r="A1473" s="1941">
        <v>100</v>
      </c>
      <c r="B1473" s="1901" t="s">
        <v>194</v>
      </c>
      <c r="E1473" s="1925">
        <v>30580.21</v>
      </c>
      <c r="G1473" s="1925">
        <v>34000</v>
      </c>
      <c r="I1473" s="1927"/>
    </row>
    <row r="1474" spans="1:9" x14ac:dyDescent="0.25">
      <c r="A1474" s="1941" t="s">
        <v>3797</v>
      </c>
      <c r="B1474" s="1901" t="s">
        <v>2985</v>
      </c>
      <c r="E1474" s="1925">
        <v>0</v>
      </c>
      <c r="G1474" s="1925">
        <v>0</v>
      </c>
      <c r="I1474" s="1927"/>
    </row>
    <row r="1475" spans="1:9" x14ac:dyDescent="0.25">
      <c r="A1475" s="1941" t="s">
        <v>3798</v>
      </c>
      <c r="B1475" s="1901" t="s">
        <v>2986</v>
      </c>
      <c r="E1475" s="1925">
        <v>0</v>
      </c>
      <c r="G1475" s="1925">
        <v>0</v>
      </c>
      <c r="I1475" s="1927"/>
    </row>
    <row r="1476" spans="1:9" x14ac:dyDescent="0.25">
      <c r="A1476" s="1941">
        <v>200</v>
      </c>
      <c r="B1476" s="1901" t="s">
        <v>49</v>
      </c>
      <c r="E1476" s="1925">
        <v>0</v>
      </c>
      <c r="G1476" s="1925">
        <v>0</v>
      </c>
      <c r="I1476" s="1927"/>
    </row>
    <row r="1477" spans="1:9" x14ac:dyDescent="0.25">
      <c r="A1477" s="1941" t="s">
        <v>3795</v>
      </c>
      <c r="B1477" s="1901" t="s">
        <v>2987</v>
      </c>
      <c r="E1477" s="1925">
        <v>0</v>
      </c>
      <c r="G1477" s="1925">
        <v>200</v>
      </c>
      <c r="I1477" s="1927"/>
    </row>
    <row r="1478" spans="1:9" x14ac:dyDescent="0.25">
      <c r="A1478" s="1941">
        <v>400</v>
      </c>
      <c r="B1478" s="1901" t="s">
        <v>2256</v>
      </c>
      <c r="E1478" s="1925">
        <v>0</v>
      </c>
      <c r="G1478" s="1925">
        <v>200</v>
      </c>
      <c r="I1478" s="1927"/>
    </row>
    <row r="1479" spans="1:9" x14ac:dyDescent="0.25">
      <c r="A1479" s="1941">
        <v>2367</v>
      </c>
      <c r="B1479" s="1901" t="s">
        <v>2910</v>
      </c>
      <c r="E1479" s="1925">
        <v>30580.21</v>
      </c>
      <c r="G1479" s="1925">
        <v>34200</v>
      </c>
      <c r="I1479" s="1927"/>
    </row>
    <row r="1480" spans="1:9" x14ac:dyDescent="0.25">
      <c r="A1480" s="1941" t="s">
        <v>3787</v>
      </c>
      <c r="B1480" s="1901" t="s">
        <v>2545</v>
      </c>
      <c r="E1480" s="1925">
        <v>0</v>
      </c>
      <c r="G1480" s="1925">
        <v>12500</v>
      </c>
      <c r="I1480" s="1927"/>
    </row>
    <row r="1481" spans="1:9" x14ac:dyDescent="0.25">
      <c r="A1481" s="1941" t="s">
        <v>3788</v>
      </c>
      <c r="B1481" s="1901" t="s">
        <v>2988</v>
      </c>
      <c r="E1481" s="1925">
        <v>0</v>
      </c>
      <c r="G1481" s="1925">
        <v>750</v>
      </c>
      <c r="I1481" s="1927"/>
    </row>
    <row r="1482" spans="1:9" x14ac:dyDescent="0.25">
      <c r="A1482" s="1941" t="s">
        <v>3789</v>
      </c>
      <c r="B1482" s="1901" t="s">
        <v>2989</v>
      </c>
      <c r="E1482" s="1925">
        <v>1000</v>
      </c>
      <c r="G1482" s="1925">
        <v>1000</v>
      </c>
      <c r="I1482" s="1927"/>
    </row>
    <row r="1483" spans="1:9" x14ac:dyDescent="0.25">
      <c r="A1483" s="1941" t="s">
        <v>3790</v>
      </c>
      <c r="B1483" s="1901" t="s">
        <v>2990</v>
      </c>
      <c r="E1483" s="1925">
        <v>166793</v>
      </c>
      <c r="G1483" s="1925">
        <v>165000</v>
      </c>
      <c r="I1483" s="1927"/>
    </row>
    <row r="1484" spans="1:9" x14ac:dyDescent="0.25">
      <c r="A1484" s="1941">
        <v>300</v>
      </c>
      <c r="B1484" s="1901" t="s">
        <v>1100</v>
      </c>
      <c r="E1484" s="1925">
        <v>167793</v>
      </c>
      <c r="G1484" s="1925">
        <v>179250</v>
      </c>
      <c r="I1484" s="1927"/>
    </row>
    <row r="1485" spans="1:9" x14ac:dyDescent="0.25">
      <c r="A1485" s="1941" t="s">
        <v>3791</v>
      </c>
      <c r="B1485" s="1901" t="s">
        <v>2991</v>
      </c>
      <c r="E1485" s="1925">
        <v>779.69</v>
      </c>
      <c r="G1485" s="1925">
        <v>750</v>
      </c>
      <c r="I1485" s="1927"/>
    </row>
    <row r="1486" spans="1:9" x14ac:dyDescent="0.25">
      <c r="A1486" s="1941">
        <v>400</v>
      </c>
      <c r="B1486" s="1901" t="s">
        <v>2256</v>
      </c>
      <c r="E1486" s="1925">
        <v>779.69</v>
      </c>
      <c r="G1486" s="1925">
        <v>750</v>
      </c>
      <c r="I1486" s="1927"/>
    </row>
    <row r="1487" spans="1:9" x14ac:dyDescent="0.25">
      <c r="A1487" s="1941">
        <v>2362</v>
      </c>
      <c r="B1487" s="1901" t="s">
        <v>817</v>
      </c>
      <c r="E1487" s="1925">
        <v>168572.69</v>
      </c>
      <c r="G1487" s="1925">
        <v>180000</v>
      </c>
      <c r="I1487" s="1927"/>
    </row>
    <row r="1488" spans="1:9" x14ac:dyDescent="0.25">
      <c r="A1488" s="1941" t="s">
        <v>3793</v>
      </c>
      <c r="B1488" s="1901" t="s">
        <v>2992</v>
      </c>
      <c r="E1488" s="1925">
        <v>14106.96</v>
      </c>
      <c r="G1488" s="1925">
        <v>14107</v>
      </c>
      <c r="I1488" s="1927"/>
    </row>
    <row r="1489" spans="1:9" x14ac:dyDescent="0.25">
      <c r="A1489" s="1941">
        <v>100</v>
      </c>
      <c r="B1489" s="1901" t="s">
        <v>194</v>
      </c>
      <c r="E1489" s="1925">
        <v>14106.96</v>
      </c>
      <c r="G1489" s="1925">
        <v>14107</v>
      </c>
      <c r="I1489" s="1927"/>
    </row>
    <row r="1490" spans="1:9" x14ac:dyDescent="0.25">
      <c r="A1490" s="1941">
        <v>2321</v>
      </c>
      <c r="B1490" s="1901" t="s">
        <v>2570</v>
      </c>
      <c r="E1490" s="1925">
        <v>14106.96</v>
      </c>
      <c r="G1490" s="1925">
        <v>14107</v>
      </c>
      <c r="I1490" s="1927"/>
    </row>
    <row r="1491" spans="1:9" x14ac:dyDescent="0.25">
      <c r="A1491" s="1941" t="s">
        <v>3793</v>
      </c>
      <c r="B1491" s="1901" t="s">
        <v>2571</v>
      </c>
      <c r="E1491" s="1925">
        <v>17431.82</v>
      </c>
      <c r="G1491" s="1925">
        <v>17538</v>
      </c>
      <c r="I1491" s="1927"/>
    </row>
    <row r="1492" spans="1:9" x14ac:dyDescent="0.25">
      <c r="A1492" s="1941" t="s">
        <v>3793</v>
      </c>
      <c r="B1492" s="1901" t="s">
        <v>2572</v>
      </c>
      <c r="E1492" s="1925">
        <v>16752.66</v>
      </c>
      <c r="G1492" s="1925">
        <v>16855</v>
      </c>
      <c r="I1492" s="1927"/>
    </row>
    <row r="1493" spans="1:9" x14ac:dyDescent="0.25">
      <c r="A1493" s="1941" t="s">
        <v>3793</v>
      </c>
      <c r="B1493" s="1901" t="s">
        <v>2573</v>
      </c>
      <c r="E1493" s="1925">
        <v>18319.939999999999</v>
      </c>
      <c r="G1493" s="1925">
        <v>18432</v>
      </c>
      <c r="I1493" s="1927"/>
    </row>
    <row r="1494" spans="1:9" x14ac:dyDescent="0.25">
      <c r="A1494" s="1941" t="s">
        <v>3793</v>
      </c>
      <c r="B1494" s="1901" t="s">
        <v>2574</v>
      </c>
      <c r="E1494" s="1925">
        <v>17064.47</v>
      </c>
      <c r="G1494" s="1925">
        <v>17169</v>
      </c>
      <c r="I1494" s="1927"/>
    </row>
    <row r="1495" spans="1:9" x14ac:dyDescent="0.25">
      <c r="A1495" s="1941" t="s">
        <v>3793</v>
      </c>
      <c r="B1495" s="1901" t="s">
        <v>2575</v>
      </c>
      <c r="E1495" s="1925">
        <v>16344.04</v>
      </c>
      <c r="G1495" s="1925">
        <v>16444</v>
      </c>
      <c r="I1495" s="1927"/>
    </row>
    <row r="1496" spans="1:9" x14ac:dyDescent="0.25">
      <c r="A1496" s="1941">
        <v>100</v>
      </c>
      <c r="B1496" s="1901" t="s">
        <v>194</v>
      </c>
      <c r="E1496" s="1925">
        <v>85912.93</v>
      </c>
      <c r="G1496" s="1925">
        <v>86438</v>
      </c>
      <c r="I1496" s="1927"/>
    </row>
    <row r="1497" spans="1:9" x14ac:dyDescent="0.25">
      <c r="A1497" s="1941" t="s">
        <v>3799</v>
      </c>
      <c r="B1497" s="1901" t="s">
        <v>2993</v>
      </c>
      <c r="E1497" s="1925">
        <v>1208.8699999999999</v>
      </c>
      <c r="G1497" s="1925">
        <v>1200</v>
      </c>
      <c r="I1497" s="1927"/>
    </row>
    <row r="1498" spans="1:9" x14ac:dyDescent="0.25">
      <c r="A1498" s="1941">
        <v>300</v>
      </c>
      <c r="B1498" s="1901" t="s">
        <v>1100</v>
      </c>
      <c r="E1498" s="1925">
        <v>1208.8699999999999</v>
      </c>
      <c r="G1498" s="1925">
        <v>1200</v>
      </c>
      <c r="I1498" s="1927"/>
    </row>
    <row r="1499" spans="1:9" x14ac:dyDescent="0.25">
      <c r="A1499" s="1941">
        <v>2367</v>
      </c>
      <c r="B1499" s="1901" t="s">
        <v>2627</v>
      </c>
      <c r="E1499" s="1925">
        <v>87121.8</v>
      </c>
      <c r="G1499" s="1925">
        <v>87638</v>
      </c>
      <c r="I1499" s="1927"/>
    </row>
    <row r="1500" spans="1:9" x14ac:dyDescent="0.25">
      <c r="A1500" s="1941" t="s">
        <v>3807</v>
      </c>
      <c r="B1500" s="1901" t="s">
        <v>2628</v>
      </c>
      <c r="E1500" s="1925">
        <v>7256.94</v>
      </c>
      <c r="G1500" s="1925">
        <v>7310</v>
      </c>
      <c r="I1500" s="1927"/>
    </row>
    <row r="1501" spans="1:9" x14ac:dyDescent="0.25">
      <c r="A1501" s="1941">
        <v>100</v>
      </c>
      <c r="B1501" s="1901" t="s">
        <v>194</v>
      </c>
      <c r="E1501" s="1925">
        <v>7256.94</v>
      </c>
      <c r="G1501" s="1925">
        <v>7310</v>
      </c>
      <c r="I1501" s="1927"/>
    </row>
    <row r="1502" spans="1:9" x14ac:dyDescent="0.25">
      <c r="A1502" s="1941">
        <v>2520</v>
      </c>
      <c r="B1502" s="1901" t="s">
        <v>463</v>
      </c>
      <c r="E1502" s="1925">
        <v>7256.94</v>
      </c>
      <c r="G1502" s="1925">
        <v>7310</v>
      </c>
      <c r="I1502" s="1927"/>
    </row>
    <row r="1503" spans="1:9" x14ac:dyDescent="0.25">
      <c r="A1503" s="1941" t="s">
        <v>3800</v>
      </c>
      <c r="B1503" s="1901" t="s">
        <v>2994</v>
      </c>
      <c r="E1503" s="1925">
        <v>14264.4</v>
      </c>
      <c r="G1503" s="1925">
        <v>14369</v>
      </c>
      <c r="I1503" s="1927"/>
    </row>
    <row r="1504" spans="1:9" x14ac:dyDescent="0.25">
      <c r="A1504" s="1941" t="s">
        <v>3801</v>
      </c>
      <c r="B1504" s="1901" t="s">
        <v>2995</v>
      </c>
      <c r="E1504" s="1925">
        <v>32683.15</v>
      </c>
      <c r="G1504" s="1925">
        <v>32369</v>
      </c>
      <c r="I1504" s="1927"/>
    </row>
    <row r="1505" spans="1:9" x14ac:dyDescent="0.25">
      <c r="A1505" s="1941" t="s">
        <v>3802</v>
      </c>
      <c r="B1505" s="1901" t="s">
        <v>2996</v>
      </c>
      <c r="E1505" s="1925">
        <v>57910.38</v>
      </c>
      <c r="G1505" s="1925">
        <v>62981</v>
      </c>
      <c r="I1505" s="1927"/>
    </row>
    <row r="1506" spans="1:9" x14ac:dyDescent="0.25">
      <c r="A1506" s="1941">
        <v>100</v>
      </c>
      <c r="B1506" s="1901" t="s">
        <v>194</v>
      </c>
      <c r="E1506" s="1925">
        <v>104857.93</v>
      </c>
      <c r="G1506" s="1925">
        <v>109719</v>
      </c>
      <c r="I1506" s="1927"/>
    </row>
    <row r="1507" spans="1:9" x14ac:dyDescent="0.25">
      <c r="A1507" s="1941" t="s">
        <v>3797</v>
      </c>
      <c r="B1507" s="1901" t="s">
        <v>2997</v>
      </c>
      <c r="E1507" s="1925">
        <v>478.79</v>
      </c>
      <c r="G1507" s="1925">
        <v>0</v>
      </c>
      <c r="I1507" s="1927"/>
    </row>
    <row r="1508" spans="1:9" x14ac:dyDescent="0.25">
      <c r="A1508" s="1941" t="s">
        <v>3798</v>
      </c>
      <c r="B1508" s="1901" t="s">
        <v>2998</v>
      </c>
      <c r="E1508" s="1925">
        <v>3.43</v>
      </c>
      <c r="G1508" s="1925">
        <v>0</v>
      </c>
      <c r="I1508" s="1927"/>
    </row>
    <row r="1509" spans="1:9" x14ac:dyDescent="0.25">
      <c r="A1509" s="1941">
        <v>200</v>
      </c>
      <c r="B1509" s="1901" t="s">
        <v>49</v>
      </c>
      <c r="E1509" s="1925">
        <v>482.22</v>
      </c>
      <c r="G1509" s="1925">
        <v>0</v>
      </c>
      <c r="I1509" s="1927"/>
    </row>
    <row r="1510" spans="1:9" x14ac:dyDescent="0.25">
      <c r="A1510" s="1941" t="s">
        <v>3803</v>
      </c>
      <c r="B1510" s="1901" t="s">
        <v>2999</v>
      </c>
      <c r="E1510" s="1925">
        <v>17023.41</v>
      </c>
      <c r="G1510" s="1925">
        <v>22500</v>
      </c>
      <c r="I1510" s="1927"/>
    </row>
    <row r="1511" spans="1:9" x14ac:dyDescent="0.25">
      <c r="A1511" s="1941" t="s">
        <v>3804</v>
      </c>
      <c r="B1511" s="1901" t="s">
        <v>3000</v>
      </c>
      <c r="E1511" s="1925">
        <v>54424</v>
      </c>
      <c r="G1511" s="1925">
        <v>51985</v>
      </c>
      <c r="I1511" s="1927"/>
    </row>
    <row r="1512" spans="1:9" x14ac:dyDescent="0.25">
      <c r="A1512" s="1941">
        <v>300</v>
      </c>
      <c r="B1512" s="1901" t="s">
        <v>1100</v>
      </c>
      <c r="E1512" s="1925">
        <v>71447.41</v>
      </c>
      <c r="G1512" s="1925">
        <v>74485</v>
      </c>
      <c r="I1512" s="1927"/>
    </row>
    <row r="1513" spans="1:9" x14ac:dyDescent="0.25">
      <c r="A1513" s="1941" t="s">
        <v>3805</v>
      </c>
      <c r="B1513" s="1901" t="s">
        <v>3001</v>
      </c>
      <c r="E1513" s="1925">
        <v>8776.42</v>
      </c>
      <c r="G1513" s="1925">
        <v>7500</v>
      </c>
      <c r="I1513" s="1927"/>
    </row>
    <row r="1514" spans="1:9" x14ac:dyDescent="0.25">
      <c r="A1514" s="1941">
        <v>400</v>
      </c>
      <c r="B1514" s="1901" t="s">
        <v>2256</v>
      </c>
      <c r="E1514" s="1925">
        <v>8776.42</v>
      </c>
      <c r="G1514" s="1925">
        <v>7500</v>
      </c>
      <c r="I1514" s="1927"/>
    </row>
    <row r="1515" spans="1:9" x14ac:dyDescent="0.25">
      <c r="A1515" s="1941">
        <v>2542</v>
      </c>
      <c r="B1515" s="1901" t="s">
        <v>2772</v>
      </c>
      <c r="E1515" s="1925">
        <v>185563.98</v>
      </c>
      <c r="G1515" s="1925">
        <v>191704</v>
      </c>
      <c r="I1515" s="1927"/>
    </row>
    <row r="1516" spans="1:9" x14ac:dyDescent="0.25">
      <c r="A1516" s="1941">
        <v>2000</v>
      </c>
      <c r="B1516" s="1901" t="s">
        <v>457</v>
      </c>
      <c r="E1516" s="1925">
        <v>526524.13</v>
      </c>
      <c r="G1516" s="1925">
        <v>550107</v>
      </c>
      <c r="I1516" s="1927"/>
    </row>
    <row r="1517" spans="1:9" x14ac:dyDescent="0.25">
      <c r="A1517" s="1941">
        <v>8</v>
      </c>
      <c r="B1517" s="1901" t="s">
        <v>2190</v>
      </c>
      <c r="E1517" s="1925">
        <v>526774.13</v>
      </c>
      <c r="G1517" s="1925">
        <v>550607</v>
      </c>
      <c r="I1517" s="1927"/>
    </row>
    <row r="1518" spans="1:9" x14ac:dyDescent="0.25">
      <c r="A1518" s="1941" t="s">
        <v>3758</v>
      </c>
      <c r="B1518" s="1901" t="s">
        <v>3002</v>
      </c>
      <c r="E1518" s="1925">
        <v>0</v>
      </c>
      <c r="G1518" s="1925">
        <v>500</v>
      </c>
      <c r="I1518" s="1927"/>
    </row>
    <row r="1519" spans="1:9" x14ac:dyDescent="0.25">
      <c r="A1519" s="1941" t="s">
        <v>3759</v>
      </c>
      <c r="B1519" s="1901" t="s">
        <v>3003</v>
      </c>
      <c r="E1519" s="1925">
        <v>0</v>
      </c>
      <c r="G1519" s="1925">
        <v>500</v>
      </c>
      <c r="I1519" s="1927"/>
    </row>
    <row r="1520" spans="1:9" x14ac:dyDescent="0.25">
      <c r="A1520" s="1941">
        <v>300</v>
      </c>
      <c r="B1520" s="1901" t="s">
        <v>1100</v>
      </c>
      <c r="E1520" s="1925">
        <v>0</v>
      </c>
      <c r="G1520" s="1925">
        <v>1000</v>
      </c>
      <c r="I1520" s="1927"/>
    </row>
    <row r="1521" spans="1:9" x14ac:dyDescent="0.25">
      <c r="A1521" s="1941" t="s">
        <v>3760</v>
      </c>
      <c r="B1521" s="1901" t="s">
        <v>3004</v>
      </c>
      <c r="E1521" s="1925">
        <v>0</v>
      </c>
      <c r="G1521" s="1925">
        <v>500</v>
      </c>
      <c r="I1521" s="1927"/>
    </row>
    <row r="1522" spans="1:9" x14ac:dyDescent="0.25">
      <c r="A1522" s="1941">
        <v>400</v>
      </c>
      <c r="B1522" s="1901" t="s">
        <v>2256</v>
      </c>
      <c r="E1522" s="1925">
        <v>0</v>
      </c>
      <c r="G1522" s="1925">
        <v>500</v>
      </c>
      <c r="I1522" s="1927"/>
    </row>
    <row r="1523" spans="1:9" x14ac:dyDescent="0.25">
      <c r="A1523" s="1941" t="s">
        <v>3761</v>
      </c>
      <c r="B1523" s="1901" t="s">
        <v>3005</v>
      </c>
      <c r="E1523" s="1925">
        <v>0</v>
      </c>
      <c r="G1523" s="1925">
        <v>500</v>
      </c>
      <c r="I1523" s="1927"/>
    </row>
    <row r="1524" spans="1:9" x14ac:dyDescent="0.25">
      <c r="A1524" s="1941">
        <v>500</v>
      </c>
      <c r="B1524" s="1901" t="s">
        <v>1095</v>
      </c>
      <c r="E1524" s="1925">
        <v>0</v>
      </c>
      <c r="G1524" s="1925">
        <v>500</v>
      </c>
      <c r="I1524" s="1927"/>
    </row>
    <row r="1525" spans="1:9" x14ac:dyDescent="0.25">
      <c r="A1525" s="1941">
        <v>2530</v>
      </c>
      <c r="B1525" s="1901" t="s">
        <v>3006</v>
      </c>
      <c r="E1525" s="1925">
        <v>0</v>
      </c>
      <c r="G1525" s="1925">
        <v>2000</v>
      </c>
      <c r="I1525" s="1927"/>
    </row>
    <row r="1526" spans="1:9" x14ac:dyDescent="0.25">
      <c r="A1526" s="1941">
        <v>2000</v>
      </c>
      <c r="B1526" s="1901" t="s">
        <v>457</v>
      </c>
      <c r="E1526" s="1925">
        <v>0</v>
      </c>
      <c r="G1526" s="1925">
        <v>2000</v>
      </c>
      <c r="I1526" s="1927"/>
    </row>
    <row r="1527" spans="1:9" x14ac:dyDescent="0.25">
      <c r="A1527" s="1941">
        <v>9</v>
      </c>
      <c r="B1527" s="1901" t="s">
        <v>2193</v>
      </c>
      <c r="E1527" s="1925">
        <v>0</v>
      </c>
      <c r="G1527" s="1925">
        <v>2000</v>
      </c>
      <c r="I1527" s="1927"/>
    </row>
    <row r="1528" spans="1:9" x14ac:dyDescent="0.25">
      <c r="A1528" s="1944" t="s">
        <v>3167</v>
      </c>
      <c r="B1528" s="1927" t="s">
        <v>201</v>
      </c>
      <c r="F1528" s="1928">
        <f>2532868.03+11501.27</f>
        <v>2544369.2999999998</v>
      </c>
    </row>
    <row r="1529" spans="1:9" x14ac:dyDescent="0.25">
      <c r="A1529" s="1939" t="s">
        <v>3175</v>
      </c>
      <c r="B1529" s="1927" t="s">
        <v>3009</v>
      </c>
      <c r="F1529" s="1928">
        <v>200</v>
      </c>
    </row>
    <row r="1530" spans="1:9" x14ac:dyDescent="0.25">
      <c r="A1530" s="1944" t="s">
        <v>3167</v>
      </c>
      <c r="B1530" s="1927" t="s">
        <v>3010</v>
      </c>
      <c r="F1530" s="1928">
        <v>75021.52</v>
      </c>
    </row>
    <row r="1531" spans="1:9" x14ac:dyDescent="0.25">
      <c r="A1531" s="1939" t="s">
        <v>3065</v>
      </c>
      <c r="B1531" s="1927" t="s">
        <v>3011</v>
      </c>
      <c r="F1531" s="1928">
        <v>0</v>
      </c>
    </row>
    <row r="1532" spans="1:9" x14ac:dyDescent="0.25">
      <c r="A1532" s="1939" t="s">
        <v>3839</v>
      </c>
      <c r="B1532" s="1927" t="s">
        <v>3012</v>
      </c>
      <c r="F1532" s="1928">
        <v>0</v>
      </c>
    </row>
    <row r="1533" spans="1:9" x14ac:dyDescent="0.25">
      <c r="A1533" s="1944" t="s">
        <v>3167</v>
      </c>
      <c r="B1533" s="1927" t="s">
        <v>3013</v>
      </c>
      <c r="F1533" s="1928">
        <v>1699.69</v>
      </c>
    </row>
    <row r="1534" spans="1:9" x14ac:dyDescent="0.25">
      <c r="A1534" s="1944" t="s">
        <v>3167</v>
      </c>
      <c r="B1534" s="1927" t="s">
        <v>3014</v>
      </c>
      <c r="F1534" s="1928">
        <v>19416</v>
      </c>
    </row>
    <row r="1535" spans="1:9" x14ac:dyDescent="0.25">
      <c r="A1535" s="1939" t="s">
        <v>3066</v>
      </c>
      <c r="B1535" s="1927" t="s">
        <v>3010</v>
      </c>
      <c r="F1535" s="1928">
        <v>0</v>
      </c>
    </row>
    <row r="1536" spans="1:9" x14ac:dyDescent="0.25">
      <c r="A1536" s="1939" t="s">
        <v>3067</v>
      </c>
      <c r="B1536" s="1927" t="s">
        <v>3015</v>
      </c>
      <c r="F1536" s="1928">
        <v>0</v>
      </c>
    </row>
    <row r="1537" spans="1:6" x14ac:dyDescent="0.25">
      <c r="A1537" s="1939" t="s">
        <v>2087</v>
      </c>
      <c r="B1537" s="1927" t="s">
        <v>3016</v>
      </c>
      <c r="F1537" s="1928">
        <v>2629205.2400000002</v>
      </c>
    </row>
    <row r="1538" spans="1:6" x14ac:dyDescent="0.25">
      <c r="A1538" s="1939" t="s">
        <v>3178</v>
      </c>
      <c r="B1538" s="1927" t="s">
        <v>3017</v>
      </c>
      <c r="F1538" s="1928">
        <v>-6427.89</v>
      </c>
    </row>
    <row r="1539" spans="1:6" x14ac:dyDescent="0.25">
      <c r="A1539" s="1939" t="s">
        <v>3068</v>
      </c>
      <c r="B1539" s="1927" t="s">
        <v>3018</v>
      </c>
      <c r="F1539" s="1928">
        <v>0</v>
      </c>
    </row>
    <row r="1540" spans="1:6" x14ac:dyDescent="0.25">
      <c r="A1540" s="1939" t="s">
        <v>3069</v>
      </c>
      <c r="B1540" s="1927" t="s">
        <v>3019</v>
      </c>
      <c r="F1540" s="1928">
        <v>0</v>
      </c>
    </row>
    <row r="1541" spans="1:6" x14ac:dyDescent="0.25">
      <c r="A1541" s="1939" t="s">
        <v>3070</v>
      </c>
      <c r="B1541" s="1927" t="s">
        <v>3020</v>
      </c>
      <c r="F1541" s="1928">
        <v>0</v>
      </c>
    </row>
    <row r="1542" spans="1:6" x14ac:dyDescent="0.25">
      <c r="A1542" s="1939" t="s">
        <v>3071</v>
      </c>
      <c r="B1542" s="1927" t="s">
        <v>3021</v>
      </c>
      <c r="F1542" s="1928">
        <v>0</v>
      </c>
    </row>
    <row r="1543" spans="1:6" x14ac:dyDescent="0.25">
      <c r="A1543" s="1939" t="s">
        <v>3179</v>
      </c>
      <c r="B1543" s="1927" t="s">
        <v>3022</v>
      </c>
      <c r="F1543" s="1928">
        <v>0</v>
      </c>
    </row>
    <row r="1544" spans="1:6" x14ac:dyDescent="0.25">
      <c r="A1544" s="1939" t="s">
        <v>3069</v>
      </c>
      <c r="B1544" s="1927" t="s">
        <v>3023</v>
      </c>
      <c r="F1544" s="1928">
        <v>2.42</v>
      </c>
    </row>
    <row r="1545" spans="1:6" x14ac:dyDescent="0.25">
      <c r="A1545" s="1939" t="s">
        <v>3070</v>
      </c>
      <c r="B1545" s="1927" t="s">
        <v>3024</v>
      </c>
      <c r="F1545" s="1928">
        <v>0.99</v>
      </c>
    </row>
    <row r="1546" spans="1:6" x14ac:dyDescent="0.25">
      <c r="A1546" s="1939" t="s">
        <v>3178</v>
      </c>
      <c r="B1546" s="1927" t="s">
        <v>3025</v>
      </c>
      <c r="F1546" s="1928">
        <v>-12.46</v>
      </c>
    </row>
    <row r="1547" spans="1:6" x14ac:dyDescent="0.25">
      <c r="A1547" s="1939" t="s">
        <v>3180</v>
      </c>
      <c r="B1547" s="1927" t="s">
        <v>3026</v>
      </c>
      <c r="F1547" s="1928">
        <v>0</v>
      </c>
    </row>
    <row r="1548" spans="1:6" x14ac:dyDescent="0.25">
      <c r="A1548" s="1939" t="s">
        <v>3181</v>
      </c>
      <c r="B1548" s="1927" t="s">
        <v>3027</v>
      </c>
      <c r="F1548" s="1928">
        <v>2054.2199999999998</v>
      </c>
    </row>
    <row r="1549" spans="1:6" x14ac:dyDescent="0.25">
      <c r="A1549" s="1939" t="s">
        <v>3182</v>
      </c>
      <c r="B1549" s="1927" t="s">
        <v>3028</v>
      </c>
      <c r="F1549" s="1928">
        <v>0</v>
      </c>
    </row>
    <row r="1550" spans="1:6" x14ac:dyDescent="0.25">
      <c r="A1550" s="1939" t="s">
        <v>3183</v>
      </c>
      <c r="B1550" s="1927" t="s">
        <v>3029</v>
      </c>
      <c r="F1550" s="1928">
        <v>0</v>
      </c>
    </row>
    <row r="1551" spans="1:6" x14ac:dyDescent="0.25">
      <c r="A1551" s="1939" t="s">
        <v>3184</v>
      </c>
      <c r="B1551" s="1927" t="s">
        <v>3030</v>
      </c>
      <c r="F1551" s="1928">
        <v>-24.12</v>
      </c>
    </row>
    <row r="1552" spans="1:6" x14ac:dyDescent="0.25">
      <c r="A1552" s="1939" t="s">
        <v>3185</v>
      </c>
      <c r="B1552" s="1927" t="s">
        <v>3031</v>
      </c>
      <c r="F1552" s="1928">
        <v>0</v>
      </c>
    </row>
    <row r="1553" spans="1:6" x14ac:dyDescent="0.25">
      <c r="A1553" s="1939" t="s">
        <v>3072</v>
      </c>
      <c r="B1553" s="1927" t="s">
        <v>3032</v>
      </c>
      <c r="F1553" s="1928">
        <v>0</v>
      </c>
    </row>
    <row r="1554" spans="1:6" x14ac:dyDescent="0.25">
      <c r="A1554" s="1939" t="s">
        <v>3073</v>
      </c>
      <c r="B1554" s="1927" t="s">
        <v>3033</v>
      </c>
      <c r="F1554" s="1928">
        <v>-4980.7</v>
      </c>
    </row>
    <row r="1555" spans="1:6" x14ac:dyDescent="0.25">
      <c r="A1555" s="1939" t="s">
        <v>3074</v>
      </c>
      <c r="B1555" s="1927" t="s">
        <v>3034</v>
      </c>
      <c r="F1555" s="1928">
        <v>375.3</v>
      </c>
    </row>
    <row r="1556" spans="1:6" x14ac:dyDescent="0.25">
      <c r="A1556" s="1939" t="s">
        <v>3075</v>
      </c>
      <c r="B1556" s="1927" t="s">
        <v>3035</v>
      </c>
      <c r="F1556" s="1928">
        <v>0</v>
      </c>
    </row>
    <row r="1557" spans="1:6" x14ac:dyDescent="0.25">
      <c r="A1557" s="1939" t="s">
        <v>3076</v>
      </c>
      <c r="B1557" s="1927" t="s">
        <v>3036</v>
      </c>
      <c r="F1557" s="1928">
        <v>-2069.4</v>
      </c>
    </row>
    <row r="1558" spans="1:6" x14ac:dyDescent="0.25">
      <c r="A1558" s="1939" t="s">
        <v>3077</v>
      </c>
      <c r="B1558" s="1927" t="s">
        <v>3037</v>
      </c>
      <c r="F1558" s="1928">
        <v>0</v>
      </c>
    </row>
    <row r="1559" spans="1:6" x14ac:dyDescent="0.25">
      <c r="A1559" s="1939" t="s">
        <v>3078</v>
      </c>
      <c r="B1559" s="1927" t="s">
        <v>3038</v>
      </c>
      <c r="F1559" s="1928">
        <v>-1244.58</v>
      </c>
    </row>
    <row r="1560" spans="1:6" x14ac:dyDescent="0.25">
      <c r="A1560" s="1939" t="s">
        <v>2255</v>
      </c>
      <c r="B1560" s="1927" t="s">
        <v>3039</v>
      </c>
      <c r="F1560" s="1928">
        <v>-12326.22</v>
      </c>
    </row>
    <row r="1561" spans="1:6" x14ac:dyDescent="0.25">
      <c r="A1561" s="1939" t="s">
        <v>3079</v>
      </c>
      <c r="B1561" s="1927" t="s">
        <v>3040</v>
      </c>
      <c r="F1561" s="1928">
        <v>0</v>
      </c>
    </row>
    <row r="1562" spans="1:6" x14ac:dyDescent="0.25">
      <c r="A1562" s="1939" t="s">
        <v>2259</v>
      </c>
      <c r="B1562" s="1927" t="s">
        <v>3041</v>
      </c>
      <c r="F1562" s="1928">
        <v>0</v>
      </c>
    </row>
    <row r="1563" spans="1:6" x14ac:dyDescent="0.25">
      <c r="A1563" s="1939" t="s">
        <v>3080</v>
      </c>
      <c r="B1563" s="1927" t="s">
        <v>3042</v>
      </c>
      <c r="F1563" s="1928">
        <v>-59668.41</v>
      </c>
    </row>
    <row r="1564" spans="1:6" x14ac:dyDescent="0.25">
      <c r="A1564" s="1939" t="s">
        <v>3081</v>
      </c>
      <c r="B1564" s="1927" t="s">
        <v>3043</v>
      </c>
      <c r="F1564" s="1928">
        <v>-2557210.61</v>
      </c>
    </row>
    <row r="1565" spans="1:6" x14ac:dyDescent="0.25">
      <c r="A1565" s="1939" t="s">
        <v>3082</v>
      </c>
      <c r="B1565" s="1927" t="s">
        <v>3044</v>
      </c>
      <c r="F1565" s="1928">
        <v>0</v>
      </c>
    </row>
    <row r="1566" spans="1:6" x14ac:dyDescent="0.25">
      <c r="A1566" s="1939" t="s">
        <v>3045</v>
      </c>
      <c r="B1566" s="1927" t="s">
        <v>3046</v>
      </c>
      <c r="F1566" s="1928">
        <v>-2616879.02</v>
      </c>
    </row>
    <row r="1567" spans="1:6" x14ac:dyDescent="0.25">
      <c r="A1567" s="1939" t="s">
        <v>2158</v>
      </c>
      <c r="B1567" s="1927" t="s">
        <v>2159</v>
      </c>
      <c r="F1567" s="1928">
        <v>0</v>
      </c>
    </row>
    <row r="1568" spans="1:6" x14ac:dyDescent="0.25">
      <c r="A1568" s="1939" t="s">
        <v>3168</v>
      </c>
      <c r="B1568" s="1927" t="s">
        <v>201</v>
      </c>
      <c r="F1568" s="1928">
        <v>168793.14</v>
      </c>
    </row>
    <row r="1569" spans="1:6" x14ac:dyDescent="0.25">
      <c r="A1569" s="1939" t="s">
        <v>3083</v>
      </c>
      <c r="B1569" s="1927" t="s">
        <v>3047</v>
      </c>
      <c r="F1569" s="1928">
        <v>0</v>
      </c>
    </row>
    <row r="1570" spans="1:6" x14ac:dyDescent="0.25">
      <c r="A1570" s="1939" t="s">
        <v>3176</v>
      </c>
      <c r="B1570" s="1927" t="s">
        <v>3009</v>
      </c>
      <c r="F1570" s="1928">
        <v>0</v>
      </c>
    </row>
    <row r="1571" spans="1:6" x14ac:dyDescent="0.25">
      <c r="A1571" s="1939" t="s">
        <v>3084</v>
      </c>
      <c r="B1571" s="1927" t="s">
        <v>3048</v>
      </c>
      <c r="F1571" s="1928">
        <v>0</v>
      </c>
    </row>
    <row r="1572" spans="1:6" x14ac:dyDescent="0.25">
      <c r="A1572" s="1939" t="s">
        <v>3085</v>
      </c>
      <c r="B1572" s="1927" t="s">
        <v>3049</v>
      </c>
      <c r="F1572" s="1928">
        <v>0</v>
      </c>
    </row>
    <row r="1573" spans="1:6" x14ac:dyDescent="0.25">
      <c r="A1573" s="1939" t="s">
        <v>3840</v>
      </c>
      <c r="B1573" s="1927" t="s">
        <v>3012</v>
      </c>
      <c r="F1573" s="1928">
        <f>24537.72+238.79</f>
        <v>24776.510000000002</v>
      </c>
    </row>
    <row r="1574" spans="1:6" x14ac:dyDescent="0.25">
      <c r="A1574" s="1939" t="s">
        <v>2087</v>
      </c>
      <c r="B1574" s="1927" t="s">
        <v>3016</v>
      </c>
      <c r="F1574" s="1928">
        <v>193330.86</v>
      </c>
    </row>
    <row r="1575" spans="1:6" x14ac:dyDescent="0.25">
      <c r="A1575" s="1939" t="s">
        <v>3086</v>
      </c>
      <c r="B1575" s="1927" t="s">
        <v>3017</v>
      </c>
      <c r="F1575" s="1928">
        <v>0</v>
      </c>
    </row>
    <row r="1576" spans="1:6" x14ac:dyDescent="0.25">
      <c r="A1576" s="1939" t="s">
        <v>3087</v>
      </c>
      <c r="B1576" s="1927" t="s">
        <v>3050</v>
      </c>
      <c r="F1576" s="1928">
        <v>0</v>
      </c>
    </row>
    <row r="1577" spans="1:6" x14ac:dyDescent="0.25">
      <c r="A1577" s="1939" t="s">
        <v>3088</v>
      </c>
      <c r="B1577" s="1927" t="s">
        <v>3020</v>
      </c>
      <c r="F1577" s="1928">
        <v>0</v>
      </c>
    </row>
    <row r="1578" spans="1:6" x14ac:dyDescent="0.25">
      <c r="A1578" s="1939" t="s">
        <v>3089</v>
      </c>
      <c r="B1578" s="1927" t="s">
        <v>3021</v>
      </c>
      <c r="F1578" s="1928">
        <v>0</v>
      </c>
    </row>
    <row r="1579" spans="1:6" x14ac:dyDescent="0.25">
      <c r="A1579" s="1939" t="s">
        <v>3090</v>
      </c>
      <c r="B1579" s="1927" t="s">
        <v>3051</v>
      </c>
      <c r="F1579" s="1928">
        <v>0</v>
      </c>
    </row>
    <row r="1580" spans="1:6" x14ac:dyDescent="0.25">
      <c r="A1580" s="1939" t="s">
        <v>3091</v>
      </c>
      <c r="B1580" s="1927" t="s">
        <v>3024</v>
      </c>
      <c r="F1580" s="1928">
        <v>0</v>
      </c>
    </row>
    <row r="1581" spans="1:6" x14ac:dyDescent="0.25">
      <c r="A1581" s="1939" t="s">
        <v>3092</v>
      </c>
      <c r="B1581" s="1927" t="s">
        <v>3025</v>
      </c>
      <c r="F1581" s="1928">
        <v>0</v>
      </c>
    </row>
    <row r="1582" spans="1:6" x14ac:dyDescent="0.25">
      <c r="A1582" s="1939" t="s">
        <v>3093</v>
      </c>
      <c r="B1582" s="1927" t="s">
        <v>3026</v>
      </c>
      <c r="F1582" s="1928">
        <v>0</v>
      </c>
    </row>
    <row r="1583" spans="1:6" x14ac:dyDescent="0.25">
      <c r="A1583" s="1939" t="s">
        <v>3094</v>
      </c>
      <c r="B1583" s="1927" t="s">
        <v>3027</v>
      </c>
      <c r="F1583" s="1928">
        <v>0</v>
      </c>
    </row>
    <row r="1584" spans="1:6" x14ac:dyDescent="0.25">
      <c r="A1584" s="1939" t="s">
        <v>3095</v>
      </c>
      <c r="B1584" s="1927" t="s">
        <v>3028</v>
      </c>
      <c r="F1584" s="1928">
        <v>0</v>
      </c>
    </row>
    <row r="1585" spans="1:6" x14ac:dyDescent="0.25">
      <c r="A1585" s="1939" t="s">
        <v>3096</v>
      </c>
      <c r="B1585" s="1927" t="s">
        <v>3031</v>
      </c>
      <c r="F1585" s="1928">
        <v>0</v>
      </c>
    </row>
    <row r="1586" spans="1:6" x14ac:dyDescent="0.25">
      <c r="A1586" s="1939" t="s">
        <v>3097</v>
      </c>
      <c r="B1586" s="1927" t="s">
        <v>3036</v>
      </c>
      <c r="F1586" s="1928">
        <v>0</v>
      </c>
    </row>
    <row r="1587" spans="1:6" x14ac:dyDescent="0.25">
      <c r="A1587" s="1939" t="s">
        <v>3098</v>
      </c>
      <c r="B1587" s="1927" t="s">
        <v>3052</v>
      </c>
      <c r="F1587" s="1928">
        <v>0</v>
      </c>
    </row>
    <row r="1588" spans="1:6" x14ac:dyDescent="0.25">
      <c r="A1588" s="1939" t="s">
        <v>2255</v>
      </c>
      <c r="B1588" s="1927" t="s">
        <v>3039</v>
      </c>
      <c r="F1588" s="1928">
        <v>0</v>
      </c>
    </row>
    <row r="1589" spans="1:6" x14ac:dyDescent="0.25">
      <c r="A1589" s="1939" t="s">
        <v>3099</v>
      </c>
      <c r="B1589" s="1927" t="s">
        <v>3053</v>
      </c>
      <c r="F1589" s="1928">
        <v>0</v>
      </c>
    </row>
    <row r="1590" spans="1:6" x14ac:dyDescent="0.25">
      <c r="A1590" s="1939" t="s">
        <v>2259</v>
      </c>
      <c r="B1590" s="1927" t="s">
        <v>3041</v>
      </c>
      <c r="F1590" s="1928">
        <v>0</v>
      </c>
    </row>
    <row r="1591" spans="1:6" x14ac:dyDescent="0.25">
      <c r="A1591" s="1939" t="s">
        <v>3100</v>
      </c>
      <c r="B1591" s="1927" t="s">
        <v>3042</v>
      </c>
      <c r="F1591" s="1928">
        <v>324204.36</v>
      </c>
    </row>
    <row r="1592" spans="1:6" x14ac:dyDescent="0.25">
      <c r="A1592" s="1939" t="s">
        <v>3101</v>
      </c>
      <c r="B1592" s="1927" t="s">
        <v>3043</v>
      </c>
      <c r="F1592" s="1928">
        <v>-517535.22</v>
      </c>
    </row>
    <row r="1593" spans="1:6" x14ac:dyDescent="0.25">
      <c r="A1593" s="1939" t="s">
        <v>3102</v>
      </c>
      <c r="B1593" s="1927" t="s">
        <v>3044</v>
      </c>
      <c r="F1593" s="1928">
        <v>0</v>
      </c>
    </row>
    <row r="1594" spans="1:6" x14ac:dyDescent="0.25">
      <c r="A1594" s="1939" t="s">
        <v>3045</v>
      </c>
      <c r="B1594" s="1927" t="s">
        <v>3046</v>
      </c>
      <c r="F1594" s="1928">
        <v>-193330.86</v>
      </c>
    </row>
    <row r="1595" spans="1:6" x14ac:dyDescent="0.25">
      <c r="A1595" s="1939" t="s">
        <v>22</v>
      </c>
      <c r="B1595" s="1927" t="s">
        <v>2168</v>
      </c>
      <c r="F1595" s="1928">
        <v>0</v>
      </c>
    </row>
    <row r="1596" spans="1:6" x14ac:dyDescent="0.25">
      <c r="A1596" s="1939" t="s">
        <v>3169</v>
      </c>
      <c r="B1596" s="1927" t="s">
        <v>201</v>
      </c>
      <c r="F1596" s="1928">
        <v>0</v>
      </c>
    </row>
    <row r="1597" spans="1:6" x14ac:dyDescent="0.25">
      <c r="A1597" s="1939" t="s">
        <v>3103</v>
      </c>
      <c r="B1597" s="1927" t="s">
        <v>3054</v>
      </c>
      <c r="F1597" s="1928">
        <v>0</v>
      </c>
    </row>
    <row r="1598" spans="1:6" x14ac:dyDescent="0.25">
      <c r="A1598" s="1939" t="s">
        <v>3104</v>
      </c>
      <c r="B1598" s="1927" t="s">
        <v>3012</v>
      </c>
      <c r="F1598" s="1928">
        <v>0</v>
      </c>
    </row>
    <row r="1599" spans="1:6" x14ac:dyDescent="0.25">
      <c r="A1599" s="1939" t="s">
        <v>2087</v>
      </c>
      <c r="B1599" s="1927" t="s">
        <v>3016</v>
      </c>
      <c r="F1599" s="1928">
        <v>0</v>
      </c>
    </row>
    <row r="1600" spans="1:6" x14ac:dyDescent="0.25">
      <c r="A1600" s="1939" t="s">
        <v>3105</v>
      </c>
      <c r="B1600" s="1927" t="s">
        <v>3017</v>
      </c>
      <c r="F1600" s="1928">
        <v>0</v>
      </c>
    </row>
    <row r="1601" spans="1:6" x14ac:dyDescent="0.25">
      <c r="A1601" s="1939" t="s">
        <v>3106</v>
      </c>
      <c r="B1601" s="1927" t="s">
        <v>3055</v>
      </c>
      <c r="F1601" s="1928">
        <v>-44745.86</v>
      </c>
    </row>
    <row r="1602" spans="1:6" x14ac:dyDescent="0.25">
      <c r="A1602" s="1939" t="s">
        <v>2255</v>
      </c>
      <c r="B1602" s="1927" t="s">
        <v>3039</v>
      </c>
      <c r="F1602" s="1928">
        <v>-44745.86</v>
      </c>
    </row>
    <row r="1603" spans="1:6" x14ac:dyDescent="0.25">
      <c r="A1603" s="1939" t="s">
        <v>3107</v>
      </c>
      <c r="B1603" s="1927" t="s">
        <v>3056</v>
      </c>
      <c r="F1603" s="1928">
        <v>0</v>
      </c>
    </row>
    <row r="1604" spans="1:6" x14ac:dyDescent="0.25">
      <c r="A1604" s="1939" t="s">
        <v>3108</v>
      </c>
      <c r="B1604" s="1927" t="s">
        <v>3040</v>
      </c>
      <c r="F1604" s="1928">
        <v>0</v>
      </c>
    </row>
    <row r="1605" spans="1:6" x14ac:dyDescent="0.25">
      <c r="A1605" s="1939" t="s">
        <v>2259</v>
      </c>
      <c r="B1605" s="1927" t="s">
        <v>3041</v>
      </c>
      <c r="F1605" s="1928">
        <v>0</v>
      </c>
    </row>
    <row r="1606" spans="1:6" x14ac:dyDescent="0.25">
      <c r="A1606" s="1939" t="s">
        <v>3109</v>
      </c>
      <c r="B1606" s="1927" t="s">
        <v>3042</v>
      </c>
      <c r="F1606" s="1928">
        <v>3833.53</v>
      </c>
    </row>
    <row r="1607" spans="1:6" x14ac:dyDescent="0.25">
      <c r="A1607" s="1939" t="s">
        <v>3110</v>
      </c>
      <c r="B1607" s="1927" t="s">
        <v>3043</v>
      </c>
      <c r="F1607" s="1928">
        <v>40912.33</v>
      </c>
    </row>
    <row r="1608" spans="1:6" x14ac:dyDescent="0.25">
      <c r="A1608" s="1939" t="s">
        <v>3111</v>
      </c>
      <c r="B1608" s="1927" t="s">
        <v>3044</v>
      </c>
      <c r="F1608" s="1928">
        <v>0</v>
      </c>
    </row>
    <row r="1609" spans="1:6" x14ac:dyDescent="0.25">
      <c r="A1609" s="1939" t="s">
        <v>3045</v>
      </c>
      <c r="B1609" s="1927" t="s">
        <v>3046</v>
      </c>
      <c r="F1609" s="1928">
        <v>44745.86</v>
      </c>
    </row>
    <row r="1610" spans="1:6" x14ac:dyDescent="0.25">
      <c r="A1610" s="1939" t="s">
        <v>941</v>
      </c>
      <c r="B1610" s="1927" t="s">
        <v>2176</v>
      </c>
      <c r="F1610" s="1928">
        <v>0</v>
      </c>
    </row>
    <row r="1611" spans="1:6" x14ac:dyDescent="0.25">
      <c r="A1611" s="1939" t="s">
        <v>3170</v>
      </c>
      <c r="B1611" s="1927" t="s">
        <v>201</v>
      </c>
      <c r="F1611" s="1928">
        <v>650687.6</v>
      </c>
    </row>
    <row r="1612" spans="1:6" x14ac:dyDescent="0.25">
      <c r="A1612" s="1939" t="s">
        <v>3112</v>
      </c>
      <c r="B1612" s="1927" t="s">
        <v>3047</v>
      </c>
      <c r="F1612" s="1928">
        <v>0</v>
      </c>
    </row>
    <row r="1613" spans="1:6" x14ac:dyDescent="0.25">
      <c r="A1613" s="1939" t="s">
        <v>3177</v>
      </c>
      <c r="B1613" s="1927" t="s">
        <v>3009</v>
      </c>
      <c r="F1613" s="1928">
        <v>50</v>
      </c>
    </row>
    <row r="1614" spans="1:6" x14ac:dyDescent="0.25">
      <c r="A1614" s="1939" t="s">
        <v>3113</v>
      </c>
      <c r="B1614" s="1927" t="s">
        <v>3012</v>
      </c>
      <c r="F1614" s="1928">
        <v>0</v>
      </c>
    </row>
    <row r="1615" spans="1:6" x14ac:dyDescent="0.25">
      <c r="A1615" s="1939" t="s">
        <v>3114</v>
      </c>
      <c r="B1615" s="1927" t="s">
        <v>3048</v>
      </c>
      <c r="F1615" s="1928">
        <v>0</v>
      </c>
    </row>
    <row r="1616" spans="1:6" x14ac:dyDescent="0.25">
      <c r="A1616" s="1939" t="s">
        <v>3115</v>
      </c>
      <c r="B1616" s="1927" t="s">
        <v>3057</v>
      </c>
      <c r="F1616" s="1928">
        <v>0</v>
      </c>
    </row>
    <row r="1617" spans="1:6" x14ac:dyDescent="0.25">
      <c r="A1617" s="1939" t="s">
        <v>2087</v>
      </c>
      <c r="B1617" s="1927" t="s">
        <v>3016</v>
      </c>
      <c r="F1617" s="1928">
        <v>650737.6</v>
      </c>
    </row>
    <row r="1618" spans="1:6" x14ac:dyDescent="0.25">
      <c r="A1618" s="1939" t="s">
        <v>3116</v>
      </c>
      <c r="B1618" s="1927" t="s">
        <v>3017</v>
      </c>
      <c r="F1618" s="1928">
        <v>0</v>
      </c>
    </row>
    <row r="1619" spans="1:6" x14ac:dyDescent="0.25">
      <c r="A1619" s="1939" t="s">
        <v>3117</v>
      </c>
      <c r="B1619" s="1927" t="s">
        <v>3058</v>
      </c>
      <c r="F1619" s="1928">
        <v>0</v>
      </c>
    </row>
    <row r="1620" spans="1:6" x14ac:dyDescent="0.25">
      <c r="A1620" s="1939" t="s">
        <v>3118</v>
      </c>
      <c r="B1620" s="1927" t="s">
        <v>3059</v>
      </c>
      <c r="F1620" s="1928">
        <v>0</v>
      </c>
    </row>
    <row r="1621" spans="1:6" x14ac:dyDescent="0.25">
      <c r="A1621" s="1939" t="s">
        <v>3119</v>
      </c>
      <c r="B1621" s="1927" t="s">
        <v>3019</v>
      </c>
      <c r="F1621" s="1928">
        <v>0</v>
      </c>
    </row>
    <row r="1622" spans="1:6" x14ac:dyDescent="0.25">
      <c r="A1622" s="1939" t="s">
        <v>3120</v>
      </c>
      <c r="B1622" s="1927" t="s">
        <v>3023</v>
      </c>
      <c r="F1622" s="1928">
        <v>0</v>
      </c>
    </row>
    <row r="1623" spans="1:6" x14ac:dyDescent="0.25">
      <c r="A1623" s="1939" t="s">
        <v>3121</v>
      </c>
      <c r="B1623" s="1927" t="s">
        <v>3024</v>
      </c>
      <c r="F1623" s="1928">
        <v>0</v>
      </c>
    </row>
    <row r="1624" spans="1:6" x14ac:dyDescent="0.25">
      <c r="A1624" s="1939" t="s">
        <v>3122</v>
      </c>
      <c r="B1624" s="1927" t="s">
        <v>3025</v>
      </c>
      <c r="F1624" s="1928">
        <v>0</v>
      </c>
    </row>
    <row r="1625" spans="1:6" x14ac:dyDescent="0.25">
      <c r="A1625" s="1939" t="s">
        <v>3123</v>
      </c>
      <c r="B1625" s="1927" t="s">
        <v>3026</v>
      </c>
      <c r="F1625" s="1928">
        <v>0</v>
      </c>
    </row>
    <row r="1626" spans="1:6" x14ac:dyDescent="0.25">
      <c r="A1626" s="1939" t="s">
        <v>3124</v>
      </c>
      <c r="B1626" s="1927" t="s">
        <v>3027</v>
      </c>
      <c r="F1626" s="1928">
        <v>0</v>
      </c>
    </row>
    <row r="1627" spans="1:6" x14ac:dyDescent="0.25">
      <c r="A1627" s="1939" t="s">
        <v>3125</v>
      </c>
      <c r="B1627" s="1927" t="s">
        <v>3028</v>
      </c>
      <c r="F1627" s="1928">
        <v>0</v>
      </c>
    </row>
    <row r="1628" spans="1:6" x14ac:dyDescent="0.25">
      <c r="A1628" s="1939" t="s">
        <v>3126</v>
      </c>
      <c r="B1628" s="1927" t="s">
        <v>3031</v>
      </c>
      <c r="F1628" s="1928">
        <v>0</v>
      </c>
    </row>
    <row r="1629" spans="1:6" x14ac:dyDescent="0.25">
      <c r="A1629" s="1939" t="s">
        <v>3127</v>
      </c>
      <c r="B1629" s="1927" t="s">
        <v>3036</v>
      </c>
      <c r="F1629" s="1928">
        <v>0</v>
      </c>
    </row>
    <row r="1630" spans="1:6" x14ac:dyDescent="0.25">
      <c r="A1630" s="1939" t="s">
        <v>3128</v>
      </c>
      <c r="B1630" s="1927" t="s">
        <v>3052</v>
      </c>
      <c r="F1630" s="1928">
        <v>0</v>
      </c>
    </row>
    <row r="1631" spans="1:6" x14ac:dyDescent="0.25">
      <c r="A1631" s="1939" t="s">
        <v>2255</v>
      </c>
      <c r="B1631" s="1927" t="s">
        <v>3039</v>
      </c>
      <c r="F1631" s="1928">
        <v>0</v>
      </c>
    </row>
    <row r="1632" spans="1:6" x14ac:dyDescent="0.25">
      <c r="A1632" s="1939" t="s">
        <v>3129</v>
      </c>
      <c r="B1632" s="1927" t="s">
        <v>3040</v>
      </c>
      <c r="F1632" s="1928">
        <v>0</v>
      </c>
    </row>
    <row r="1633" spans="1:6" x14ac:dyDescent="0.25">
      <c r="A1633" s="1939" t="s">
        <v>2259</v>
      </c>
      <c r="B1633" s="1927" t="s">
        <v>3041</v>
      </c>
      <c r="F1633" s="1928">
        <v>0</v>
      </c>
    </row>
    <row r="1634" spans="1:6" x14ac:dyDescent="0.25">
      <c r="A1634" s="1939" t="s">
        <v>3130</v>
      </c>
      <c r="B1634" s="1927" t="s">
        <v>3042</v>
      </c>
      <c r="F1634" s="1928">
        <v>-88109.759999999995</v>
      </c>
    </row>
    <row r="1635" spans="1:6" x14ac:dyDescent="0.25">
      <c r="A1635" s="1939" t="s">
        <v>3131</v>
      </c>
      <c r="B1635" s="1927" t="s">
        <v>3043</v>
      </c>
      <c r="F1635" s="1928">
        <v>-562627.83999999997</v>
      </c>
    </row>
    <row r="1636" spans="1:6" x14ac:dyDescent="0.25">
      <c r="A1636" s="1939" t="s">
        <v>3132</v>
      </c>
      <c r="B1636" s="1927" t="s">
        <v>3044</v>
      </c>
      <c r="F1636" s="1928">
        <v>0</v>
      </c>
    </row>
    <row r="1637" spans="1:6" x14ac:dyDescent="0.25">
      <c r="A1637" s="1939" t="s">
        <v>3045</v>
      </c>
      <c r="B1637" s="1927" t="s">
        <v>3046</v>
      </c>
      <c r="F1637" s="1928">
        <v>-650737.6</v>
      </c>
    </row>
    <row r="1638" spans="1:6" x14ac:dyDescent="0.25">
      <c r="A1638" s="1939" t="s">
        <v>942</v>
      </c>
      <c r="B1638" s="1927" t="s">
        <v>341</v>
      </c>
      <c r="F1638" s="1928">
        <v>0</v>
      </c>
    </row>
    <row r="1639" spans="1:6" x14ac:dyDescent="0.25">
      <c r="A1639" s="1939" t="s">
        <v>3171</v>
      </c>
      <c r="B1639" s="1927" t="s">
        <v>201</v>
      </c>
      <c r="F1639" s="1928">
        <f>170598.82-11501</f>
        <v>159097.82</v>
      </c>
    </row>
    <row r="1640" spans="1:6" x14ac:dyDescent="0.25">
      <c r="A1640" s="1939" t="s">
        <v>3133</v>
      </c>
      <c r="B1640" s="1927" t="s">
        <v>3054</v>
      </c>
      <c r="F1640" s="1928">
        <v>0</v>
      </c>
    </row>
    <row r="1641" spans="1:6" x14ac:dyDescent="0.25">
      <c r="A1641" s="1939" t="s">
        <v>3134</v>
      </c>
      <c r="B1641" s="1927" t="s">
        <v>3012</v>
      </c>
      <c r="F1641" s="1928">
        <v>0</v>
      </c>
    </row>
    <row r="1642" spans="1:6" x14ac:dyDescent="0.25">
      <c r="A1642" s="1939" t="s">
        <v>2087</v>
      </c>
      <c r="B1642" s="1927" t="s">
        <v>3016</v>
      </c>
      <c r="F1642" s="1928">
        <v>170598.82</v>
      </c>
    </row>
    <row r="1643" spans="1:6" x14ac:dyDescent="0.25">
      <c r="A1643" s="1939" t="s">
        <v>3136</v>
      </c>
      <c r="B1643" s="1927" t="s">
        <v>3017</v>
      </c>
      <c r="F1643" s="1928">
        <v>-215.78</v>
      </c>
    </row>
    <row r="1644" spans="1:6" x14ac:dyDescent="0.25">
      <c r="A1644" s="1939" t="s">
        <v>3135</v>
      </c>
      <c r="B1644" s="1927" t="s">
        <v>3060</v>
      </c>
      <c r="F1644" s="1928">
        <v>0</v>
      </c>
    </row>
    <row r="1645" spans="1:6" x14ac:dyDescent="0.25">
      <c r="A1645" s="1939" t="s">
        <v>3136</v>
      </c>
      <c r="B1645" s="1927" t="s">
        <v>3019</v>
      </c>
      <c r="F1645" s="1928">
        <v>0</v>
      </c>
    </row>
    <row r="1646" spans="1:6" x14ac:dyDescent="0.25">
      <c r="A1646" s="1939" t="s">
        <v>3137</v>
      </c>
      <c r="B1646" s="1927" t="s">
        <v>3025</v>
      </c>
      <c r="F1646" s="1928">
        <v>0</v>
      </c>
    </row>
    <row r="1647" spans="1:6" x14ac:dyDescent="0.25">
      <c r="A1647" s="1939" t="s">
        <v>3138</v>
      </c>
      <c r="B1647" s="1927" t="s">
        <v>3028</v>
      </c>
      <c r="F1647" s="1928">
        <v>0</v>
      </c>
    </row>
    <row r="1648" spans="1:6" x14ac:dyDescent="0.25">
      <c r="A1648" s="1939" t="s">
        <v>3139</v>
      </c>
      <c r="B1648" s="1927" t="s">
        <v>3036</v>
      </c>
      <c r="F1648" s="1928">
        <v>-0.13</v>
      </c>
    </row>
    <row r="1649" spans="1:6" x14ac:dyDescent="0.25">
      <c r="A1649" s="1939" t="s">
        <v>2255</v>
      </c>
      <c r="B1649" s="1927" t="s">
        <v>3039</v>
      </c>
      <c r="F1649" s="1928">
        <v>-215.91</v>
      </c>
    </row>
    <row r="1650" spans="1:6" x14ac:dyDescent="0.25">
      <c r="A1650" s="1939" t="s">
        <v>3140</v>
      </c>
      <c r="B1650" s="1927" t="s">
        <v>3040</v>
      </c>
      <c r="F1650" s="1928">
        <v>0</v>
      </c>
    </row>
    <row r="1651" spans="1:6" x14ac:dyDescent="0.25">
      <c r="A1651" s="1939" t="s">
        <v>2259</v>
      </c>
      <c r="B1651" s="1927" t="s">
        <v>3041</v>
      </c>
      <c r="F1651" s="1928">
        <v>0</v>
      </c>
    </row>
    <row r="1652" spans="1:6" x14ac:dyDescent="0.25">
      <c r="A1652" s="1939" t="s">
        <v>3141</v>
      </c>
      <c r="B1652" s="1927" t="s">
        <v>3042</v>
      </c>
      <c r="F1652" s="1928">
        <v>-51697.73</v>
      </c>
    </row>
    <row r="1653" spans="1:6" x14ac:dyDescent="0.25">
      <c r="A1653" s="1939" t="s">
        <v>3142</v>
      </c>
      <c r="B1653" s="1927" t="s">
        <v>3043</v>
      </c>
      <c r="F1653" s="1928">
        <v>-118685.18</v>
      </c>
    </row>
    <row r="1654" spans="1:6" x14ac:dyDescent="0.25">
      <c r="A1654" s="1939" t="s">
        <v>3143</v>
      </c>
      <c r="B1654" s="1927" t="s">
        <v>3044</v>
      </c>
      <c r="F1654" s="1928">
        <v>0</v>
      </c>
    </row>
    <row r="1655" spans="1:6" x14ac:dyDescent="0.25">
      <c r="A1655" s="1939" t="s">
        <v>3045</v>
      </c>
      <c r="B1655" s="1927" t="s">
        <v>3046</v>
      </c>
      <c r="F1655" s="1928">
        <v>-170382.91</v>
      </c>
    </row>
    <row r="1656" spans="1:6" x14ac:dyDescent="0.25">
      <c r="A1656" s="1939" t="s">
        <v>943</v>
      </c>
      <c r="B1656" s="1927" t="s">
        <v>2185</v>
      </c>
      <c r="F1656" s="1928">
        <v>0</v>
      </c>
    </row>
    <row r="1657" spans="1:6" x14ac:dyDescent="0.25">
      <c r="A1657" s="1939" t="s">
        <v>3172</v>
      </c>
      <c r="B1657" s="1927" t="s">
        <v>201</v>
      </c>
      <c r="F1657" s="1928">
        <v>0</v>
      </c>
    </row>
    <row r="1658" spans="1:6" x14ac:dyDescent="0.25">
      <c r="A1658" s="1939" t="s">
        <v>3144</v>
      </c>
      <c r="B1658" s="1927" t="s">
        <v>3012</v>
      </c>
      <c r="F1658" s="1928">
        <v>0</v>
      </c>
    </row>
    <row r="1659" spans="1:6" x14ac:dyDescent="0.25">
      <c r="A1659" s="1939" t="s">
        <v>2087</v>
      </c>
      <c r="B1659" s="1927" t="s">
        <v>3016</v>
      </c>
      <c r="F1659" s="1928">
        <v>0</v>
      </c>
    </row>
    <row r="1660" spans="1:6" x14ac:dyDescent="0.25">
      <c r="A1660" s="1939" t="s">
        <v>3145</v>
      </c>
      <c r="B1660" s="1927" t="s">
        <v>3017</v>
      </c>
      <c r="F1660" s="1928">
        <v>0</v>
      </c>
    </row>
    <row r="1661" spans="1:6" x14ac:dyDescent="0.25">
      <c r="A1661" s="1939" t="s">
        <v>3146</v>
      </c>
      <c r="B1661" s="1927" t="s">
        <v>3061</v>
      </c>
      <c r="F1661" s="1928">
        <v>0</v>
      </c>
    </row>
    <row r="1662" spans="1:6" x14ac:dyDescent="0.25">
      <c r="A1662" s="1939" t="s">
        <v>3147</v>
      </c>
      <c r="B1662" s="1927" t="s">
        <v>3062</v>
      </c>
      <c r="F1662" s="1928">
        <v>0</v>
      </c>
    </row>
    <row r="1663" spans="1:6" x14ac:dyDescent="0.25">
      <c r="A1663" s="1939" t="s">
        <v>2255</v>
      </c>
      <c r="B1663" s="1927" t="s">
        <v>3039</v>
      </c>
      <c r="F1663" s="1928">
        <v>0</v>
      </c>
    </row>
    <row r="1664" spans="1:6" x14ac:dyDescent="0.25">
      <c r="A1664" s="1939" t="s">
        <v>3148</v>
      </c>
      <c r="B1664" s="1927" t="s">
        <v>3042</v>
      </c>
      <c r="F1664" s="1928">
        <v>0</v>
      </c>
    </row>
    <row r="1665" spans="1:6" x14ac:dyDescent="0.25">
      <c r="A1665" s="1939" t="s">
        <v>3149</v>
      </c>
      <c r="B1665" s="1927" t="s">
        <v>3043</v>
      </c>
      <c r="F1665" s="1928">
        <v>0</v>
      </c>
    </row>
    <row r="1666" spans="1:6" x14ac:dyDescent="0.25">
      <c r="A1666" s="1939" t="s">
        <v>3045</v>
      </c>
      <c r="B1666" s="1927" t="s">
        <v>3046</v>
      </c>
      <c r="F1666" s="1928">
        <v>0</v>
      </c>
    </row>
    <row r="1667" spans="1:6" x14ac:dyDescent="0.25">
      <c r="A1667" s="1939" t="s">
        <v>944</v>
      </c>
      <c r="B1667" s="1927" t="s">
        <v>2186</v>
      </c>
      <c r="F1667" s="1928">
        <v>0</v>
      </c>
    </row>
    <row r="1668" spans="1:6" x14ac:dyDescent="0.25">
      <c r="A1668" s="1987" t="s">
        <v>3961</v>
      </c>
      <c r="B1668" s="1927" t="s">
        <v>201</v>
      </c>
      <c r="F1668" s="1982">
        <v>-743393.6</v>
      </c>
    </row>
    <row r="1669" spans="1:6" x14ac:dyDescent="0.25">
      <c r="A1669" s="1939" t="s">
        <v>3186</v>
      </c>
      <c r="B1669" s="1927" t="s">
        <v>3012</v>
      </c>
      <c r="F1669" s="1928">
        <v>6528775.46</v>
      </c>
    </row>
    <row r="1670" spans="1:6" x14ac:dyDescent="0.25">
      <c r="A1670" s="1939" t="s">
        <v>3150</v>
      </c>
      <c r="B1670" s="1927" t="s">
        <v>3063</v>
      </c>
      <c r="F1670" s="1928">
        <v>44745.86</v>
      </c>
    </row>
    <row r="1671" spans="1:6" x14ac:dyDescent="0.25">
      <c r="A1671" s="1939" t="s">
        <v>3151</v>
      </c>
      <c r="B1671" s="1927" t="s">
        <v>3048</v>
      </c>
      <c r="F1671" s="1928">
        <v>0</v>
      </c>
    </row>
    <row r="1672" spans="1:6" x14ac:dyDescent="0.25">
      <c r="A1672" s="1939" t="s">
        <v>3152</v>
      </c>
      <c r="B1672" s="1927" t="s">
        <v>3057</v>
      </c>
      <c r="F1672" s="1928">
        <v>0</v>
      </c>
    </row>
    <row r="1673" spans="1:6" x14ac:dyDescent="0.25">
      <c r="A1673" s="1939" t="s">
        <v>3153</v>
      </c>
      <c r="B1673" s="1927" t="s">
        <v>3049</v>
      </c>
      <c r="F1673" s="1928">
        <v>0</v>
      </c>
    </row>
    <row r="1674" spans="1:6" x14ac:dyDescent="0.25">
      <c r="A1674" s="1939" t="s">
        <v>3154</v>
      </c>
      <c r="B1674" s="1927" t="s">
        <v>3064</v>
      </c>
      <c r="F1674" s="1928">
        <v>0</v>
      </c>
    </row>
    <row r="1675" spans="1:6" x14ac:dyDescent="0.25">
      <c r="A1675" s="1939" t="s">
        <v>2087</v>
      </c>
      <c r="B1675" s="1927" t="s">
        <v>3016</v>
      </c>
      <c r="F1675" s="1928">
        <v>5830127.7199999997</v>
      </c>
    </row>
    <row r="1676" spans="1:6" x14ac:dyDescent="0.25">
      <c r="A1676" s="1939" t="s">
        <v>3155</v>
      </c>
      <c r="B1676" s="1927" t="s">
        <v>3017</v>
      </c>
      <c r="F1676" s="1928">
        <v>0</v>
      </c>
    </row>
    <row r="1677" spans="1:6" x14ac:dyDescent="0.25">
      <c r="A1677" s="1939" t="s">
        <v>2255</v>
      </c>
      <c r="B1677" s="1927" t="s">
        <v>3039</v>
      </c>
      <c r="F1677" s="1928">
        <v>0</v>
      </c>
    </row>
    <row r="1678" spans="1:6" x14ac:dyDescent="0.25">
      <c r="A1678" s="1939" t="s">
        <v>3156</v>
      </c>
      <c r="B1678" s="1927" t="s">
        <v>3042</v>
      </c>
      <c r="F1678" s="1928">
        <v>482614.72</v>
      </c>
    </row>
    <row r="1679" spans="1:6" x14ac:dyDescent="0.25">
      <c r="A1679" s="1939" t="s">
        <v>3157</v>
      </c>
      <c r="B1679" s="1927" t="s">
        <v>3043</v>
      </c>
      <c r="F1679" s="1928">
        <v>-6312742.4400000004</v>
      </c>
    </row>
    <row r="1680" spans="1:6" x14ac:dyDescent="0.25">
      <c r="A1680" s="1939" t="s">
        <v>3158</v>
      </c>
      <c r="B1680" s="1927" t="s">
        <v>3044</v>
      </c>
      <c r="F1680" s="1928">
        <v>0</v>
      </c>
    </row>
    <row r="1681" spans="1:6" x14ac:dyDescent="0.25">
      <c r="A1681" s="1939" t="s">
        <v>3045</v>
      </c>
      <c r="B1681" s="1927" t="s">
        <v>3046</v>
      </c>
      <c r="F1681" s="1928">
        <v>-5830127.7199999997</v>
      </c>
    </row>
    <row r="1682" spans="1:6" x14ac:dyDescent="0.25">
      <c r="A1682" s="1939" t="s">
        <v>945</v>
      </c>
      <c r="B1682" s="1927" t="s">
        <v>2188</v>
      </c>
      <c r="F1682" s="1928">
        <v>0</v>
      </c>
    </row>
    <row r="1683" spans="1:6" x14ac:dyDescent="0.25">
      <c r="A1683" s="1939" t="s">
        <v>3173</v>
      </c>
      <c r="B1683" s="1927" t="s">
        <v>201</v>
      </c>
      <c r="F1683" s="1928">
        <v>146441.34</v>
      </c>
    </row>
    <row r="1684" spans="1:6" x14ac:dyDescent="0.25">
      <c r="A1684" s="1939" t="s">
        <v>3159</v>
      </c>
      <c r="B1684" s="1927" t="s">
        <v>3012</v>
      </c>
      <c r="F1684" s="1928">
        <v>0</v>
      </c>
    </row>
    <row r="1685" spans="1:6" x14ac:dyDescent="0.25">
      <c r="A1685" s="1939" t="s">
        <v>2087</v>
      </c>
      <c r="B1685" s="1927" t="s">
        <v>3016</v>
      </c>
      <c r="F1685" s="1928">
        <v>146441.34</v>
      </c>
    </row>
    <row r="1686" spans="1:6" x14ac:dyDescent="0.25">
      <c r="A1686" s="1939" t="s">
        <v>3160</v>
      </c>
      <c r="B1686" s="1927" t="s">
        <v>3017</v>
      </c>
      <c r="F1686" s="1928">
        <v>0</v>
      </c>
    </row>
    <row r="1687" spans="1:6" x14ac:dyDescent="0.25">
      <c r="A1687" s="1939" t="s">
        <v>2255</v>
      </c>
      <c r="B1687" s="1927" t="s">
        <v>3039</v>
      </c>
      <c r="F1687" s="1928">
        <v>0</v>
      </c>
    </row>
    <row r="1688" spans="1:6" x14ac:dyDescent="0.25">
      <c r="A1688" s="1939" t="s">
        <v>3161</v>
      </c>
      <c r="B1688" s="1927" t="s">
        <v>3042</v>
      </c>
      <c r="F1688" s="1928">
        <v>-27586.97</v>
      </c>
    </row>
    <row r="1689" spans="1:6" x14ac:dyDescent="0.25">
      <c r="A1689" s="1939" t="s">
        <v>3162</v>
      </c>
      <c r="B1689" s="1927" t="s">
        <v>3043</v>
      </c>
      <c r="F1689" s="1928">
        <v>-118854.37</v>
      </c>
    </row>
    <row r="1690" spans="1:6" x14ac:dyDescent="0.25">
      <c r="A1690" s="1939" t="s">
        <v>3045</v>
      </c>
      <c r="B1690" s="1927" t="s">
        <v>3046</v>
      </c>
      <c r="F1690" s="1928">
        <v>-146441.34</v>
      </c>
    </row>
    <row r="1691" spans="1:6" x14ac:dyDescent="0.25">
      <c r="A1691" s="1939" t="s">
        <v>946</v>
      </c>
      <c r="B1691" s="1927" t="s">
        <v>2190</v>
      </c>
      <c r="F1691" s="1928">
        <v>0</v>
      </c>
    </row>
    <row r="1692" spans="1:6" x14ac:dyDescent="0.25">
      <c r="A1692" s="1939" t="s">
        <v>3174</v>
      </c>
      <c r="B1692" s="1927" t="s">
        <v>201</v>
      </c>
      <c r="F1692" s="1928">
        <v>1282.27</v>
      </c>
    </row>
    <row r="1693" spans="1:6" x14ac:dyDescent="0.25">
      <c r="A1693" s="1939" t="s">
        <v>3841</v>
      </c>
      <c r="B1693" s="1927" t="s">
        <v>3012</v>
      </c>
      <c r="F1693" s="1928">
        <v>460432.61</v>
      </c>
    </row>
    <row r="1694" spans="1:6" x14ac:dyDescent="0.25">
      <c r="A1694" s="1939" t="s">
        <v>2087</v>
      </c>
      <c r="B1694" s="1927" t="s">
        <v>3016</v>
      </c>
      <c r="F1694" s="1928">
        <v>461714.88</v>
      </c>
    </row>
    <row r="1695" spans="1:6" x14ac:dyDescent="0.25">
      <c r="A1695" s="1939" t="s">
        <v>3163</v>
      </c>
      <c r="B1695" s="1927" t="s">
        <v>3017</v>
      </c>
      <c r="F1695" s="1928">
        <v>0</v>
      </c>
    </row>
    <row r="1696" spans="1:6" x14ac:dyDescent="0.25">
      <c r="A1696" s="1939" t="s">
        <v>2255</v>
      </c>
      <c r="B1696" s="1927" t="s">
        <v>3039</v>
      </c>
      <c r="F1696" s="1928">
        <v>0</v>
      </c>
    </row>
    <row r="1697" spans="1:6" x14ac:dyDescent="0.25">
      <c r="A1697" s="1939" t="s">
        <v>3164</v>
      </c>
      <c r="B1697" s="1927" t="s">
        <v>3042</v>
      </c>
      <c r="F1697" s="1928">
        <v>-10432.61</v>
      </c>
    </row>
    <row r="1698" spans="1:6" x14ac:dyDescent="0.25">
      <c r="A1698" s="1939" t="s">
        <v>3165</v>
      </c>
      <c r="B1698" s="1927" t="s">
        <v>3043</v>
      </c>
      <c r="F1698" s="1928">
        <v>-451282.27</v>
      </c>
    </row>
    <row r="1699" spans="1:6" x14ac:dyDescent="0.25">
      <c r="A1699" s="1939" t="s">
        <v>3166</v>
      </c>
      <c r="B1699" s="1927" t="s">
        <v>3044</v>
      </c>
      <c r="F1699" s="1928">
        <v>0</v>
      </c>
    </row>
    <row r="1700" spans="1:6" x14ac:dyDescent="0.25">
      <c r="A1700" s="1939" t="s">
        <v>3045</v>
      </c>
      <c r="B1700" s="1927" t="s">
        <v>3046</v>
      </c>
      <c r="F1700" s="1928">
        <v>-461714.88</v>
      </c>
    </row>
    <row r="1701" spans="1:6" x14ac:dyDescent="0.25">
      <c r="A1701" s="1939" t="s">
        <v>947</v>
      </c>
      <c r="B1701" s="1927" t="s">
        <v>2193</v>
      </c>
      <c r="F1701" s="1928">
        <v>0</v>
      </c>
    </row>
    <row r="1702" spans="1:6" x14ac:dyDescent="0.25">
      <c r="A1702" s="1939" t="s">
        <v>156</v>
      </c>
      <c r="B1702" s="1927" t="s">
        <v>264</v>
      </c>
      <c r="F1702" s="1928">
        <v>0</v>
      </c>
    </row>
  </sheetData>
  <conditionalFormatting sqref="A1:A1048576">
    <cfRule type="containsText" dxfId="1" priority="5" operator="containsText" text=" 5">
      <formula>NOT(ISERROR(SEARCH(" 5",A1)))</formula>
    </cfRule>
  </conditionalFormatting>
  <conditionalFormatting sqref="I271:I1527 A2:A1527">
    <cfRule type="containsText" dxfId="0" priority="4" operator="containsText" text="*-5">
      <formula>NOT(ISERROR(SEARCH("*-5",A2)))</formula>
    </cfRule>
  </conditionalFormatting>
  <pageMargins left="0.2" right="0.2"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B7"/>
  <sheetViews>
    <sheetView workbookViewId="0">
      <selection activeCell="H36" sqref="H36"/>
    </sheetView>
  </sheetViews>
  <sheetFormatPr defaultRowHeight="12.75" x14ac:dyDescent="0.2"/>
  <cols>
    <col min="1" max="1" width="47.28515625" bestFit="1" customWidth="1"/>
    <col min="2" max="2" width="10.42578125" bestFit="1" customWidth="1"/>
  </cols>
  <sheetData>
    <row r="1" spans="1:2" ht="33" customHeight="1" x14ac:dyDescent="0.2">
      <c r="A1" s="1910" t="s">
        <v>2074</v>
      </c>
      <c r="B1" s="1911" t="s">
        <v>2072</v>
      </c>
    </row>
    <row r="2" spans="1:2" s="1913" customFormat="1" x14ac:dyDescent="0.2">
      <c r="A2" s="1912"/>
      <c r="B2" s="1912"/>
    </row>
    <row r="3" spans="1:2" ht="33" customHeight="1" x14ac:dyDescent="0.2">
      <c r="A3" s="1914" t="s">
        <v>2075</v>
      </c>
      <c r="B3" s="1911" t="s">
        <v>2073</v>
      </c>
    </row>
    <row r="5" spans="1:2" ht="25.5" x14ac:dyDescent="0.2">
      <c r="A5" s="1914" t="s">
        <v>2076</v>
      </c>
      <c r="B5" s="1911" t="s">
        <v>2077</v>
      </c>
    </row>
    <row r="7" spans="1:2" x14ac:dyDescent="0.2">
      <c r="A7" s="1914" t="s">
        <v>3008</v>
      </c>
      <c r="B7" s="1911" t="s">
        <v>3007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F172" sqref="F17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5" t="s">
        <v>386</v>
      </c>
      <c r="B1" s="2135"/>
      <c r="C1" s="2135"/>
      <c r="D1" s="2135"/>
      <c r="E1" s="2135"/>
      <c r="F1" s="2135"/>
      <c r="G1" s="2135"/>
      <c r="H1" s="2135"/>
      <c r="I1" s="2135"/>
      <c r="J1" s="2135"/>
      <c r="K1" s="2135"/>
      <c r="L1" s="2135"/>
      <c r="M1" s="213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350316895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2.24E-2</v>
      </c>
      <c r="E10" s="356" t="s">
        <v>1005</v>
      </c>
      <c r="F10" s="355">
        <v>2.5000000000000001E-3</v>
      </c>
      <c r="G10" s="356" t="s">
        <v>1005</v>
      </c>
      <c r="H10" s="355">
        <v>1.1999999999999999E-3</v>
      </c>
      <c r="I10" s="356" t="s">
        <v>1006</v>
      </c>
      <c r="J10" s="1702">
        <f>ROUND(D10+F10+H10,5)</f>
        <v>2.6100000000000002E-2</v>
      </c>
      <c r="K10" s="222"/>
      <c r="L10" s="355">
        <v>5.0000000000000001E-4</v>
      </c>
      <c r="M10" s="222"/>
    </row>
    <row r="11" spans="1:14" ht="7.5" customHeight="1" x14ac:dyDescent="0.2">
      <c r="B11" s="222"/>
      <c r="C11" s="222"/>
      <c r="D11" s="2145" t="str">
        <f>IF(SUM(J10)&lt;=0.0999999,"","Enter the Tax Rates by moving the decimal two places to the left.")</f>
        <v/>
      </c>
      <c r="E11" s="2146"/>
      <c r="F11" s="2146"/>
      <c r="G11" s="2146"/>
      <c r="H11" s="2146"/>
      <c r="I11" s="2146"/>
      <c r="J11" s="214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3">
        <f ca="1">SUM('Acct Summary 7-8'!C8,'Acct Summary 7-8'!D8,'Acct Summary 7-8'!F8,'Acct Summary 7-8'!I8)</f>
        <v>20282945</v>
      </c>
      <c r="E16" s="356"/>
      <c r="F16" s="1703">
        <f ca="1">SUM('Acct Summary 7-8'!C17,'Acct Summary 7-8'!D17,'Acct Summary 7-8'!F17)</f>
        <v>20702073</v>
      </c>
      <c r="G16" s="356"/>
      <c r="H16" s="1703">
        <f ca="1">SUM(D16-F16)</f>
        <v>-419128</v>
      </c>
      <c r="I16" s="222"/>
      <c r="J16" s="1703">
        <f ca="1">SUM('Acct Summary 7-8'!C81,'Acct Summary 7-8'!D81,'Acct Summary 7-8'!F81,'Acct Summary 7-8'!I81)</f>
        <v>9302815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3">
        <f>'Short-Term Long-Term Debt 24'!F4</f>
        <v>0</v>
      </c>
      <c r="E22" s="356" t="s">
        <v>1005</v>
      </c>
      <c r="F22" s="1703">
        <f>'Short-Term Long-Term Debt 24'!F15</f>
        <v>0</v>
      </c>
      <c r="G22" s="356" t="s">
        <v>1005</v>
      </c>
      <c r="H22" s="1703">
        <f>'Short-Term Long-Term Debt 24'!F21</f>
        <v>0</v>
      </c>
      <c r="I22" s="356" t="s">
        <v>1005</v>
      </c>
      <c r="J22" s="1703">
        <f>'Short-Term Long-Term Debt 24'!F23</f>
        <v>0</v>
      </c>
      <c r="K22" s="356" t="s">
        <v>1005</v>
      </c>
      <c r="L22" s="170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3">
        <f>'Short-Term Long-Term Debt 24'!F27</f>
        <v>0</v>
      </c>
      <c r="E24" s="356" t="s">
        <v>1006</v>
      </c>
      <c r="F24" s="170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05">
        <f>IF(B31="X",(J7*0.069),IF(B32="X",(J7*0.138),"Enter x in a.or b."))</f>
        <v>24171865.755000003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4">
        <f>'Assets-Liab 5-6'!N36</f>
        <v>9936525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36"/>
      <c r="C54" s="2137"/>
      <c r="D54" s="2137"/>
      <c r="E54" s="2137"/>
      <c r="F54" s="2137"/>
      <c r="G54" s="2137"/>
      <c r="H54" s="2137"/>
      <c r="I54" s="2137"/>
      <c r="J54" s="2137"/>
      <c r="K54" s="2137"/>
      <c r="L54" s="2138"/>
      <c r="M54" s="380"/>
    </row>
    <row r="55" spans="1:13" ht="12.75" customHeight="1" x14ac:dyDescent="0.2">
      <c r="B55" s="2139"/>
      <c r="C55" s="2140"/>
      <c r="D55" s="2140"/>
      <c r="E55" s="2140"/>
      <c r="F55" s="2140"/>
      <c r="G55" s="2140"/>
      <c r="H55" s="2140"/>
      <c r="I55" s="2140"/>
      <c r="J55" s="2140"/>
      <c r="K55" s="2140"/>
      <c r="L55" s="2141"/>
      <c r="M55" s="380"/>
    </row>
    <row r="56" spans="1:13" ht="12.75" customHeight="1" x14ac:dyDescent="0.2">
      <c r="B56" s="2139"/>
      <c r="C56" s="2140"/>
      <c r="D56" s="2140"/>
      <c r="E56" s="2140"/>
      <c r="F56" s="2140"/>
      <c r="G56" s="2140"/>
      <c r="H56" s="2140"/>
      <c r="I56" s="2140"/>
      <c r="J56" s="2140"/>
      <c r="K56" s="2140"/>
      <c r="L56" s="2141"/>
      <c r="M56" s="222"/>
    </row>
    <row r="57" spans="1:13" ht="12.75" customHeight="1" x14ac:dyDescent="0.2">
      <c r="B57" s="2139"/>
      <c r="C57" s="2140"/>
      <c r="D57" s="2140"/>
      <c r="E57" s="2140"/>
      <c r="F57" s="2140"/>
      <c r="G57" s="2140"/>
      <c r="H57" s="2140"/>
      <c r="I57" s="2140"/>
      <c r="J57" s="2140"/>
      <c r="K57" s="2140"/>
      <c r="L57" s="2141"/>
      <c r="M57" s="222"/>
    </row>
    <row r="58" spans="1:13" x14ac:dyDescent="0.2">
      <c r="B58" s="2142"/>
      <c r="C58" s="2143"/>
      <c r="D58" s="2143"/>
      <c r="E58" s="2143"/>
      <c r="F58" s="2143"/>
      <c r="G58" s="2143"/>
      <c r="H58" s="2143"/>
      <c r="I58" s="2143"/>
      <c r="J58" s="2143"/>
      <c r="K58" s="2143"/>
      <c r="L58" s="214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7"/>
      <c r="D61" s="214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F172" sqref="F17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0"/>
      <c r="B1" s="2151"/>
      <c r="C1" s="2151"/>
      <c r="D1" s="384"/>
      <c r="E1" s="384"/>
      <c r="F1" s="384"/>
      <c r="G1" s="384"/>
      <c r="H1" s="384"/>
      <c r="I1" s="384"/>
      <c r="J1" s="384"/>
      <c r="K1" s="384"/>
      <c r="L1" s="384"/>
      <c r="M1" s="384"/>
      <c r="N1" s="384"/>
      <c r="O1" s="2150"/>
      <c r="P1" s="2151"/>
      <c r="Q1" s="2151"/>
    </row>
    <row r="2" spans="1:18" ht="15" x14ac:dyDescent="0.2">
      <c r="A2" s="2154" t="s">
        <v>556</v>
      </c>
      <c r="B2" s="2154"/>
      <c r="C2" s="2154"/>
      <c r="D2" s="2154"/>
      <c r="E2" s="2154"/>
      <c r="F2" s="2154"/>
      <c r="G2" s="2154"/>
      <c r="H2" s="2154"/>
      <c r="I2" s="2154"/>
      <c r="J2" s="2154"/>
      <c r="K2" s="2154"/>
      <c r="L2" s="2154"/>
      <c r="M2" s="2154"/>
      <c r="N2" s="2154"/>
      <c r="O2" s="2154"/>
      <c r="P2" s="2154"/>
      <c r="Q2" s="2154"/>
      <c r="R2" s="2154"/>
    </row>
    <row r="3" spans="1:18" ht="12.75" x14ac:dyDescent="0.2">
      <c r="A3" s="2155" t="s">
        <v>1413</v>
      </c>
      <c r="B3" s="2155"/>
      <c r="C3" s="2155"/>
      <c r="D3" s="2155"/>
      <c r="E3" s="2155"/>
      <c r="F3" s="2155"/>
      <c r="G3" s="2155"/>
      <c r="H3" s="2155"/>
      <c r="I3" s="2155"/>
      <c r="J3" s="2155"/>
      <c r="K3" s="2155"/>
      <c r="L3" s="2155"/>
      <c r="M3" s="2155"/>
      <c r="N3" s="2155"/>
      <c r="O3" s="2155"/>
      <c r="P3" s="2155"/>
      <c r="Q3" s="2155"/>
      <c r="R3" s="2155"/>
    </row>
    <row r="4" spans="1:18" x14ac:dyDescent="0.2">
      <c r="A4" s="2156" t="s">
        <v>1554</v>
      </c>
      <c r="B4" s="2156"/>
      <c r="C4" s="2156"/>
      <c r="D4" s="2156"/>
      <c r="E4" s="2156"/>
      <c r="F4" s="2156"/>
      <c r="G4" s="2156"/>
      <c r="H4" s="2156"/>
      <c r="I4" s="2156"/>
      <c r="J4" s="2156"/>
      <c r="K4" s="2156"/>
      <c r="L4" s="2156"/>
      <c r="M4" s="2156"/>
      <c r="N4" s="2156"/>
      <c r="O4" s="2156"/>
      <c r="P4" s="2156"/>
      <c r="Q4" s="2156"/>
      <c r="R4" s="215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Ottawa ESD 141</v>
      </c>
      <c r="E7" s="391"/>
      <c r="G7" s="252"/>
      <c r="H7" s="387"/>
      <c r="I7" s="387"/>
      <c r="J7" s="387"/>
      <c r="K7" s="387"/>
      <c r="L7" s="329"/>
      <c r="M7" s="329"/>
      <c r="N7" s="329"/>
      <c r="O7" s="329"/>
      <c r="P7" s="329"/>
    </row>
    <row r="8" spans="1:18" ht="12.75" x14ac:dyDescent="0.2">
      <c r="A8" s="329"/>
      <c r="B8" s="329"/>
      <c r="C8" s="389" t="s">
        <v>1125</v>
      </c>
      <c r="D8" s="392">
        <f>COVER!A13</f>
        <v>35050141002</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 ca="1">IF(K12&gt;0.24999,"4",IF(K12&gt;0.09999,"3",IF(K12&gt;=0,"2",1)))</f>
        <v>4</v>
      </c>
      <c r="P11" s="216"/>
      <c r="Q11" s="216"/>
    </row>
    <row r="12" spans="1:18" s="408" customFormat="1" ht="11.25" x14ac:dyDescent="0.2">
      <c r="A12" s="218"/>
      <c r="B12" s="401"/>
      <c r="C12" s="218" t="s">
        <v>1365</v>
      </c>
      <c r="D12" s="218"/>
      <c r="E12" s="218"/>
      <c r="F12" s="218" t="s">
        <v>1091</v>
      </c>
      <c r="G12" s="402"/>
      <c r="H12" s="403">
        <f ca="1">SUM('Acct Summary 7-8'!C81+'Acct Summary 7-8'!D81+'Acct Summary 7-8'!F81+'Acct Summary 7-8'!I81+IF('Acct Summary 7-8'!G81&lt;0,'Acct Summary 7-8'!G81,"0")+IF('Acct Summary 7-8'!J81&lt;0,'Acct Summary 7-8'!J81,"0"))</f>
        <v>9302815</v>
      </c>
      <c r="I12" s="404"/>
      <c r="J12" s="404"/>
      <c r="K12" s="405">
        <f ca="1">TRUNC((H12/H13*100000),5)/100000</f>
        <v>0.46413077819999998</v>
      </c>
      <c r="L12" s="406"/>
      <c r="M12" s="360" t="s">
        <v>1144</v>
      </c>
      <c r="N12" s="360"/>
      <c r="O12" s="407">
        <v>0.35</v>
      </c>
      <c r="P12" s="218"/>
      <c r="Q12" s="218"/>
    </row>
    <row r="13" spans="1:18" s="408" customFormat="1" ht="12.75" x14ac:dyDescent="0.2">
      <c r="A13" s="218"/>
      <c r="B13" s="401"/>
      <c r="C13" s="2152" t="s">
        <v>1324</v>
      </c>
      <c r="D13" s="2153"/>
      <c r="E13" s="218"/>
      <c r="F13" s="409" t="s">
        <v>793</v>
      </c>
      <c r="G13" s="402"/>
      <c r="H13" s="403">
        <f ca="1">SUM('Acct Summary 7-8'!C8+'Acct Summary 7-8'!D8+'Acct Summary 7-8'!F8+'Acct Summary 7-8'!I8)+H14</f>
        <v>20043521</v>
      </c>
      <c r="I13" s="404"/>
      <c r="J13" s="404"/>
      <c r="K13" s="410"/>
      <c r="L13" s="218"/>
      <c r="M13" s="360" t="s">
        <v>1145</v>
      </c>
      <c r="N13" s="360"/>
      <c r="O13" s="411">
        <f ca="1">(O11*O12)</f>
        <v>1.4</v>
      </c>
      <c r="P13" s="218"/>
      <c r="Q13" s="218"/>
      <c r="R13" s="412"/>
    </row>
    <row r="14" spans="1:18" s="408" customFormat="1" ht="12.75" x14ac:dyDescent="0.2">
      <c r="A14" s="218"/>
      <c r="B14" s="401"/>
      <c r="C14" s="240" t="s">
        <v>1397</v>
      </c>
      <c r="D14" s="413"/>
      <c r="E14" s="218"/>
      <c r="F14" s="409" t="s">
        <v>795</v>
      </c>
      <c r="G14" s="402"/>
      <c r="H14" s="403">
        <f ca="1">-SUM('Acct Summary 7-8'!C54:D56,'Acct Summary 7-8'!C58:D60,'Acct Summary 7-8'!C62:D64,'Acct Summary 7-8'!C66:D68,'Acct Summary 7-8'!C70:D72,'Acct Summary 7-8'!C74:D74)</f>
        <v>-239424</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 ca="1">IF(K17&gt;1.2,"1",IF(K17&gt;1.1,"2",IF(K17&gt;1,"3",4)))</f>
        <v>3</v>
      </c>
      <c r="P16" s="216"/>
      <c r="R16" s="384"/>
    </row>
    <row r="17" spans="1:18" s="408" customFormat="1" ht="11.25" x14ac:dyDescent="0.2">
      <c r="A17" s="218"/>
      <c r="B17" s="401"/>
      <c r="C17" s="218" t="s">
        <v>797</v>
      </c>
      <c r="D17" s="218"/>
      <c r="E17" s="218"/>
      <c r="F17" s="218" t="s">
        <v>444</v>
      </c>
      <c r="G17" s="402"/>
      <c r="H17" s="403">
        <f ca="1">SUM('Acct Summary 7-8'!C17+'Acct Summary 7-8'!D17+'Acct Summary 7-8'!F17)</f>
        <v>20702073</v>
      </c>
      <c r="I17" s="404"/>
      <c r="J17" s="416"/>
      <c r="K17" s="405">
        <f ca="1">TRUNC((H17/H18*100000),5)/100000</f>
        <v>1.0328561033999999</v>
      </c>
      <c r="L17" s="406"/>
      <c r="M17" s="417" t="s">
        <v>1171</v>
      </c>
      <c r="O17" s="418" t="str">
        <f ca="1">IF(AND(O16="2", J20 &gt; 2),"1",IF(AND(O16 = "1", J20 &gt; 2),"2",IF(AND(O16="1", J20 &gt;1),"1","0")))</f>
        <v>0</v>
      </c>
      <c r="P17" s="218"/>
    </row>
    <row r="18" spans="1:18" s="408" customFormat="1" ht="11.25" x14ac:dyDescent="0.2">
      <c r="A18" s="218"/>
      <c r="B18" s="401"/>
      <c r="C18" s="2152" t="s">
        <v>1317</v>
      </c>
      <c r="D18" s="2153"/>
      <c r="E18" s="218"/>
      <c r="F18" s="419" t="s">
        <v>794</v>
      </c>
      <c r="G18" s="402"/>
      <c r="H18" s="403">
        <f ca="1">SUM('Acct Summary 7-8'!C8+'Acct Summary 7-8'!D8+'Acct Summary 7-8'!F8+'Acct Summary 7-8'!I8)+H19</f>
        <v>20043521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 ca="1">-SUM('Acct Summary 7-8'!C54:D56,'Acct Summary 7-8'!C58:D60,'Acct Summary 7-8'!C62:D64,'Acct Summary 7-8'!C66:D68,'Acct Summary 7-8'!C70:D72,'Acct Summary 7-8'!C74:D74)</f>
        <v>-239424</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 ca="1">IF(K17&lt;=1,"0",TRUNC(((K12-0.1)/(K17-1)*100),5)/100)</f>
        <v>11.082591600000001</v>
      </c>
      <c r="K20" s="405" t="str">
        <f ca="1">IF(K17&lt;=1,"0",IF(AND(O16="2", J20 &gt; 2),TRUNC(((K12-0.1)/(K17-1)*100),5)/100,IF(AND(O16 = "1", J20 &gt; 2),TRUNC(((K12-0.1)/(K17-1)*100),5)/100,IF(AND(O16="1", J20 &gt;1),TRUNC(((K12-0.1)/(K17-1)*100),5)/100,""))))</f>
        <v/>
      </c>
      <c r="L20" s="218"/>
      <c r="M20" s="360" t="s">
        <v>1145</v>
      </c>
      <c r="N20" s="360"/>
      <c r="O20" s="411">
        <f ca="1">(O16+O17)*O18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 ca="1">IF(K24&gt;=180,"4",IF(K24&gt;=90,"3",IF(K24&gt;=30,"2",1)))</f>
        <v>3</v>
      </c>
      <c r="P23" s="216"/>
      <c r="R23" s="384"/>
    </row>
    <row r="24" spans="1:18" s="408" customFormat="1" ht="11.25" x14ac:dyDescent="0.2">
      <c r="A24" s="218"/>
      <c r="B24" s="401"/>
      <c r="C24" s="2149" t="s">
        <v>1412</v>
      </c>
      <c r="D24" s="2149"/>
      <c r="E24" s="218"/>
      <c r="F24" s="218" t="s">
        <v>445</v>
      </c>
      <c r="G24" s="402"/>
      <c r="H24" s="403">
        <f ca="1">SUM('Assets-Liab 5-6'!C4+'Assets-Liab 5-6'!D4+'Assets-Liab 5-6'!F4+'Assets-Liab 5-6'!I4+'Assets-Liab 5-6'!C5+'Assets-Liab 5-6'!D5+'Assets-Liab 5-6'!F5+'Assets-Liab 5-6'!I5)</f>
        <v>10013790</v>
      </c>
      <c r="I24" s="422"/>
      <c r="J24" s="422"/>
      <c r="K24" s="423">
        <f ca="1">TRUNC(((H24/H25*100000)/100000),2)</f>
        <v>174.13</v>
      </c>
      <c r="L24" s="424"/>
      <c r="M24" s="360" t="s">
        <v>1144</v>
      </c>
      <c r="N24" s="360"/>
      <c r="O24" s="411">
        <v>0.1</v>
      </c>
      <c r="P24" s="218"/>
    </row>
    <row r="25" spans="1:18" s="408" customFormat="1" ht="12.75" x14ac:dyDescent="0.2">
      <c r="A25" s="218"/>
      <c r="B25" s="401"/>
      <c r="C25" s="218" t="s">
        <v>798</v>
      </c>
      <c r="D25" s="218"/>
      <c r="E25" s="218"/>
      <c r="F25" s="218" t="s">
        <v>446</v>
      </c>
      <c r="G25" s="402"/>
      <c r="H25" s="423">
        <f ca="1">ROUND((H17/360),5)</f>
        <v>57505.758329999997</v>
      </c>
      <c r="I25" s="425"/>
      <c r="J25" s="425"/>
      <c r="K25" s="410"/>
      <c r="L25" s="218"/>
      <c r="M25" s="360" t="s">
        <v>1145</v>
      </c>
      <c r="N25" s="360"/>
      <c r="O25" s="411">
        <f ca="1">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7771780.3155800002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9936525</v>
      </c>
      <c r="I32" s="420"/>
      <c r="J32" s="420"/>
      <c r="K32" s="423">
        <f>TRUNC(100-((((H32/H33*100))*100)/100),2)</f>
        <v>58.89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24171865.755000003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 ca="1">(O13+O20+O25+O29+O33)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 ca="1">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colorId="8" zoomScale="80" zoomScaleNormal="100" zoomScalePageLayoutView="80" workbookViewId="0">
      <selection activeCell="C4" sqref="C4:K4"/>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5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5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59" t="s">
        <v>973</v>
      </c>
      <c r="B3" s="2160"/>
      <c r="C3" s="1529"/>
      <c r="D3" s="1530"/>
      <c r="E3" s="1530"/>
      <c r="F3" s="1530"/>
      <c r="G3" s="1530"/>
      <c r="H3" s="1530"/>
      <c r="I3" s="1530"/>
      <c r="J3" s="1530"/>
      <c r="K3" s="1530"/>
      <c r="L3" s="1530"/>
      <c r="M3" s="1531"/>
      <c r="N3" s="1532"/>
    </row>
    <row r="4" spans="1:14" ht="13.5" customHeight="1" x14ac:dyDescent="0.2">
      <c r="A4" s="463" t="s">
        <v>1651</v>
      </c>
      <c r="B4" s="464"/>
      <c r="C4" s="1924">
        <f ca="1">ROUND(SUMIF(INDIRECT(Formulas!$B$1),MID(C$1,2,2)&amp;"-11*",INDIRECT(Formulas!$B$5)),0)</f>
        <v>2640707</v>
      </c>
      <c r="D4" s="1924">
        <f ca="1">ROUND(SUMIF(INDIRECT(Formulas!$B$1),MID(D$1,2,2)&amp;"-11*",INDIRECT(Formulas!$B$5)),0)</f>
        <v>168793</v>
      </c>
      <c r="E4" s="1924">
        <f ca="1">ROUND(SUMIF(INDIRECT(Formulas!$B$1),MID(E$1,2,2)&amp;"-11*",INDIRECT(Formulas!$B$5)),0)</f>
        <v>0</v>
      </c>
      <c r="F4" s="1924">
        <f ca="1">ROUND(SUMIF(INDIRECT(Formulas!$B$1),MID(F$1,2,2)&amp;"-11*",INDIRECT(Formulas!$B$5)),0)</f>
        <v>650738</v>
      </c>
      <c r="G4" s="1924">
        <f ca="1">ROUND(SUMIF(INDIRECT(Formulas!$B$1),MID(G$1,2,2)&amp;"-11*",INDIRECT(Formulas!$B$5)),0)</f>
        <v>159098</v>
      </c>
      <c r="H4" s="1924">
        <f ca="1">ROUND(SUMIF(INDIRECT(Formulas!$B$1),MID(H$1,2,2)&amp;"-11*",INDIRECT(Formulas!$B$5)),0)</f>
        <v>0</v>
      </c>
      <c r="I4" s="1924">
        <f ca="1">ROUND(SUMIF(INDIRECT(Formulas!$B$1),MID(I$1,2,2)&amp;"-11*",INDIRECT(Formulas!$B$5)),0)</f>
        <v>0</v>
      </c>
      <c r="J4" s="1924">
        <f ca="1">ROUND(SUMIF(INDIRECT(Formulas!$B$1),MID(J$1,2,2)&amp;"-11*",INDIRECT(Formulas!$B$5)),0)</f>
        <v>146441</v>
      </c>
      <c r="K4" s="1924">
        <f ca="1">ROUND(SUMIF(INDIRECT(Formulas!$B$1),MID(K$1,2,2)&amp;"-11*",INDIRECT(Formulas!$B$5)),0)</f>
        <v>1282</v>
      </c>
      <c r="L4" s="466">
        <v>72715</v>
      </c>
      <c r="M4" s="468"/>
      <c r="N4" s="469"/>
    </row>
    <row r="5" spans="1:14" x14ac:dyDescent="0.2">
      <c r="A5" s="463" t="s">
        <v>992</v>
      </c>
      <c r="B5" s="470">
        <v>120</v>
      </c>
      <c r="C5" s="465">
        <f ca="1">ROUND(SUMIF(INDIRECT(Formulas!$B$1),MID(C$1,2,2)&amp;"-"&amp;LEFT($B5,2)&amp;"*",INDIRECT(Formulas!$B$5)),0)</f>
        <v>0</v>
      </c>
      <c r="D5" s="465">
        <f ca="1">ROUND(SUMIF(INDIRECT(Formulas!$B$1),MID(D$1,2,2)&amp;"-"&amp;LEFT($B5,2)&amp;"*",INDIRECT(Formulas!$B$5)),0)</f>
        <v>24777</v>
      </c>
      <c r="E5" s="465">
        <f ca="1">ROUND(SUMIF(INDIRECT(Formulas!$B$1),MID(E$1,2,2)&amp;"-"&amp;LEFT($B5,2)&amp;"*",INDIRECT(Formulas!$B$5)),0)</f>
        <v>0</v>
      </c>
      <c r="F5" s="465">
        <f ca="1">ROUND(SUMIF(INDIRECT(Formulas!$B$1),MID(F$1,2,2)&amp;"-"&amp;LEFT($B5,2)&amp;"*",INDIRECT(Formulas!$B$5)),0)</f>
        <v>0</v>
      </c>
      <c r="G5" s="465">
        <f ca="1">ROUND(SUMIF(INDIRECT(Formulas!$B$1),MID(G$1,2,2)&amp;"-"&amp;LEFT($B5,2)&amp;"*",INDIRECT(Formulas!$B$5)),0)</f>
        <v>0</v>
      </c>
      <c r="H5" s="465">
        <f ca="1">ROUND(SUMIF(INDIRECT(Formulas!$B$1),MID(H$1,2,2)&amp;"-"&amp;LEFT($B5,2)&amp;"*",INDIRECT(Formulas!$B$5)),0)</f>
        <v>0</v>
      </c>
      <c r="I5" s="465">
        <f ca="1">ROUND(SUMIF(INDIRECT(Formulas!$B$1),MID(I$1,2,2)&amp;"-"&amp;LEFT($B5,2)&amp;"*",INDIRECT(Formulas!$B$5)),0)</f>
        <v>6528775</v>
      </c>
      <c r="J5" s="465">
        <f ca="1">ROUND(SUMIF(INDIRECT(Formulas!$B$1),MID(J$1,2,2)&amp;"-"&amp;LEFT($B5,2)&amp;"*",INDIRECT(Formulas!$B$5)),0)</f>
        <v>0</v>
      </c>
      <c r="K5" s="465">
        <f ca="1">ROUND(SUMIF(INDIRECT(Formulas!$B$1),MID(K$1,2,2)&amp;"-"&amp;LEFT($B5,2)&amp;"*",INDIRECT(Formulas!$B$5)),0)</f>
        <v>460433</v>
      </c>
      <c r="L5" s="471"/>
      <c r="M5" s="468"/>
      <c r="N5" s="469"/>
    </row>
    <row r="6" spans="1:14" ht="13.5" customHeight="1" x14ac:dyDescent="0.2">
      <c r="A6" s="472" t="s">
        <v>417</v>
      </c>
      <c r="B6" s="470">
        <v>130</v>
      </c>
      <c r="C6" s="465">
        <f ca="1">ROUND(SUMIF(INDIRECT(Formulas!$B$1),MID(C$1,2,2)&amp;"-"&amp;LEFT($B6,2)&amp;"*",INDIRECT(Formulas!$B$5)),0)</f>
        <v>0</v>
      </c>
      <c r="D6" s="465">
        <f ca="1">ROUND(SUMIF(INDIRECT(Formulas!$B$1),MID(D$1,2,2)&amp;"-"&amp;LEFT($B6,2)&amp;"*",INDIRECT(Formulas!$B$5)),0)</f>
        <v>0</v>
      </c>
      <c r="E6" s="465">
        <f ca="1">ROUND(SUMIF(INDIRECT(Formulas!$B$1),MID(E$1,2,2)&amp;"-"&amp;LEFT($B6,2)&amp;"*",INDIRECT(Formulas!$B$5)),0)</f>
        <v>0</v>
      </c>
      <c r="F6" s="465">
        <f ca="1">ROUND(SUMIF(INDIRECT(Formulas!$B$1),MID(F$1,2,2)&amp;"-"&amp;LEFT($B6,2)&amp;"*",INDIRECT(Formulas!$B$5)),0)</f>
        <v>0</v>
      </c>
      <c r="G6" s="465">
        <f ca="1">ROUND(SUMIF(INDIRECT(Formulas!$B$1),MID(G$1,2,2)&amp;"-"&amp;LEFT($B6,2)&amp;"*",INDIRECT(Formulas!$B$5)),0)</f>
        <v>0</v>
      </c>
      <c r="H6" s="465">
        <f ca="1">ROUND(SUMIF(INDIRECT(Formulas!$B$1),MID(H$1,2,2)&amp;"-"&amp;LEFT($B6,2)&amp;"*",INDIRECT(Formulas!$B$5)),0)</f>
        <v>0</v>
      </c>
      <c r="I6" s="465">
        <f ca="1">ROUND(SUMIF(INDIRECT(Formulas!$B$1),MID(I$1,2,2)&amp;"-"&amp;LEFT($B6,2)&amp;"*",INDIRECT(Formulas!$B$5)),0)</f>
        <v>0</v>
      </c>
      <c r="J6" s="465">
        <f ca="1">ROUND(SUMIF(INDIRECT(Formulas!$B$1),MID(J$1,2,2)&amp;"-"&amp;LEFT($B6,2)&amp;"*",INDIRECT(Formulas!$B$5)),0)</f>
        <v>0</v>
      </c>
      <c r="K6" s="465">
        <f ca="1">ROUND(SUMIF(INDIRECT(Formulas!$B$1),MID(K$1,2,2)&amp;"-"&amp;LEFT($B6,2)&amp;"*",INDIRECT(Formulas!$B$5)),0)</f>
        <v>0</v>
      </c>
      <c r="L6" s="473"/>
      <c r="M6" s="468"/>
      <c r="N6" s="469"/>
    </row>
    <row r="7" spans="1:14" ht="13.5" customHeight="1" x14ac:dyDescent="0.2">
      <c r="A7" s="472" t="s">
        <v>418</v>
      </c>
      <c r="B7" s="470">
        <v>140</v>
      </c>
      <c r="C7" s="465">
        <f ca="1">ROUND(SUMIF(INDIRECT(Formulas!$B$1),MID(C$1,2,2)&amp;"-"&amp;LEFT($B7,2)&amp;"*",INDIRECT(Formulas!$B$5)),0)</f>
        <v>0</v>
      </c>
      <c r="D7" s="465">
        <f ca="1">ROUND(SUMIF(INDIRECT(Formulas!$B$1),MID(D$1,2,2)&amp;"-"&amp;LEFT($B7,2)&amp;"*",INDIRECT(Formulas!$B$5)),0)</f>
        <v>0</v>
      </c>
      <c r="E7" s="465">
        <f ca="1">ROUND(SUMIF(INDIRECT(Formulas!$B$1),MID(E$1,2,2)&amp;"-"&amp;LEFT($B7,2)&amp;"*",INDIRECT(Formulas!$B$5)),0)</f>
        <v>0</v>
      </c>
      <c r="F7" s="465">
        <f ca="1">ROUND(SUMIF(INDIRECT(Formulas!$B$1),MID(F$1,2,2)&amp;"-"&amp;LEFT($B7,2)&amp;"*",INDIRECT(Formulas!$B$5)),0)</f>
        <v>0</v>
      </c>
      <c r="G7" s="465">
        <f ca="1">ROUND(SUMIF(INDIRECT(Formulas!$B$1),MID(G$1,2,2)&amp;"-"&amp;LEFT($B7,2)&amp;"*",INDIRECT(Formulas!$B$5)),0)</f>
        <v>0</v>
      </c>
      <c r="H7" s="465">
        <f ca="1">ROUND(SUMIF(INDIRECT(Formulas!$B$1),MID(H$1,2,2)&amp;"-"&amp;LEFT($B7,2)&amp;"*",INDIRECT(Formulas!$B$5)),0)</f>
        <v>0</v>
      </c>
      <c r="I7" s="465">
        <f ca="1">ROUND(SUMIF(INDIRECT(Formulas!$B$1),MID(I$1,2,2)&amp;"-"&amp;LEFT($B7,2)&amp;"*",INDIRECT(Formulas!$B$5)),0)</f>
        <v>44746</v>
      </c>
      <c r="J7" s="465">
        <f ca="1">ROUND(SUMIF(INDIRECT(Formulas!$B$1),MID(J$1,2,2)&amp;"-"&amp;LEFT($B7,2)&amp;"*",INDIRECT(Formulas!$B$5)),0)</f>
        <v>0</v>
      </c>
      <c r="K7" s="465">
        <f ca="1">ROUND(SUMIF(INDIRECT(Formulas!$B$1),MID(K$1,2,2)&amp;"-"&amp;LEFT($B7,2)&amp;"*",INDIRECT(Formulas!$B$5)),0)</f>
        <v>0</v>
      </c>
      <c r="L7" s="474"/>
      <c r="M7" s="468"/>
      <c r="N7" s="469"/>
    </row>
    <row r="8" spans="1:14" ht="13.5" customHeight="1" x14ac:dyDescent="0.2">
      <c r="A8" s="472" t="s">
        <v>269</v>
      </c>
      <c r="B8" s="470">
        <v>150</v>
      </c>
      <c r="C8" s="465">
        <f ca="1">ROUND(SUMIF(INDIRECT(Formulas!$B$1),MID(C$1,2,2)&amp;"-"&amp;LEFT($B8,2)&amp;"*",INDIRECT(Formulas!$B$5)),0)</f>
        <v>0</v>
      </c>
      <c r="D8" s="465">
        <f ca="1">ROUND(SUMIF(INDIRECT(Formulas!$B$1),MID(D$1,2,2)&amp;"-"&amp;LEFT($B8,2)&amp;"*",INDIRECT(Formulas!$B$5)),0)</f>
        <v>0</v>
      </c>
      <c r="E8" s="465">
        <f ca="1">ROUND(SUMIF(INDIRECT(Formulas!$B$1),MID(E$1,2,2)&amp;"-"&amp;LEFT($B8,2)&amp;"*",INDIRECT(Formulas!$B$5)),0)</f>
        <v>0</v>
      </c>
      <c r="F8" s="465">
        <f ca="1">ROUND(SUMIF(INDIRECT(Formulas!$B$1),MID(F$1,2,2)&amp;"-"&amp;LEFT($B8,2)&amp;"*",INDIRECT(Formulas!$B$5)),0)</f>
        <v>0</v>
      </c>
      <c r="G8" s="465">
        <f ca="1">ROUND(SUMIF(INDIRECT(Formulas!$B$1),MID(G$1,2,2)&amp;"-"&amp;LEFT($B8,2)&amp;"*",INDIRECT(Formulas!$B$5)),0)</f>
        <v>0</v>
      </c>
      <c r="H8" s="465">
        <f ca="1">ROUND(SUMIF(INDIRECT(Formulas!$B$1),MID(H$1,2,2)&amp;"-"&amp;LEFT($B8,2)&amp;"*",INDIRECT(Formulas!$B$5)),0)</f>
        <v>0</v>
      </c>
      <c r="I8" s="465">
        <f ca="1">ROUND(SUMIF(INDIRECT(Formulas!$B$1),MID(I$1,2,2)&amp;"-"&amp;LEFT($B8,2)&amp;"*",INDIRECT(Formulas!$B$5)),0)</f>
        <v>0</v>
      </c>
      <c r="J8" s="465">
        <f ca="1">ROUND(SUMIF(INDIRECT(Formulas!$B$1),MID(J$1,2,2)&amp;"-"&amp;LEFT($B8,2)&amp;"*",INDIRECT(Formulas!$B$5)),0)</f>
        <v>0</v>
      </c>
      <c r="K8" s="465">
        <f ca="1">ROUND(SUMIF(INDIRECT(Formulas!$B$1),MID(K$1,2,2)&amp;"-"&amp;LEFT($B8,2)&amp;"*",INDIRECT(Formulas!$B$5)),0)</f>
        <v>0</v>
      </c>
      <c r="L8" s="476"/>
      <c r="M8" s="468"/>
      <c r="N8" s="469"/>
    </row>
    <row r="9" spans="1:14" ht="13.5" customHeight="1" x14ac:dyDescent="0.2">
      <c r="A9" s="472" t="s">
        <v>270</v>
      </c>
      <c r="B9" s="470">
        <v>160</v>
      </c>
      <c r="C9" s="465">
        <f ca="1">ROUND(SUMIF(INDIRECT(Formulas!$B$1),MID(C$1,2,2)&amp;"-"&amp;LEFT($B9,2)&amp;"*",INDIRECT(Formulas!$B$5)),0)</f>
        <v>0</v>
      </c>
      <c r="D9" s="465">
        <f ca="1">ROUND(SUMIF(INDIRECT(Formulas!$B$1),MID(D$1,2,2)&amp;"-"&amp;LEFT($B9,2)&amp;"*",INDIRECT(Formulas!$B$5)),0)</f>
        <v>0</v>
      </c>
      <c r="E9" s="465">
        <f ca="1">ROUND(SUMIF(INDIRECT(Formulas!$B$1),MID(E$1,2,2)&amp;"-"&amp;LEFT($B9,2)&amp;"*",INDIRECT(Formulas!$B$5)),0)</f>
        <v>0</v>
      </c>
      <c r="F9" s="465">
        <f ca="1">ROUND(SUMIF(INDIRECT(Formulas!$B$1),MID(F$1,2,2)&amp;"-"&amp;LEFT($B9,2)&amp;"*",INDIRECT(Formulas!$B$5)),0)</f>
        <v>0</v>
      </c>
      <c r="G9" s="465">
        <f ca="1">ROUND(SUMIF(INDIRECT(Formulas!$B$1),MID(G$1,2,2)&amp;"-"&amp;LEFT($B9,2)&amp;"*",INDIRECT(Formulas!$B$5)),0)</f>
        <v>0</v>
      </c>
      <c r="H9" s="465">
        <f ca="1">ROUND(SUMIF(INDIRECT(Formulas!$B$1),MID(H$1,2,2)&amp;"-"&amp;LEFT($B9,2)&amp;"*",INDIRECT(Formulas!$B$5)),0)</f>
        <v>0</v>
      </c>
      <c r="I9" s="465">
        <f ca="1">ROUND(SUMIF(INDIRECT(Formulas!$B$1),MID(I$1,2,2)&amp;"-"&amp;LEFT($B9,2)&amp;"*",INDIRECT(Formulas!$B$5)),0)</f>
        <v>0</v>
      </c>
      <c r="J9" s="465">
        <f ca="1">ROUND(SUMIF(INDIRECT(Formulas!$B$1),MID(J$1,2,2)&amp;"-"&amp;LEFT($B9,2)&amp;"*",INDIRECT(Formulas!$B$5)),0)</f>
        <v>0</v>
      </c>
      <c r="K9" s="465">
        <f ca="1">ROUND(SUMIF(INDIRECT(Formulas!$B$1),MID(K$1,2,2)&amp;"-"&amp;LEFT($B9,2)&amp;"*",INDIRECT(Formulas!$B$5)),0)</f>
        <v>0</v>
      </c>
      <c r="L9" s="467"/>
      <c r="M9" s="468"/>
      <c r="N9" s="469"/>
    </row>
    <row r="10" spans="1:14" ht="13.5" customHeight="1" x14ac:dyDescent="0.2">
      <c r="A10" s="472" t="s">
        <v>991</v>
      </c>
      <c r="B10" s="470">
        <v>170</v>
      </c>
      <c r="C10" s="465">
        <f ca="1">ROUND(SUMIF(INDIRECT(Formulas!$B$1),MID(C$1,2,2)&amp;"-"&amp;LEFT($B10,2)&amp;"*",INDIRECT(Formulas!$B$5)),0)</f>
        <v>0</v>
      </c>
      <c r="D10" s="465">
        <f ca="1">ROUND(SUMIF(INDIRECT(Formulas!$B$1),MID(D$1,2,2)&amp;"-"&amp;LEFT($B10,2)&amp;"*",INDIRECT(Formulas!$B$5)),0)</f>
        <v>0</v>
      </c>
      <c r="E10" s="465">
        <f ca="1">ROUND(SUMIF(INDIRECT(Formulas!$B$1),MID(E$1,2,2)&amp;"-"&amp;LEFT($B10,2)&amp;"*",INDIRECT(Formulas!$B$5)),0)</f>
        <v>0</v>
      </c>
      <c r="F10" s="465">
        <f ca="1">ROUND(SUMIF(INDIRECT(Formulas!$B$1),MID(F$1,2,2)&amp;"-"&amp;LEFT($B10,2)&amp;"*",INDIRECT(Formulas!$B$5)),0)</f>
        <v>0</v>
      </c>
      <c r="G10" s="465">
        <f ca="1">ROUND(SUMIF(INDIRECT(Formulas!$B$1),MID(G$1,2,2)&amp;"-"&amp;LEFT($B10,2)&amp;"*",INDIRECT(Formulas!$B$5)),0)</f>
        <v>0</v>
      </c>
      <c r="H10" s="465">
        <f ca="1">ROUND(SUMIF(INDIRECT(Formulas!$B$1),MID(H$1,2,2)&amp;"-"&amp;LEFT($B10,2)&amp;"*",INDIRECT(Formulas!$B$5)),0)</f>
        <v>0</v>
      </c>
      <c r="I10" s="465">
        <f ca="1">ROUND(SUMIF(INDIRECT(Formulas!$B$1),MID(I$1,2,2)&amp;"-"&amp;LEFT($B10,2)&amp;"*",INDIRECT(Formulas!$B$5)),0)</f>
        <v>0</v>
      </c>
      <c r="J10" s="465">
        <f ca="1">ROUND(SUMIF(INDIRECT(Formulas!$B$1),MID(J$1,2,2)&amp;"-"&amp;LEFT($B10,2)&amp;"*",INDIRECT(Formulas!$B$5)),0)</f>
        <v>0</v>
      </c>
      <c r="K10" s="465">
        <f ca="1">ROUND(SUMIF(INDIRECT(Formulas!$B$1),MID(K$1,2,2)&amp;"-"&amp;LEFT($B10,2)&amp;"*",INDIRECT(Formulas!$B$5)),0)</f>
        <v>0</v>
      </c>
      <c r="L10" s="477"/>
      <c r="M10" s="469"/>
      <c r="N10" s="469"/>
    </row>
    <row r="11" spans="1:14" ht="13.5" customHeight="1" x14ac:dyDescent="0.2">
      <c r="A11" s="472" t="s">
        <v>271</v>
      </c>
      <c r="B11" s="470">
        <v>180</v>
      </c>
      <c r="C11" s="465">
        <f ca="1">ROUND(SUMIF(INDIRECT(Formulas!$B$1),MID(C$1,2,2)&amp;"-"&amp;LEFT($B11,2)&amp;"*",INDIRECT(Formulas!$B$5)),0)</f>
        <v>0</v>
      </c>
      <c r="D11" s="465">
        <f ca="1">ROUND(SUMIF(INDIRECT(Formulas!$B$1),MID(D$1,2,2)&amp;"-"&amp;LEFT($B11,2)&amp;"*",INDIRECT(Formulas!$B$5)),0)</f>
        <v>0</v>
      </c>
      <c r="E11" s="465">
        <f ca="1">ROUND(SUMIF(INDIRECT(Formulas!$B$1),MID(E$1,2,2)&amp;"-"&amp;LEFT($B11,2)&amp;"*",INDIRECT(Formulas!$B$5)),0)</f>
        <v>0</v>
      </c>
      <c r="F11" s="465">
        <f ca="1">ROUND(SUMIF(INDIRECT(Formulas!$B$1),MID(F$1,2,2)&amp;"-"&amp;LEFT($B11,2)&amp;"*",INDIRECT(Formulas!$B$5)),0)</f>
        <v>0</v>
      </c>
      <c r="G11" s="465">
        <f ca="1">ROUND(SUMIF(INDIRECT(Formulas!$B$1),MID(G$1,2,2)&amp;"-"&amp;LEFT($B11,2)&amp;"*",INDIRECT(Formulas!$B$5)),0)</f>
        <v>0</v>
      </c>
      <c r="H11" s="465">
        <f ca="1">ROUND(SUMIF(INDIRECT(Formulas!$B$1),MID(H$1,2,2)&amp;"-"&amp;LEFT($B11,2)&amp;"*",INDIRECT(Formulas!$B$5)),0)</f>
        <v>0</v>
      </c>
      <c r="I11" s="465">
        <f ca="1">ROUND(SUMIF(INDIRECT(Formulas!$B$1),MID(I$1,2,2)&amp;"-"&amp;LEFT($B11,2)&amp;"*",INDIRECT(Formulas!$B$5)),0)</f>
        <v>0</v>
      </c>
      <c r="J11" s="465">
        <f ca="1">ROUND(SUMIF(INDIRECT(Formulas!$B$1),MID(J$1,2,2)&amp;"-"&amp;LEFT($B11,2)&amp;"*",INDIRECT(Formulas!$B$5)),0)</f>
        <v>0</v>
      </c>
      <c r="K11" s="465">
        <f ca="1">ROUND(SUMIF(INDIRECT(Formulas!$B$1),MID(K$1,2,2)&amp;"-"&amp;LEFT($B11,2)&amp;"*",INDIRECT(Formulas!$B$5)),0)</f>
        <v>0</v>
      </c>
      <c r="L11" s="467"/>
      <c r="M11" s="469"/>
      <c r="N11" s="469"/>
    </row>
    <row r="12" spans="1:14" ht="13.5" customHeight="1" x14ac:dyDescent="0.2">
      <c r="A12" s="472" t="s">
        <v>419</v>
      </c>
      <c r="B12" s="470">
        <v>190</v>
      </c>
      <c r="C12" s="465">
        <f ca="1">ROUND(SUMIF(INDIRECT(Formulas!$B$1),MID(C$1,2,2)&amp;"-"&amp;LEFT($B12,2)&amp;"*",INDIRECT(Formulas!$B$5)),0)</f>
        <v>0</v>
      </c>
      <c r="D12" s="465">
        <f ca="1">ROUND(SUMIF(INDIRECT(Formulas!$B$1),MID(D$1,2,2)&amp;"-"&amp;LEFT($B12,2)&amp;"*",INDIRECT(Formulas!$B$5)),0)</f>
        <v>0</v>
      </c>
      <c r="E12" s="465">
        <f ca="1">ROUND(SUMIF(INDIRECT(Formulas!$B$1),MID(E$1,2,2)&amp;"-"&amp;LEFT($B12,2)&amp;"*",INDIRECT(Formulas!$B$5)),0)</f>
        <v>0</v>
      </c>
      <c r="F12" s="465">
        <f ca="1">ROUND(SUMIF(INDIRECT(Formulas!$B$1),MID(F$1,2,2)&amp;"-"&amp;LEFT($B12,2)&amp;"*",INDIRECT(Formulas!$B$5)),0)</f>
        <v>0</v>
      </c>
      <c r="G12" s="465">
        <f ca="1">ROUND(SUMIF(INDIRECT(Formulas!$B$1),MID(G$1,2,2)&amp;"-"&amp;LEFT($B12,2)&amp;"*",INDIRECT(Formulas!$B$5)),0)</f>
        <v>0</v>
      </c>
      <c r="H12" s="465">
        <f ca="1">ROUND(SUMIF(INDIRECT(Formulas!$B$1),MID(H$1,2,2)&amp;"-"&amp;LEFT($B12,2)&amp;"*",INDIRECT(Formulas!$B$5)),0)</f>
        <v>0</v>
      </c>
      <c r="I12" s="465">
        <f ca="1">ROUND(SUMIF(INDIRECT(Formulas!$B$1),MID(I$1,2,2)&amp;"-"&amp;LEFT($B12,2)&amp;"*",INDIRECT(Formulas!$B$5)),0)</f>
        <v>0</v>
      </c>
      <c r="J12" s="465">
        <f ca="1">ROUND(SUMIF(INDIRECT(Formulas!$B$1),MID(J$1,2,2)&amp;"-"&amp;LEFT($B12,2)&amp;"*",INDIRECT(Formulas!$B$5)),0)</f>
        <v>0</v>
      </c>
      <c r="K12" s="465">
        <f ca="1">ROUND(SUMIF(INDIRECT(Formulas!$B$1),MID(K$1,2,2)&amp;"-"&amp;LEFT($B12,2)&amp;"*",INDIRECT(Formulas!$B$5)),0)</f>
        <v>0</v>
      </c>
      <c r="L12" s="466"/>
      <c r="M12" s="469"/>
      <c r="N12" s="469"/>
    </row>
    <row r="13" spans="1:14" ht="13.5" customHeight="1" thickBot="1" x14ac:dyDescent="0.25">
      <c r="A13" s="1706" t="s">
        <v>644</v>
      </c>
      <c r="B13" s="1679"/>
      <c r="C13" s="1707">
        <f ca="1">SUM(C4:C12)</f>
        <v>2640707</v>
      </c>
      <c r="D13" s="1707">
        <f t="shared" ref="D13:L13" ca="1" si="0">SUM(D4:D12)</f>
        <v>193570</v>
      </c>
      <c r="E13" s="1707">
        <f t="shared" ca="1" si="0"/>
        <v>0</v>
      </c>
      <c r="F13" s="1707">
        <f t="shared" ca="1" si="0"/>
        <v>650738</v>
      </c>
      <c r="G13" s="1707">
        <f t="shared" ca="1" si="0"/>
        <v>159098</v>
      </c>
      <c r="H13" s="1707">
        <f t="shared" ca="1" si="0"/>
        <v>0</v>
      </c>
      <c r="I13" s="1707">
        <f t="shared" ca="1" si="0"/>
        <v>6573521</v>
      </c>
      <c r="J13" s="1707">
        <f t="shared" ca="1" si="0"/>
        <v>146441</v>
      </c>
      <c r="K13" s="1707">
        <f t="shared" ca="1" si="0"/>
        <v>461715</v>
      </c>
      <c r="L13" s="1707">
        <f t="shared" si="0"/>
        <v>72715</v>
      </c>
      <c r="M13" s="468"/>
      <c r="N13" s="469"/>
    </row>
    <row r="14" spans="1:14" ht="18" customHeight="1" thickTop="1" x14ac:dyDescent="0.2">
      <c r="A14" s="2161" t="s">
        <v>147</v>
      </c>
      <c r="B14" s="2162"/>
      <c r="C14" s="1533"/>
      <c r="D14" s="1534"/>
      <c r="E14" s="1534"/>
      <c r="F14" s="1534"/>
      <c r="G14" s="1534"/>
      <c r="H14" s="1534"/>
      <c r="I14" s="1534"/>
      <c r="J14" s="1534"/>
      <c r="K14" s="1534"/>
      <c r="L14" s="1534"/>
      <c r="M14" s="1535"/>
      <c r="N14" s="1536"/>
    </row>
    <row r="15" spans="1:14" s="481" customFormat="1" ht="12.75" customHeight="1" x14ac:dyDescent="0.2">
      <c r="A15" s="478" t="s">
        <v>1401</v>
      </c>
      <c r="B15" s="479">
        <v>210</v>
      </c>
      <c r="C15" s="474"/>
      <c r="D15" s="474"/>
      <c r="E15" s="474"/>
      <c r="F15" s="474"/>
      <c r="G15" s="474"/>
      <c r="H15" s="474"/>
      <c r="I15" s="474"/>
      <c r="J15" s="474"/>
      <c r="K15" s="474"/>
      <c r="L15" s="474"/>
      <c r="M15" s="475"/>
      <c r="N15" s="480"/>
    </row>
    <row r="16" spans="1:14" s="481" customFormat="1" ht="12.75" customHeight="1" x14ac:dyDescent="0.2">
      <c r="A16" s="478" t="s">
        <v>1402</v>
      </c>
      <c r="B16" s="479">
        <v>220</v>
      </c>
      <c r="C16" s="474"/>
      <c r="D16" s="474"/>
      <c r="E16" s="474"/>
      <c r="F16" s="474"/>
      <c r="G16" s="474"/>
      <c r="H16" s="474"/>
      <c r="I16" s="474"/>
      <c r="J16" s="474"/>
      <c r="K16" s="474"/>
      <c r="L16" s="474"/>
      <c r="M16" s="475">
        <f>'Cap Outlay Deprec 26'!L5</f>
        <v>1150441</v>
      </c>
      <c r="N16" s="480"/>
    </row>
    <row r="17" spans="1:14" s="481" customFormat="1" ht="12.75" customHeight="1" x14ac:dyDescent="0.2">
      <c r="A17" s="478" t="s">
        <v>1403</v>
      </c>
      <c r="B17" s="479">
        <v>230</v>
      </c>
      <c r="C17" s="474"/>
      <c r="D17" s="474"/>
      <c r="E17" s="474"/>
      <c r="F17" s="474"/>
      <c r="G17" s="474"/>
      <c r="H17" s="474"/>
      <c r="I17" s="474"/>
      <c r="J17" s="474"/>
      <c r="K17" s="474"/>
      <c r="L17" s="474"/>
      <c r="M17" s="467">
        <f>'Cap Outlay Deprec 26'!L8</f>
        <v>30541694</v>
      </c>
      <c r="N17" s="480"/>
    </row>
    <row r="18" spans="1:14" s="481" customFormat="1" ht="12.75" customHeight="1" x14ac:dyDescent="0.2">
      <c r="A18" s="478" t="s">
        <v>1404</v>
      </c>
      <c r="B18" s="479">
        <v>240</v>
      </c>
      <c r="C18" s="474"/>
      <c r="D18" s="474"/>
      <c r="E18" s="474"/>
      <c r="F18" s="474"/>
      <c r="G18" s="474"/>
      <c r="H18" s="474"/>
      <c r="I18" s="474"/>
      <c r="J18" s="474"/>
      <c r="K18" s="474"/>
      <c r="L18" s="474"/>
      <c r="M18" s="467">
        <f>'Cap Outlay Deprec 26'!L10</f>
        <v>247931</v>
      </c>
      <c r="N18" s="480"/>
    </row>
    <row r="19" spans="1:14" s="481" customFormat="1" ht="12.75" customHeight="1" x14ac:dyDescent="0.2">
      <c r="A19" s="478" t="s">
        <v>1405</v>
      </c>
      <c r="B19" s="479">
        <v>250</v>
      </c>
      <c r="C19" s="474"/>
      <c r="D19" s="474"/>
      <c r="E19" s="474"/>
      <c r="F19" s="474"/>
      <c r="G19" s="474"/>
      <c r="H19" s="474"/>
      <c r="I19" s="474"/>
      <c r="J19" s="474"/>
      <c r="K19" s="474"/>
      <c r="L19" s="474"/>
      <c r="M19" s="467">
        <f>'Cap Outlay Deprec 26'!L12+'Cap Outlay Deprec 26'!L13</f>
        <v>2415566</v>
      </c>
      <c r="N19" s="480"/>
    </row>
    <row r="20" spans="1:14" s="481" customFormat="1" ht="12.75" customHeight="1" x14ac:dyDescent="0.2">
      <c r="A20" s="478" t="s">
        <v>1406</v>
      </c>
      <c r="B20" s="479">
        <v>260</v>
      </c>
      <c r="C20" s="474"/>
      <c r="D20" s="474"/>
      <c r="E20" s="474"/>
      <c r="F20" s="474"/>
      <c r="G20" s="474"/>
      <c r="H20" s="474"/>
      <c r="I20" s="474"/>
      <c r="J20" s="474"/>
      <c r="K20" s="474"/>
      <c r="L20" s="474"/>
      <c r="M20" s="467"/>
      <c r="N20" s="480"/>
    </row>
    <row r="21" spans="1:14" s="481" customFormat="1" ht="12.75" customHeight="1" x14ac:dyDescent="0.2">
      <c r="A21" s="478" t="s">
        <v>1407</v>
      </c>
      <c r="B21" s="479">
        <v>340</v>
      </c>
      <c r="C21" s="474"/>
      <c r="D21" s="474"/>
      <c r="E21" s="474"/>
      <c r="F21" s="474"/>
      <c r="G21" s="474"/>
      <c r="H21" s="474"/>
      <c r="I21" s="474"/>
      <c r="J21" s="474"/>
      <c r="K21" s="474"/>
      <c r="L21" s="474"/>
      <c r="M21" s="482"/>
      <c r="N21" s="467">
        <f ca="1">-E25</f>
        <v>-44746</v>
      </c>
    </row>
    <row r="22" spans="1:14" s="481" customFormat="1" ht="12.75" customHeight="1" x14ac:dyDescent="0.2">
      <c r="A22" s="478" t="s">
        <v>1408</v>
      </c>
      <c r="B22" s="479">
        <v>350</v>
      </c>
      <c r="C22" s="474"/>
      <c r="D22" s="474"/>
      <c r="E22" s="474"/>
      <c r="F22" s="474"/>
      <c r="G22" s="474"/>
      <c r="H22" s="474"/>
      <c r="I22" s="474"/>
      <c r="J22" s="474"/>
      <c r="K22" s="474"/>
      <c r="L22" s="474"/>
      <c r="M22" s="482"/>
      <c r="N22" s="483">
        <f>'Short-Term Long-Term Debt 24'!J49</f>
        <v>9981271</v>
      </c>
    </row>
    <row r="23" spans="1:14" ht="13.5" customHeight="1" thickBot="1" x14ac:dyDescent="0.25">
      <c r="A23" s="1706" t="s">
        <v>643</v>
      </c>
      <c r="B23" s="1711"/>
      <c r="C23" s="468"/>
      <c r="D23" s="468"/>
      <c r="E23" s="468"/>
      <c r="F23" s="468"/>
      <c r="G23" s="468"/>
      <c r="H23" s="468"/>
      <c r="I23" s="468"/>
      <c r="J23" s="468"/>
      <c r="K23" s="468"/>
      <c r="L23" s="468"/>
      <c r="M23" s="1658">
        <f>SUM(M15:M22)</f>
        <v>34355632</v>
      </c>
      <c r="N23" s="1658">
        <f ca="1">SUM(N21:N22)</f>
        <v>9936525</v>
      </c>
    </row>
    <row r="24" spans="1:14" ht="18" customHeight="1" thickTop="1" x14ac:dyDescent="0.2">
      <c r="A24" s="2163" t="s">
        <v>598</v>
      </c>
      <c r="B24" s="2164"/>
      <c r="C24" s="1538"/>
      <c r="D24" s="1535"/>
      <c r="E24" s="1535"/>
      <c r="F24" s="1535"/>
      <c r="G24" s="1535"/>
      <c r="H24" s="1535"/>
      <c r="I24" s="1535"/>
      <c r="J24" s="1535"/>
      <c r="K24" s="1535"/>
      <c r="L24" s="1535"/>
      <c r="M24" s="1534"/>
      <c r="N24" s="1539"/>
    </row>
    <row r="25" spans="1:14" x14ac:dyDescent="0.2">
      <c r="A25" s="472" t="s">
        <v>645</v>
      </c>
      <c r="B25" s="470">
        <v>410</v>
      </c>
      <c r="C25" s="475">
        <f ca="1">-ROUND(SUMIF(INDIRECT(Formulas!$B$1),MID(C$1,2,2)&amp;"-"&amp;LEFT($B25,2)&amp;"*",INDIRECT(Formulas!$B$5)),0)</f>
        <v>0</v>
      </c>
      <c r="D25" s="475">
        <f ca="1">-ROUND(SUMIF(INDIRECT(Formulas!$B$1),MID(D$1,2,2)&amp;"-"&amp;LEFT($B25,2)&amp;"*",INDIRECT(Formulas!$B$5)),0)</f>
        <v>0</v>
      </c>
      <c r="E25" s="475">
        <f ca="1">-ROUND(SUMIF(INDIRECT(Formulas!$B$1),MID(E$1,2,2)&amp;"-"&amp;LEFT($B25,2)&amp;"*",INDIRECT(Formulas!$B$5)),0)</f>
        <v>44746</v>
      </c>
      <c r="F25" s="475">
        <f ca="1">-ROUND(SUMIF(INDIRECT(Formulas!$B$1),MID(F$1,2,2)&amp;"-"&amp;LEFT($B25,2)&amp;"*",INDIRECT(Formulas!$B$5)),0)</f>
        <v>0</v>
      </c>
      <c r="G25" s="475">
        <f ca="1">-ROUND(SUMIF(INDIRECT(Formulas!$B$1),MID(G$1,2,2)&amp;"-"&amp;LEFT($B25,2)&amp;"*",INDIRECT(Formulas!$B$5)),0)</f>
        <v>0</v>
      </c>
      <c r="H25" s="475">
        <f ca="1">-ROUND(SUMIF(INDIRECT(Formulas!$B$1),MID(H$1,2,2)&amp;"-"&amp;LEFT($B25,2)&amp;"*",INDIRECT(Formulas!$B$5)),0)</f>
        <v>0</v>
      </c>
      <c r="I25" s="468"/>
      <c r="J25" s="475">
        <f ca="1">-ROUND(SUMIF(INDIRECT(Formulas!$B$1),MID(J$1,2,2)&amp;"-"&amp;LEFT($B25,2)&amp;"*",INDIRECT(Formulas!$B$5)),0)</f>
        <v>0</v>
      </c>
      <c r="K25" s="475">
        <f ca="1">-ROUND(SUMIF(INDIRECT(Formulas!$B$1),MID(K$1,2,2)&amp;"-"&amp;LEFT($B25,2)&amp;"*",INDIRECT(Formulas!$B$5)),0)</f>
        <v>0</v>
      </c>
      <c r="L25" s="468"/>
      <c r="M25" s="468"/>
      <c r="N25" s="468"/>
    </row>
    <row r="26" spans="1:14" x14ac:dyDescent="0.2">
      <c r="A26" s="472" t="s">
        <v>646</v>
      </c>
      <c r="B26" s="470">
        <v>420</v>
      </c>
      <c r="C26" s="475">
        <f ca="1">-ROUND(SUMIF(INDIRECT(Formulas!$B$1),MID(C$1,2,2)&amp;"-"&amp;LEFT($B26,2)&amp;"*",INDIRECT(Formulas!$B$5)),0)</f>
        <v>0</v>
      </c>
      <c r="D26" s="475">
        <f ca="1">-ROUND(SUMIF(INDIRECT(Formulas!$B$1),MID(D$1,2,2)&amp;"-"&amp;LEFT($B26,2)&amp;"*",INDIRECT(Formulas!$B$5)),0)</f>
        <v>0</v>
      </c>
      <c r="E26" s="475">
        <f ca="1">-ROUND(SUMIF(INDIRECT(Formulas!$B$1),MID(E$1,2,2)&amp;"-"&amp;LEFT($B26,2)&amp;"*",INDIRECT(Formulas!$B$5)),0)</f>
        <v>0</v>
      </c>
      <c r="F26" s="475">
        <f ca="1">-ROUND(SUMIF(INDIRECT(Formulas!$B$1),MID(F$1,2,2)&amp;"-"&amp;LEFT($B26,2)&amp;"*",INDIRECT(Formulas!$B$5)),0)</f>
        <v>0</v>
      </c>
      <c r="G26" s="475">
        <f ca="1">-ROUND(SUMIF(INDIRECT(Formulas!$B$1),MID(G$1,2,2)&amp;"-"&amp;LEFT($B26,2)&amp;"*",INDIRECT(Formulas!$B$5)),0)</f>
        <v>0</v>
      </c>
      <c r="H26" s="475">
        <f ca="1">-ROUND(SUMIF(INDIRECT(Formulas!$B$1),MID(H$1,2,2)&amp;"-"&amp;LEFT($B26,2)&amp;"*",INDIRECT(Formulas!$B$5)),0)</f>
        <v>0</v>
      </c>
      <c r="I26" s="475">
        <f ca="1">-ROUND(SUMIF(INDIRECT(Formulas!$B$1),MID(I$1,2,2)&amp;"-"&amp;LEFT($B26,2)&amp;"*",INDIRECT(Formulas!$B$5)),0)</f>
        <v>0</v>
      </c>
      <c r="J26" s="475">
        <f ca="1">-ROUND(SUMIF(INDIRECT(Formulas!$B$1),MID(J$1,2,2)&amp;"-"&amp;LEFT($B26,2)&amp;"*",INDIRECT(Formulas!$B$5)),0)</f>
        <v>0</v>
      </c>
      <c r="K26" s="475">
        <f ca="1">-ROUND(SUMIF(INDIRECT(Formulas!$B$1),MID(K$1,2,2)&amp;"-"&amp;LEFT($B26,2)&amp;"*",INDIRECT(Formulas!$B$5)),0)</f>
        <v>0</v>
      </c>
      <c r="L26" s="468"/>
      <c r="M26" s="468"/>
      <c r="N26" s="468"/>
    </row>
    <row r="27" spans="1:14" ht="13.5" customHeight="1" x14ac:dyDescent="0.2">
      <c r="A27" s="472" t="s">
        <v>647</v>
      </c>
      <c r="B27" s="470">
        <v>430</v>
      </c>
      <c r="C27" s="475">
        <f ca="1">-ROUND(SUMIF(INDIRECT(Formulas!$B$1),MID(C$1,2,2)&amp;"-"&amp;LEFT($B27,2)&amp;"*",INDIRECT(Formulas!$B$5)),0)</f>
        <v>4407</v>
      </c>
      <c r="D27" s="475">
        <f ca="1">-ROUND(SUMIF(INDIRECT(Formulas!$B$1),MID(D$1,2,2)&amp;"-"&amp;LEFT($B27,2)&amp;"*",INDIRECT(Formulas!$B$5)),0)</f>
        <v>0</v>
      </c>
      <c r="E27" s="475">
        <f ca="1">-ROUND(SUMIF(INDIRECT(Formulas!$B$1),MID(E$1,2,2)&amp;"-"&amp;LEFT($B27,2)&amp;"*",INDIRECT(Formulas!$B$5)),0)</f>
        <v>0</v>
      </c>
      <c r="F27" s="475">
        <f ca="1">-ROUND(SUMIF(INDIRECT(Formulas!$B$1),MID(F$1,2,2)&amp;"-"&amp;LEFT($B27,2)&amp;"*",INDIRECT(Formulas!$B$5)),0)</f>
        <v>0</v>
      </c>
      <c r="G27" s="475">
        <f ca="1">-ROUND(SUMIF(INDIRECT(Formulas!$B$1),MID(G$1,2,2)&amp;"-"&amp;LEFT($B27,2)&amp;"*",INDIRECT(Formulas!$B$5)),0)</f>
        <v>216</v>
      </c>
      <c r="H27" s="475">
        <f ca="1">-ROUND(SUMIF(INDIRECT(Formulas!$B$1),MID(H$1,2,2)&amp;"-"&amp;LEFT($B27,2)&amp;"*",INDIRECT(Formulas!$B$5)),0)</f>
        <v>0</v>
      </c>
      <c r="I27" s="475">
        <f ca="1">-ROUND(SUMIF(INDIRECT(Formulas!$B$1),MID(I$1,2,2)&amp;"-"&amp;LEFT($B27,2)&amp;"*",INDIRECT(Formulas!$B$5)),0)</f>
        <v>743394</v>
      </c>
      <c r="J27" s="475">
        <f ca="1">-ROUND(SUMIF(INDIRECT(Formulas!$B$1),MID(J$1,2,2)&amp;"-"&amp;LEFT($B27,2)&amp;"*",INDIRECT(Formulas!$B$5)),0)</f>
        <v>0</v>
      </c>
      <c r="K27" s="475">
        <f ca="1">-ROUND(SUMIF(INDIRECT(Formulas!$B$1),MID(K$1,2,2)&amp;"-"&amp;LEFT($B27,2)&amp;"*",INDIRECT(Formulas!$B$5)),0)</f>
        <v>0</v>
      </c>
      <c r="L27" s="468"/>
      <c r="M27" s="468"/>
      <c r="N27" s="468"/>
    </row>
    <row r="28" spans="1:14" ht="13.5" customHeight="1" x14ac:dyDescent="0.2">
      <c r="A28" s="472" t="s">
        <v>648</v>
      </c>
      <c r="B28" s="470">
        <v>440</v>
      </c>
      <c r="C28" s="475">
        <f ca="1">-ROUND(SUMIF(INDIRECT(Formulas!$B$1),MID(C$1,2,2)&amp;"-"&amp;LEFT($B28,2)&amp;"*",INDIRECT(Formulas!$B$5)),0)</f>
        <v>0</v>
      </c>
      <c r="D28" s="475">
        <f ca="1">-ROUND(SUMIF(INDIRECT(Formulas!$B$1),MID(D$1,2,2)&amp;"-"&amp;LEFT($B28,2)&amp;"*",INDIRECT(Formulas!$B$5)),0)</f>
        <v>0</v>
      </c>
      <c r="E28" s="475">
        <f ca="1">-ROUND(SUMIF(INDIRECT(Formulas!$B$1),MID(E$1,2,2)&amp;"-"&amp;LEFT($B28,2)&amp;"*",INDIRECT(Formulas!$B$5)),0)</f>
        <v>0</v>
      </c>
      <c r="F28" s="475">
        <f ca="1">-ROUND(SUMIF(INDIRECT(Formulas!$B$1),MID(F$1,2,2)&amp;"-"&amp;LEFT($B28,2)&amp;"*",INDIRECT(Formulas!$B$5)),0)</f>
        <v>0</v>
      </c>
      <c r="G28" s="475">
        <f ca="1">-ROUND(SUMIF(INDIRECT(Formulas!$B$1),MID(G$1,2,2)&amp;"-"&amp;LEFT($B28,2)&amp;"*",INDIRECT(Formulas!$B$5)),0)</f>
        <v>0</v>
      </c>
      <c r="H28" s="475">
        <f ca="1">-ROUND(SUMIF(INDIRECT(Formulas!$B$1),MID(H$1,2,2)&amp;"-"&amp;LEFT($B28,2)&amp;"*",INDIRECT(Formulas!$B$5)),0)</f>
        <v>0</v>
      </c>
      <c r="I28" s="475">
        <f ca="1">-ROUND(SUMIF(INDIRECT(Formulas!$B$1),MID(I$1,2,2)&amp;"-"&amp;LEFT($B28,2)&amp;"*",INDIRECT(Formulas!$B$5)),0)</f>
        <v>0</v>
      </c>
      <c r="J28" s="475">
        <f ca="1">-ROUND(SUMIF(INDIRECT(Formulas!$B$1),MID(J$1,2,2)&amp;"-"&amp;LEFT($B28,2)&amp;"*",INDIRECT(Formulas!$B$5)),0)</f>
        <v>0</v>
      </c>
      <c r="K28" s="475">
        <f ca="1">-ROUND(SUMIF(INDIRECT(Formulas!$B$1),MID(K$1,2,2)&amp;"-"&amp;LEFT($B28,2)&amp;"*",INDIRECT(Formulas!$B$5)),0)</f>
        <v>0</v>
      </c>
      <c r="L28" s="468"/>
      <c r="M28" s="468"/>
      <c r="N28" s="468"/>
    </row>
    <row r="29" spans="1:14" ht="13.5" customHeight="1" x14ac:dyDescent="0.2">
      <c r="A29" s="472" t="s">
        <v>649</v>
      </c>
      <c r="B29" s="470">
        <v>460</v>
      </c>
      <c r="C29" s="475">
        <f ca="1">-ROUND(SUMIF(INDIRECT(Formulas!$B$1),MID(C$1,2,2)&amp;"-"&amp;LEFT($B29,2)&amp;"*",INDIRECT(Formulas!$B$5)),0)</f>
        <v>6675</v>
      </c>
      <c r="D29" s="475">
        <f ca="1">-ROUND(SUMIF(INDIRECT(Formulas!$B$1),MID(D$1,2,2)&amp;"-"&amp;LEFT($B29,2)&amp;"*",INDIRECT(Formulas!$B$5)),0)</f>
        <v>0</v>
      </c>
      <c r="E29" s="475">
        <f ca="1">-ROUND(SUMIF(INDIRECT(Formulas!$B$1),MID(E$1,2,2)&amp;"-"&amp;LEFT($B29,2)&amp;"*",INDIRECT(Formulas!$B$5)),0)</f>
        <v>0</v>
      </c>
      <c r="F29" s="475">
        <f ca="1">-ROUND(SUMIF(INDIRECT(Formulas!$B$1),MID(F$1,2,2)&amp;"-"&amp;LEFT($B29,2)&amp;"*",INDIRECT(Formulas!$B$5)),0)</f>
        <v>0</v>
      </c>
      <c r="G29" s="475">
        <f ca="1">-ROUND(SUMIF(INDIRECT(Formulas!$B$1),MID(G$1,2,2)&amp;"-"&amp;LEFT($B29,2)&amp;"*",INDIRECT(Formulas!$B$5)),0)</f>
        <v>0</v>
      </c>
      <c r="H29" s="475">
        <f ca="1">-ROUND(SUMIF(INDIRECT(Formulas!$B$1),MID(H$1,2,2)&amp;"-"&amp;LEFT($B29,2)&amp;"*",INDIRECT(Formulas!$B$5)),0)</f>
        <v>0</v>
      </c>
      <c r="I29" s="475">
        <f ca="1">-ROUND(SUMIF(INDIRECT(Formulas!$B$1),MID(I$1,2,2)&amp;"-"&amp;LEFT($B29,2)&amp;"*",INDIRECT(Formulas!$B$5)),0)</f>
        <v>0</v>
      </c>
      <c r="J29" s="475">
        <f ca="1">-ROUND(SUMIF(INDIRECT(Formulas!$B$1),MID(J$1,2,2)&amp;"-"&amp;LEFT($B29,2)&amp;"*",INDIRECT(Formulas!$B$5)),0)</f>
        <v>0</v>
      </c>
      <c r="K29" s="475">
        <f ca="1">-ROUND(SUMIF(INDIRECT(Formulas!$B$1),MID(K$1,2,2)&amp;"-"&amp;LEFT($B29,2)&amp;"*",INDIRECT(Formulas!$B$5)),0)</f>
        <v>0</v>
      </c>
      <c r="L29" s="468"/>
      <c r="M29" s="468"/>
      <c r="N29" s="468"/>
    </row>
    <row r="30" spans="1:14" ht="13.5" customHeight="1" x14ac:dyDescent="0.2">
      <c r="A30" s="472" t="s">
        <v>650</v>
      </c>
      <c r="B30" s="470">
        <v>470</v>
      </c>
      <c r="C30" s="475">
        <f ca="1">-ROUND(SUMIF(INDIRECT(Formulas!$B$1),MID(C$1,2,2)&amp;"-"&amp;LEFT($B30,2)&amp;"*",INDIRECT(Formulas!$B$5)),0)</f>
        <v>0</v>
      </c>
      <c r="D30" s="475">
        <f ca="1">-ROUND(SUMIF(INDIRECT(Formulas!$B$1),MID(D$1,2,2)&amp;"-"&amp;LEFT($B30,2)&amp;"*",INDIRECT(Formulas!$B$5)),0)</f>
        <v>0</v>
      </c>
      <c r="E30" s="475">
        <f ca="1">-ROUND(SUMIF(INDIRECT(Formulas!$B$1),MID(E$1,2,2)&amp;"-"&amp;LEFT($B30,2)&amp;"*",INDIRECT(Formulas!$B$5)),0)</f>
        <v>0</v>
      </c>
      <c r="F30" s="475">
        <f ca="1">-ROUND(SUMIF(INDIRECT(Formulas!$B$1),MID(F$1,2,2)&amp;"-"&amp;LEFT($B30,2)&amp;"*",INDIRECT(Formulas!$B$5)),0)</f>
        <v>0</v>
      </c>
      <c r="G30" s="475">
        <f ca="1">-ROUND(SUMIF(INDIRECT(Formulas!$B$1),MID(G$1,2,2)&amp;"-"&amp;LEFT($B30,2)&amp;"*",INDIRECT(Formulas!$B$5)),0)</f>
        <v>0</v>
      </c>
      <c r="H30" s="475">
        <f ca="1">-ROUND(SUMIF(INDIRECT(Formulas!$B$1),MID(H$1,2,2)&amp;"-"&amp;LEFT($B30,2)&amp;"*",INDIRECT(Formulas!$B$5)),0)</f>
        <v>0</v>
      </c>
      <c r="I30" s="475">
        <f ca="1">-ROUND(SUMIF(INDIRECT(Formulas!$B$1),MID(I$1,2,2)&amp;"-"&amp;LEFT($B30,2)&amp;"*",INDIRECT(Formulas!$B$5)),0)</f>
        <v>0</v>
      </c>
      <c r="J30" s="475">
        <f ca="1">-ROUND(SUMIF(INDIRECT(Formulas!$B$1),MID(J$1,2,2)&amp;"-"&amp;LEFT($B30,2)&amp;"*",INDIRECT(Formulas!$B$5)),0)</f>
        <v>0</v>
      </c>
      <c r="K30" s="475">
        <f ca="1">-ROUND(SUMIF(INDIRECT(Formulas!$B$1),MID(K$1,2,2)&amp;"-"&amp;LEFT($B30,2)&amp;"*",INDIRECT(Formulas!$B$5)),0)</f>
        <v>0</v>
      </c>
      <c r="L30" s="468"/>
      <c r="M30" s="468"/>
      <c r="N30" s="468"/>
    </row>
    <row r="31" spans="1:14" ht="13.5" customHeight="1" x14ac:dyDescent="0.2">
      <c r="A31" s="472" t="s">
        <v>651</v>
      </c>
      <c r="B31" s="470">
        <v>480</v>
      </c>
      <c r="C31" s="475">
        <f ca="1">-ROUND(SUMIF(INDIRECT(Formulas!$B$1),MID(C$1,2,2)&amp;"-"&amp;LEFT($B31,2)&amp;"*",INDIRECT(Formulas!$B$5)),0)</f>
        <v>0</v>
      </c>
      <c r="D31" s="475">
        <f ca="1">-ROUND(SUMIF(INDIRECT(Formulas!$B$1),MID(D$1,2,2)&amp;"-"&amp;LEFT($B31,2)&amp;"*",INDIRECT(Formulas!$B$5)),0)</f>
        <v>0</v>
      </c>
      <c r="E31" s="475">
        <f ca="1">-ROUND(SUMIF(INDIRECT(Formulas!$B$1),MID(E$1,2,2)&amp;"-"&amp;LEFT($B31,2)&amp;"*",INDIRECT(Formulas!$B$5)),0)</f>
        <v>0</v>
      </c>
      <c r="F31" s="475">
        <f ca="1">-ROUND(SUMIF(INDIRECT(Formulas!$B$1),MID(F$1,2,2)&amp;"-"&amp;LEFT($B31,2)&amp;"*",INDIRECT(Formulas!$B$5)),0)</f>
        <v>0</v>
      </c>
      <c r="G31" s="475">
        <f ca="1">-ROUND(SUMIF(INDIRECT(Formulas!$B$1),MID(G$1,2,2)&amp;"-"&amp;LEFT($B31,2)&amp;"*",INDIRECT(Formulas!$B$5)),0)</f>
        <v>0</v>
      </c>
      <c r="H31" s="475">
        <f ca="1">-ROUND(SUMIF(INDIRECT(Formulas!$B$1),MID(H$1,2,2)&amp;"-"&amp;LEFT($B31,2)&amp;"*",INDIRECT(Formulas!$B$5)),0)</f>
        <v>0</v>
      </c>
      <c r="I31" s="475">
        <f ca="1">-ROUND(SUMIF(INDIRECT(Formulas!$B$1),MID(I$1,2,2)&amp;"-"&amp;LEFT($B31,2)&amp;"*",INDIRECT(Formulas!$B$5)),0)</f>
        <v>0</v>
      </c>
      <c r="J31" s="475">
        <f ca="1">-ROUND(SUMIF(INDIRECT(Formulas!$B$1),MID(J$1,2,2)&amp;"-"&amp;LEFT($B31,2)&amp;"*",INDIRECT(Formulas!$B$5)),0)</f>
        <v>0</v>
      </c>
      <c r="K31" s="475">
        <f ca="1">-ROUND(SUMIF(INDIRECT(Formulas!$B$1),MID(K$1,2,2)&amp;"-"&amp;LEFT($B31,2)&amp;"*",INDIRECT(Formulas!$B$5)),0)</f>
        <v>0</v>
      </c>
      <c r="L31" s="468"/>
      <c r="M31" s="468"/>
      <c r="N31" s="468"/>
    </row>
    <row r="32" spans="1:14" ht="13.5" customHeight="1" x14ac:dyDescent="0.2">
      <c r="A32" s="484" t="s">
        <v>652</v>
      </c>
      <c r="B32" s="485">
        <v>490</v>
      </c>
      <c r="C32" s="475">
        <f ca="1">-ROUND(SUMIF(INDIRECT(Formulas!$B$1),MID(C$1,2,2)&amp;"-"&amp;LEFT($B32,2)&amp;"*",INDIRECT(Formulas!$B$5)),0)</f>
        <v>1245</v>
      </c>
      <c r="D32" s="475">
        <f ca="1">-ROUND(SUMIF(INDIRECT(Formulas!$B$1),MID(D$1,2,2)&amp;"-"&amp;LEFT($B32,2)&amp;"*",INDIRECT(Formulas!$B$5)),0)</f>
        <v>0</v>
      </c>
      <c r="E32" s="475">
        <f ca="1">-ROUND(SUMIF(INDIRECT(Formulas!$B$1),MID(E$1,2,2)&amp;"-"&amp;LEFT($B32,2)&amp;"*",INDIRECT(Formulas!$B$5)),0)</f>
        <v>0</v>
      </c>
      <c r="F32" s="475">
        <f ca="1">-ROUND(SUMIF(INDIRECT(Formulas!$B$1),MID(F$1,2,2)&amp;"-"&amp;LEFT($B32,2)&amp;"*",INDIRECT(Formulas!$B$5)),0)</f>
        <v>0</v>
      </c>
      <c r="G32" s="475">
        <f ca="1">-ROUND(SUMIF(INDIRECT(Formulas!$B$1),MID(G$1,2,2)&amp;"-"&amp;LEFT($B32,2)&amp;"*",INDIRECT(Formulas!$B$5)),0)</f>
        <v>0</v>
      </c>
      <c r="H32" s="475">
        <f ca="1">-ROUND(SUMIF(INDIRECT(Formulas!$B$1),MID(H$1,2,2)&amp;"-"&amp;LEFT($B32,2)&amp;"*",INDIRECT(Formulas!$B$5)),0)</f>
        <v>0</v>
      </c>
      <c r="I32" s="475">
        <f ca="1">-ROUND(SUMIF(INDIRECT(Formulas!$B$1),MID(I$1,2,2)&amp;"-"&amp;LEFT($B32,2)&amp;"*",INDIRECT(Formulas!$B$5)),0)</f>
        <v>0</v>
      </c>
      <c r="J32" s="475">
        <f ca="1">-ROUND(SUMIF(INDIRECT(Formulas!$B$1),MID(J$1,2,2)&amp;"-"&amp;LEFT($B32,2)&amp;"*",INDIRECT(Formulas!$B$5)),0)</f>
        <v>0</v>
      </c>
      <c r="K32" s="475">
        <f ca="1">-ROUND(SUMIF(INDIRECT(Formulas!$B$1),MID(K$1,2,2)&amp;"-"&amp;LEFT($B32,2)&amp;"*",INDIRECT(Formulas!$B$5)),0)</f>
        <v>0</v>
      </c>
      <c r="L32" s="468"/>
      <c r="M32" s="468"/>
      <c r="N32" s="468"/>
    </row>
    <row r="33" spans="1:14" ht="13.5" customHeight="1" x14ac:dyDescent="0.2">
      <c r="A33" s="486" t="s">
        <v>303</v>
      </c>
      <c r="B33" s="485">
        <v>493</v>
      </c>
      <c r="C33" s="475">
        <f>0</f>
        <v>0</v>
      </c>
      <c r="D33" s="475">
        <f ca="1">-ROUND(SUMIF(INDIRECT(Formulas!$B$1),MID(D$1,2,2)&amp;"-"&amp;LEFT($B33,2)&amp;"*",INDIRECT(Formulas!$B$5)),0)</f>
        <v>0</v>
      </c>
      <c r="E33" s="475">
        <f ca="1">-ROUND(SUMIF(INDIRECT(Formulas!$B$1),MID(E$1,2,2)&amp;"-"&amp;LEFT($B33,2)&amp;"*",INDIRECT(Formulas!$B$5)),0)</f>
        <v>0</v>
      </c>
      <c r="F33" s="475">
        <f ca="1">-ROUND(SUMIF(INDIRECT(Formulas!$B$1),MID(F$1,2,2)&amp;"-"&amp;LEFT($B33,2)&amp;"*",INDIRECT(Formulas!$B$5)),0)</f>
        <v>0</v>
      </c>
      <c r="G33" s="475">
        <f ca="1">-ROUND(SUMIF(INDIRECT(Formulas!$B$1),MID(G$1,2,2)&amp;"-"&amp;LEFT($B33,2)&amp;"*",INDIRECT(Formulas!$B$5)),0)</f>
        <v>0</v>
      </c>
      <c r="H33" s="475">
        <f ca="1">-ROUND(SUMIF(INDIRECT(Formulas!$B$1),MID(H$1,2,2)&amp;"-"&amp;LEFT($B33,2)&amp;"*",INDIRECT(Formulas!$B$5)),0)</f>
        <v>0</v>
      </c>
      <c r="I33" s="475">
        <f ca="1">-ROUND(SUMIF(INDIRECT(Formulas!$B$1),MID(I$1,2,2)&amp;"-"&amp;LEFT($B33,2)&amp;"*",INDIRECT(Formulas!$B$5)),0)</f>
        <v>0</v>
      </c>
      <c r="J33" s="475">
        <f ca="1">-ROUND(SUMIF(INDIRECT(Formulas!$B$1),MID(J$1,2,2)&amp;"-"&amp;LEFT($B33,2)&amp;"*",INDIRECT(Formulas!$B$5)),0)</f>
        <v>0</v>
      </c>
      <c r="K33" s="475">
        <f ca="1">-ROUND(SUMIF(INDIRECT(Formulas!$B$1),MID(K$1,2,2)&amp;"-"&amp;LEFT($B33,2)&amp;"*",INDIRECT(Formulas!$B$5)),0)</f>
        <v>0</v>
      </c>
      <c r="L33" s="467">
        <f>L13</f>
        <v>72715</v>
      </c>
      <c r="M33" s="468"/>
      <c r="N33" s="469"/>
    </row>
    <row r="34" spans="1:14" ht="13.5" customHeight="1" thickBot="1" x14ac:dyDescent="0.25">
      <c r="A34" s="1708" t="s">
        <v>654</v>
      </c>
      <c r="B34" s="1709"/>
      <c r="C34" s="1710">
        <f ca="1">SUM(C25:C33)</f>
        <v>12327</v>
      </c>
      <c r="D34" s="1710">
        <f t="shared" ref="D34:K34" ca="1" si="1">SUM(D25:D33)</f>
        <v>0</v>
      </c>
      <c r="E34" s="1710">
        <f t="shared" ca="1" si="1"/>
        <v>44746</v>
      </c>
      <c r="F34" s="1710">
        <f t="shared" ca="1" si="1"/>
        <v>0</v>
      </c>
      <c r="G34" s="1710">
        <f t="shared" ca="1" si="1"/>
        <v>216</v>
      </c>
      <c r="H34" s="1710">
        <f t="shared" ca="1" si="1"/>
        <v>0</v>
      </c>
      <c r="I34" s="1710">
        <f t="shared" ca="1" si="1"/>
        <v>743394</v>
      </c>
      <c r="J34" s="1710">
        <f t="shared" ca="1" si="1"/>
        <v>0</v>
      </c>
      <c r="K34" s="1710">
        <f t="shared" ca="1" si="1"/>
        <v>0</v>
      </c>
      <c r="L34" s="1691">
        <f>SUM(L33)</f>
        <v>72715</v>
      </c>
      <c r="M34" s="468"/>
      <c r="N34" s="476"/>
    </row>
    <row r="35" spans="1:14" ht="18" customHeight="1" thickTop="1" x14ac:dyDescent="0.2">
      <c r="A35" s="2165" t="s">
        <v>529</v>
      </c>
      <c r="B35" s="2166"/>
      <c r="C35" s="1540"/>
      <c r="D35" s="1541"/>
      <c r="E35" s="1541"/>
      <c r="F35" s="1541"/>
      <c r="G35" s="1541"/>
      <c r="H35" s="1541"/>
      <c r="I35" s="1541"/>
      <c r="J35" s="1541"/>
      <c r="K35" s="1541"/>
      <c r="L35" s="1541"/>
      <c r="M35" s="1535"/>
      <c r="N35" s="1539"/>
    </row>
    <row r="36" spans="1:14" x14ac:dyDescent="0.2">
      <c r="A36" s="487" t="s">
        <v>1</v>
      </c>
      <c r="B36" s="470">
        <v>511</v>
      </c>
      <c r="C36" s="474"/>
      <c r="D36" s="474"/>
      <c r="E36" s="474"/>
      <c r="F36" s="474"/>
      <c r="G36" s="474"/>
      <c r="H36" s="474"/>
      <c r="I36" s="474"/>
      <c r="J36" s="474"/>
      <c r="K36" s="474"/>
      <c r="L36" s="468"/>
      <c r="M36" s="468"/>
      <c r="N36" s="488">
        <f>'Short-Term Long-Term Debt 24'!I49</f>
        <v>9936525</v>
      </c>
    </row>
    <row r="37" spans="1:14" ht="13.5" thickBot="1" x14ac:dyDescent="0.25">
      <c r="A37" s="1706" t="s">
        <v>653</v>
      </c>
      <c r="B37" s="1711"/>
      <c r="C37" s="474"/>
      <c r="D37" s="474"/>
      <c r="E37" s="474"/>
      <c r="F37" s="474"/>
      <c r="G37" s="474"/>
      <c r="H37" s="474"/>
      <c r="I37" s="474"/>
      <c r="J37" s="474"/>
      <c r="K37" s="474"/>
      <c r="L37" s="476"/>
      <c r="M37" s="468"/>
      <c r="N37" s="1658">
        <f>SUM(N36:N36)</f>
        <v>9936525</v>
      </c>
    </row>
    <row r="38" spans="1:14" s="329" customFormat="1" ht="13.5" customHeight="1" thickTop="1" x14ac:dyDescent="0.2">
      <c r="A38" s="489" t="s">
        <v>420</v>
      </c>
      <c r="B38" s="479">
        <v>714</v>
      </c>
      <c r="C38" s="466"/>
      <c r="D38" s="466"/>
      <c r="E38" s="466"/>
      <c r="F38" s="466"/>
      <c r="G38" s="466">
        <v>10153</v>
      </c>
      <c r="H38" s="466"/>
      <c r="I38" s="466"/>
      <c r="J38" s="467"/>
      <c r="K38" s="466"/>
      <c r="L38" s="477"/>
      <c r="M38" s="490"/>
      <c r="N38" s="490"/>
    </row>
    <row r="39" spans="1:14" s="329" customFormat="1" ht="13.5" customHeight="1" x14ac:dyDescent="0.2">
      <c r="A39" s="489" t="s">
        <v>342</v>
      </c>
      <c r="B39" s="479">
        <v>730</v>
      </c>
      <c r="C39" s="466">
        <v>2628380</v>
      </c>
      <c r="D39" s="466">
        <v>193570</v>
      </c>
      <c r="E39" s="466">
        <v>-44746</v>
      </c>
      <c r="F39" s="466">
        <v>650738</v>
      </c>
      <c r="G39" s="466">
        <v>148729</v>
      </c>
      <c r="H39" s="466">
        <v>0</v>
      </c>
      <c r="I39" s="466">
        <v>5830127</v>
      </c>
      <c r="J39" s="467">
        <v>146441</v>
      </c>
      <c r="K39" s="466">
        <v>461715</v>
      </c>
      <c r="L39" s="466"/>
      <c r="M39" s="490"/>
      <c r="N39" s="490"/>
    </row>
    <row r="40" spans="1:14" s="329" customFormat="1" ht="13.5" customHeight="1" x14ac:dyDescent="0.2">
      <c r="A40" s="491" t="s">
        <v>148</v>
      </c>
      <c r="B40" s="492"/>
      <c r="C40" s="493"/>
      <c r="D40" s="493"/>
      <c r="E40" s="493"/>
      <c r="F40" s="493"/>
      <c r="G40" s="493"/>
      <c r="H40" s="493"/>
      <c r="I40" s="493"/>
      <c r="J40" s="493"/>
      <c r="K40" s="493"/>
      <c r="L40" s="493"/>
      <c r="M40" s="467">
        <f>M23</f>
        <v>34355632</v>
      </c>
      <c r="N40" s="490"/>
    </row>
    <row r="41" spans="1:14" ht="13.5" customHeight="1" thickBot="1" x14ac:dyDescent="0.25">
      <c r="A41" s="1706" t="s">
        <v>655</v>
      </c>
      <c r="B41" s="1676"/>
      <c r="C41" s="1658">
        <f ca="1">(SUM(C34,C37,C38,C39))</f>
        <v>2640707</v>
      </c>
      <c r="D41" s="1658">
        <f t="shared" ref="D41:L41" ca="1" si="2">SUM(D34,D37,D38:D39)</f>
        <v>193570</v>
      </c>
      <c r="E41" s="1658">
        <f t="shared" ca="1" si="2"/>
        <v>0</v>
      </c>
      <c r="F41" s="1658">
        <f t="shared" ca="1" si="2"/>
        <v>650738</v>
      </c>
      <c r="G41" s="1658">
        <f t="shared" ca="1" si="2"/>
        <v>159098</v>
      </c>
      <c r="H41" s="1658">
        <f t="shared" ca="1" si="2"/>
        <v>0</v>
      </c>
      <c r="I41" s="1658">
        <f t="shared" ca="1" si="2"/>
        <v>6573521</v>
      </c>
      <c r="J41" s="1658">
        <f t="shared" ca="1" si="2"/>
        <v>146441</v>
      </c>
      <c r="K41" s="1658">
        <f t="shared" ca="1" si="2"/>
        <v>461715</v>
      </c>
      <c r="L41" s="1658">
        <f t="shared" si="2"/>
        <v>72715</v>
      </c>
      <c r="M41" s="1658">
        <f>SUM(M40)</f>
        <v>34355632</v>
      </c>
      <c r="N41" s="1658">
        <f>SUM(N37)</f>
        <v>9936525</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topLeftCell="C64" colorId="8" zoomScaleNormal="110" zoomScaleSheetLayoutView="100" workbookViewId="0">
      <selection activeCell="K20" sqref="K20"/>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75"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76"/>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187" t="s">
        <v>1175</v>
      </c>
      <c r="B3" s="2188"/>
      <c r="C3" s="1543"/>
      <c r="D3" s="1544"/>
      <c r="E3" s="1544"/>
      <c r="F3" s="1544"/>
      <c r="G3" s="1544"/>
      <c r="H3" s="1544"/>
      <c r="I3" s="1544"/>
      <c r="J3" s="1544"/>
      <c r="K3" s="1545"/>
      <c r="L3" s="499"/>
    </row>
    <row r="4" spans="1:13" ht="15.75" customHeight="1" x14ac:dyDescent="0.2">
      <c r="A4" s="1894" t="s">
        <v>1499</v>
      </c>
      <c r="B4" s="1895">
        <v>1000</v>
      </c>
      <c r="C4" s="1712">
        <f ca="1">'Revenues 9-14'!C109</f>
        <v>8329337</v>
      </c>
      <c r="D4" s="1712">
        <f ca="1">'Revenues 9-14'!D109</f>
        <v>1010637</v>
      </c>
      <c r="E4" s="1712">
        <f ca="1">'Revenues 9-14'!E109</f>
        <v>2999684</v>
      </c>
      <c r="F4" s="1712">
        <f ca="1">'Revenues 9-14'!F109</f>
        <v>1226748</v>
      </c>
      <c r="G4" s="1712">
        <f ca="1">'Revenues 9-14'!G109</f>
        <v>919956</v>
      </c>
      <c r="H4" s="1712">
        <f ca="1">'Revenues 9-14'!H109</f>
        <v>0</v>
      </c>
      <c r="I4" s="1712">
        <f ca="1">'Revenues 9-14'!I109</f>
        <v>267385</v>
      </c>
      <c r="J4" s="1712">
        <f ca="1">'Revenues 9-14'!J109</f>
        <v>554361</v>
      </c>
      <c r="K4" s="1712">
        <f ca="1">'Revenues 9-14'!K109</f>
        <v>10433</v>
      </c>
      <c r="L4" s="347"/>
    </row>
    <row r="5" spans="1:13" ht="15.75" customHeight="1" x14ac:dyDescent="0.2">
      <c r="A5" s="1546" t="s">
        <v>1500</v>
      </c>
      <c r="B5" s="1547">
        <v>2000</v>
      </c>
      <c r="C5" s="1713">
        <f ca="1">'Revenues 9-14'!C114</f>
        <v>0</v>
      </c>
      <c r="D5" s="1713">
        <f ca="1">'Revenues 9-14'!D114</f>
        <v>0</v>
      </c>
      <c r="E5" s="501"/>
      <c r="F5" s="1713">
        <f ca="1">'Revenues 9-14'!F114</f>
        <v>0</v>
      </c>
      <c r="G5" s="1713">
        <f ca="1">'Revenues 9-14'!G114</f>
        <v>0</v>
      </c>
      <c r="H5" s="502" t="s">
        <v>1169</v>
      </c>
      <c r="I5" s="503" t="s">
        <v>1169</v>
      </c>
      <c r="J5" s="504" t="s">
        <v>1169</v>
      </c>
      <c r="K5" s="505" t="s">
        <v>1169</v>
      </c>
      <c r="L5" s="347"/>
    </row>
    <row r="6" spans="1:13" ht="15.75" customHeight="1" x14ac:dyDescent="0.2">
      <c r="A6" s="1546" t="s">
        <v>1501</v>
      </c>
      <c r="B6" s="1548">
        <v>3000</v>
      </c>
      <c r="C6" s="1713">
        <f ca="1">'Revenues 9-14'!C170</f>
        <v>7405927</v>
      </c>
      <c r="D6" s="1713">
        <f ca="1">'Revenues 9-14'!D170</f>
        <v>0</v>
      </c>
      <c r="E6" s="1713">
        <f ca="1">'Revenues 9-14'!E170</f>
        <v>0</v>
      </c>
      <c r="F6" s="1713">
        <f ca="1">'Revenues 9-14'!F170</f>
        <v>303130</v>
      </c>
      <c r="G6" s="1713">
        <f ca="1">'Revenues 9-14'!G170</f>
        <v>0</v>
      </c>
      <c r="H6" s="1713">
        <f ca="1">'Revenues 9-14'!H170</f>
        <v>0</v>
      </c>
      <c r="I6" s="1713">
        <f ca="1">'Revenues 9-14'!I170</f>
        <v>0</v>
      </c>
      <c r="J6" s="1713">
        <f ca="1">'Revenues 9-14'!J170</f>
        <v>0</v>
      </c>
      <c r="K6" s="1713">
        <f ca="1">'Revenues 9-14'!K170</f>
        <v>0</v>
      </c>
      <c r="L6" s="347"/>
      <c r="M6" s="506"/>
    </row>
    <row r="7" spans="1:13" ht="15.75" customHeight="1" x14ac:dyDescent="0.2">
      <c r="A7" s="1546" t="s">
        <v>1502</v>
      </c>
      <c r="B7" s="1548">
        <v>4000</v>
      </c>
      <c r="C7" s="1713">
        <f ca="1">'Revenues 9-14'!C267</f>
        <v>1739781</v>
      </c>
      <c r="D7" s="1713">
        <f ca="1">'Revenues 9-14'!D267</f>
        <v>0</v>
      </c>
      <c r="E7" s="1713">
        <f ca="1">'Revenues 9-14'!E267</f>
        <v>0</v>
      </c>
      <c r="F7" s="1713">
        <f ca="1">'Revenues 9-14'!F267</f>
        <v>0</v>
      </c>
      <c r="G7" s="1713">
        <f ca="1">'Revenues 9-14'!G267</f>
        <v>0</v>
      </c>
      <c r="H7" s="1713">
        <f ca="1">'Revenues 9-14'!H267</f>
        <v>0</v>
      </c>
      <c r="I7" s="1713">
        <f ca="1">'Revenues 9-14'!I267</f>
        <v>0</v>
      </c>
      <c r="J7" s="1713">
        <f ca="1">'Revenues 9-14'!J267</f>
        <v>0</v>
      </c>
      <c r="K7" s="1713">
        <f ca="1">'Revenues 9-14'!K267</f>
        <v>0</v>
      </c>
      <c r="L7" s="347"/>
      <c r="M7" s="506"/>
    </row>
    <row r="8" spans="1:13" ht="13.5" thickBot="1" x14ac:dyDescent="0.25">
      <c r="A8" s="1706" t="s">
        <v>1172</v>
      </c>
      <c r="B8" s="1679"/>
      <c r="C8" s="1658">
        <f ca="1">SUM(C4:C7)</f>
        <v>17475045</v>
      </c>
      <c r="D8" s="1658">
        <f t="shared" ref="D8:K8" ca="1" si="0">SUM(D4:D7)</f>
        <v>1010637</v>
      </c>
      <c r="E8" s="1658">
        <f t="shared" ca="1" si="0"/>
        <v>2999684</v>
      </c>
      <c r="F8" s="1658">
        <f t="shared" ca="1" si="0"/>
        <v>1529878</v>
      </c>
      <c r="G8" s="1658">
        <f t="shared" ca="1" si="0"/>
        <v>919956</v>
      </c>
      <c r="H8" s="1658">
        <f t="shared" ca="1" si="0"/>
        <v>0</v>
      </c>
      <c r="I8" s="1658">
        <f t="shared" ca="1" si="0"/>
        <v>267385</v>
      </c>
      <c r="J8" s="1658">
        <f t="shared" ca="1" si="0"/>
        <v>554361</v>
      </c>
      <c r="K8" s="1658">
        <f t="shared" ca="1" si="0"/>
        <v>10433</v>
      </c>
      <c r="L8" s="347"/>
    </row>
    <row r="9" spans="1:13" ht="15.75" thickTop="1" x14ac:dyDescent="0.2">
      <c r="A9" s="507" t="s">
        <v>1653</v>
      </c>
      <c r="B9" s="508">
        <v>3998</v>
      </c>
      <c r="C9" s="477">
        <v>6953924</v>
      </c>
      <c r="D9" s="509"/>
      <c r="E9" s="477"/>
      <c r="F9" s="477"/>
      <c r="G9" s="510"/>
      <c r="H9" s="477"/>
      <c r="I9" s="502" t="s">
        <v>1169</v>
      </c>
      <c r="J9" s="475"/>
      <c r="K9" s="477"/>
      <c r="L9" s="347"/>
    </row>
    <row r="10" spans="1:13" s="512" customFormat="1" ht="13.5" thickBot="1" x14ac:dyDescent="0.25">
      <c r="A10" s="1706" t="s">
        <v>1173</v>
      </c>
      <c r="B10" s="1679"/>
      <c r="C10" s="1658">
        <f ca="1">SUM(C8:C9)</f>
        <v>24428969</v>
      </c>
      <c r="D10" s="1658">
        <f t="shared" ref="D10:K10" ca="1" si="1">SUM(D8:D9)</f>
        <v>1010637</v>
      </c>
      <c r="E10" s="1658">
        <f t="shared" ca="1" si="1"/>
        <v>2999684</v>
      </c>
      <c r="F10" s="1658">
        <f t="shared" ca="1" si="1"/>
        <v>1529878</v>
      </c>
      <c r="G10" s="1658">
        <f t="shared" ca="1" si="1"/>
        <v>919956</v>
      </c>
      <c r="H10" s="1658">
        <f t="shared" ca="1" si="1"/>
        <v>0</v>
      </c>
      <c r="I10" s="1658">
        <f t="shared" ca="1" si="1"/>
        <v>267385</v>
      </c>
      <c r="J10" s="1658">
        <f t="shared" ca="1" si="1"/>
        <v>554361</v>
      </c>
      <c r="K10" s="1658">
        <f t="shared" ca="1" si="1"/>
        <v>10433</v>
      </c>
      <c r="L10" s="511"/>
    </row>
    <row r="11" spans="1:13" s="512" customFormat="1" ht="16.7" customHeight="1" thickTop="1" x14ac:dyDescent="0.2">
      <c r="A11" s="2161" t="s">
        <v>1176</v>
      </c>
      <c r="B11" s="2162"/>
      <c r="C11" s="1540"/>
      <c r="D11" s="1541"/>
      <c r="E11" s="1541"/>
      <c r="F11" s="1541"/>
      <c r="G11" s="1541"/>
      <c r="H11" s="1541"/>
      <c r="I11" s="1541"/>
      <c r="J11" s="1541"/>
      <c r="K11" s="1542"/>
      <c r="L11" s="511"/>
    </row>
    <row r="12" spans="1:13" ht="15.75" customHeight="1" x14ac:dyDescent="0.2">
      <c r="A12" s="1546" t="s">
        <v>456</v>
      </c>
      <c r="B12" s="1548">
        <v>1000</v>
      </c>
      <c r="C12" s="1712">
        <f ca="1">'Expenditures 15-22'!K33</f>
        <v>11605895</v>
      </c>
      <c r="D12" s="513" t="s">
        <v>1169</v>
      </c>
      <c r="E12" s="468" t="s">
        <v>1169</v>
      </c>
      <c r="F12" s="468" t="s">
        <v>1169</v>
      </c>
      <c r="G12" s="1712">
        <f ca="1">'Expenditures 15-22'!K229</f>
        <v>299418</v>
      </c>
      <c r="H12" s="514"/>
      <c r="I12" s="468" t="s">
        <v>1169</v>
      </c>
      <c r="J12" s="468" t="s">
        <v>1169</v>
      </c>
      <c r="K12" s="514" t="s">
        <v>1169</v>
      </c>
      <c r="L12" s="347"/>
    </row>
    <row r="13" spans="1:13" ht="15.75" customHeight="1" x14ac:dyDescent="0.2">
      <c r="A13" s="1546" t="s">
        <v>457</v>
      </c>
      <c r="B13" s="1548">
        <v>2000</v>
      </c>
      <c r="C13" s="1713">
        <f ca="1">'Expenditures 15-22'!K74</f>
        <v>5022003</v>
      </c>
      <c r="D13" s="1713">
        <f ca="1">'Expenditures 15-22'!K129</f>
        <v>2084602</v>
      </c>
      <c r="E13" s="469" t="s">
        <v>1169</v>
      </c>
      <c r="F13" s="1713">
        <f ca="1">'Expenditures 15-22'!K184</f>
        <v>1291504</v>
      </c>
      <c r="G13" s="1713">
        <f ca="1">'Expenditures 15-22'!K279</f>
        <v>568840</v>
      </c>
      <c r="H13" s="1713">
        <f ca="1">'Expenditures 15-22'!K303</f>
        <v>0</v>
      </c>
      <c r="I13" s="468" t="s">
        <v>1169</v>
      </c>
      <c r="J13" s="1713">
        <f ca="1">'Expenditures 15-22'!K330</f>
        <v>526774</v>
      </c>
      <c r="K13" s="1717">
        <f ca="1">'Expenditures 15-22'!K352</f>
        <v>0</v>
      </c>
      <c r="L13" s="347"/>
    </row>
    <row r="14" spans="1:13" ht="15.75" customHeight="1" x14ac:dyDescent="0.2">
      <c r="A14" s="1546" t="s">
        <v>449</v>
      </c>
      <c r="B14" s="1548">
        <v>3000</v>
      </c>
      <c r="C14" s="1713">
        <f ca="1">'Expenditures 15-22'!K75</f>
        <v>3271</v>
      </c>
      <c r="D14" s="1713">
        <f ca="1">'Expenditures 15-22'!K130</f>
        <v>0</v>
      </c>
      <c r="E14" s="513" t="s">
        <v>1169</v>
      </c>
      <c r="F14" s="1713">
        <f ca="1">'Expenditures 15-22'!K185</f>
        <v>0</v>
      </c>
      <c r="G14" s="1713">
        <f ca="1">'Expenditures 15-22'!K280</f>
        <v>0</v>
      </c>
      <c r="H14" s="505"/>
      <c r="I14" s="468" t="s">
        <v>1169</v>
      </c>
      <c r="J14" s="468" t="s">
        <v>1169</v>
      </c>
      <c r="K14" s="505" t="s">
        <v>1169</v>
      </c>
      <c r="L14" s="347"/>
    </row>
    <row r="15" spans="1:13" ht="15.75" customHeight="1" x14ac:dyDescent="0.2">
      <c r="A15" s="1546" t="s">
        <v>107</v>
      </c>
      <c r="B15" s="1548">
        <v>4000</v>
      </c>
      <c r="C15" s="1713">
        <f ca="1">'Expenditures 15-22'!K102</f>
        <v>544534</v>
      </c>
      <c r="D15" s="1713">
        <f ca="1">'Expenditures 15-22'!K139</f>
        <v>0</v>
      </c>
      <c r="E15" s="1713">
        <f ca="1">'Expenditures 15-22'!K160</f>
        <v>0</v>
      </c>
      <c r="F15" s="1713">
        <f ca="1">'Expenditures 15-22'!K196</f>
        <v>0</v>
      </c>
      <c r="G15" s="1713">
        <f ca="1">'Expenditures 15-22'!K285</f>
        <v>0</v>
      </c>
      <c r="H15" s="1713">
        <f ca="1">'Expenditures 15-22'!K310</f>
        <v>0</v>
      </c>
      <c r="I15" s="468" t="s">
        <v>1169</v>
      </c>
      <c r="J15" s="1805">
        <f ca="1">'Expenditures 15-22'!K334</f>
        <v>0</v>
      </c>
      <c r="K15" s="1713">
        <f ca="1">'Expenditures 15-22'!K357</f>
        <v>0</v>
      </c>
      <c r="L15" s="347"/>
    </row>
    <row r="16" spans="1:13" ht="15.75" customHeight="1" x14ac:dyDescent="0.2">
      <c r="A16" s="1546" t="s">
        <v>450</v>
      </c>
      <c r="B16" s="1548">
        <v>5000</v>
      </c>
      <c r="C16" s="1713">
        <f ca="1">'Expenditures 15-22'!K112</f>
        <v>0</v>
      </c>
      <c r="D16" s="1713">
        <f ca="1">'Expenditures 15-22'!K149</f>
        <v>0</v>
      </c>
      <c r="E16" s="1713">
        <f ca="1">'Expenditures 15-22'!K172</f>
        <v>7571462</v>
      </c>
      <c r="F16" s="1713">
        <f ca="1">'Expenditures 15-22'!K208</f>
        <v>150264</v>
      </c>
      <c r="G16" s="1713">
        <f ca="1">'Expenditures 15-22'!K293</f>
        <v>0</v>
      </c>
      <c r="H16" s="516"/>
      <c r="I16" s="468" t="s">
        <v>1169</v>
      </c>
      <c r="J16" s="1718">
        <f ca="1">'Expenditures 15-22'!K340</f>
        <v>0</v>
      </c>
      <c r="K16" s="1713">
        <f ca="1">'Expenditures 15-22'!K365</f>
        <v>0</v>
      </c>
      <c r="L16" s="347"/>
    </row>
    <row r="17" spans="1:12" ht="13.5" thickBot="1" x14ac:dyDescent="0.25">
      <c r="A17" s="1678" t="s">
        <v>48</v>
      </c>
      <c r="B17" s="1679"/>
      <c r="C17" s="1658">
        <f t="shared" ref="C17:H17" ca="1" si="2">SUM(C12:C16)</f>
        <v>17175703</v>
      </c>
      <c r="D17" s="1658">
        <f t="shared" ca="1" si="2"/>
        <v>2084602</v>
      </c>
      <c r="E17" s="1658">
        <f t="shared" ca="1" si="2"/>
        <v>7571462</v>
      </c>
      <c r="F17" s="1658">
        <f t="shared" ca="1" si="2"/>
        <v>1441768</v>
      </c>
      <c r="G17" s="1658">
        <f t="shared" ca="1" si="2"/>
        <v>868258</v>
      </c>
      <c r="H17" s="1658">
        <f t="shared" ca="1" si="2"/>
        <v>0</v>
      </c>
      <c r="I17" s="468"/>
      <c r="J17" s="1658">
        <f ca="1">SUM(J12:J16)</f>
        <v>526774</v>
      </c>
      <c r="K17" s="1658">
        <f ca="1">SUM(K12:K16)</f>
        <v>0</v>
      </c>
      <c r="L17" s="347"/>
    </row>
    <row r="18" spans="1:12" ht="15" customHeight="1" thickTop="1" x14ac:dyDescent="0.2">
      <c r="A18" s="1714" t="s">
        <v>1654</v>
      </c>
      <c r="B18" s="1715">
        <v>4180</v>
      </c>
      <c r="C18" s="1712">
        <f t="shared" ref="C18:H18" si="3">C9</f>
        <v>6953924</v>
      </c>
      <c r="D18" s="1712">
        <f t="shared" si="3"/>
        <v>0</v>
      </c>
      <c r="E18" s="1712">
        <f t="shared" si="3"/>
        <v>0</v>
      </c>
      <c r="F18" s="1712">
        <f t="shared" si="3"/>
        <v>0</v>
      </c>
      <c r="G18" s="1712">
        <f t="shared" si="3"/>
        <v>0</v>
      </c>
      <c r="H18" s="1712">
        <f t="shared" si="3"/>
        <v>0</v>
      </c>
      <c r="I18" s="468"/>
      <c r="J18" s="1712">
        <f>J9</f>
        <v>0</v>
      </c>
      <c r="K18" s="1712">
        <f>K9</f>
        <v>0</v>
      </c>
      <c r="L18" s="347"/>
    </row>
    <row r="19" spans="1:12" ht="13.5" thickBot="1" x14ac:dyDescent="0.25">
      <c r="A19" s="1678" t="s">
        <v>505</v>
      </c>
      <c r="B19" s="1679"/>
      <c r="C19" s="1658">
        <f t="shared" ref="C19:H19" ca="1" si="4">SUM(C17:C18)</f>
        <v>24129627</v>
      </c>
      <c r="D19" s="1658">
        <f t="shared" ca="1" si="4"/>
        <v>2084602</v>
      </c>
      <c r="E19" s="1658">
        <f t="shared" ca="1" si="4"/>
        <v>7571462</v>
      </c>
      <c r="F19" s="1658">
        <f t="shared" ca="1" si="4"/>
        <v>1441768</v>
      </c>
      <c r="G19" s="1658">
        <f t="shared" ca="1" si="4"/>
        <v>868258</v>
      </c>
      <c r="H19" s="1658">
        <f t="shared" ca="1" si="4"/>
        <v>0</v>
      </c>
      <c r="I19" s="468"/>
      <c r="J19" s="1658">
        <f ca="1">SUM(J17:J18)</f>
        <v>526774</v>
      </c>
      <c r="K19" s="1658">
        <f ca="1">SUM(K17:K18)</f>
        <v>0</v>
      </c>
      <c r="L19" s="347"/>
    </row>
    <row r="20" spans="1:12" ht="16.5" thickTop="1" thickBot="1" x14ac:dyDescent="0.25">
      <c r="A20" s="2177" t="s">
        <v>1655</v>
      </c>
      <c r="B20" s="2178"/>
      <c r="C20" s="1716">
        <f ca="1">C8-C17</f>
        <v>299342</v>
      </c>
      <c r="D20" s="1716">
        <f t="shared" ref="D20:K20" ca="1" si="5">D8-D17</f>
        <v>-1073965</v>
      </c>
      <c r="E20" s="1716">
        <f t="shared" ca="1" si="5"/>
        <v>-4571778</v>
      </c>
      <c r="F20" s="1716">
        <f t="shared" ca="1" si="5"/>
        <v>88110</v>
      </c>
      <c r="G20" s="1716">
        <f t="shared" ca="1" si="5"/>
        <v>51698</v>
      </c>
      <c r="H20" s="1716">
        <f t="shared" ca="1" si="5"/>
        <v>0</v>
      </c>
      <c r="I20" s="1716">
        <f t="shared" ca="1" si="5"/>
        <v>267385</v>
      </c>
      <c r="J20" s="1716">
        <f t="shared" ca="1" si="5"/>
        <v>27587</v>
      </c>
      <c r="K20" s="1716">
        <f t="shared" ca="1" si="5"/>
        <v>10433</v>
      </c>
      <c r="L20" s="347"/>
    </row>
    <row r="21" spans="1:12" ht="16.7" customHeight="1" thickTop="1" x14ac:dyDescent="0.2">
      <c r="A21" s="2189" t="s">
        <v>595</v>
      </c>
      <c r="B21" s="2190"/>
      <c r="C21" s="1540"/>
      <c r="D21" s="1541"/>
      <c r="E21" s="1541"/>
      <c r="F21" s="1541"/>
      <c r="G21" s="1541"/>
      <c r="H21" s="1541"/>
      <c r="I21" s="1541"/>
      <c r="J21" s="1541"/>
      <c r="K21" s="1542"/>
      <c r="L21" s="517"/>
    </row>
    <row r="22" spans="1:12" ht="15.75" customHeight="1" collapsed="1" x14ac:dyDescent="0.2">
      <c r="A22" s="2185" t="s">
        <v>596</v>
      </c>
      <c r="B22" s="2186"/>
      <c r="C22" s="474"/>
      <c r="D22" s="474"/>
      <c r="E22" s="474"/>
      <c r="F22" s="474"/>
      <c r="G22" s="474"/>
      <c r="H22" s="474"/>
      <c r="I22" s="474"/>
      <c r="J22" s="474"/>
      <c r="K22" s="474"/>
      <c r="L22" s="347"/>
    </row>
    <row r="23" spans="1:12" s="481" customFormat="1" ht="15.75" customHeight="1" x14ac:dyDescent="0.2">
      <c r="A23" s="2181" t="s">
        <v>293</v>
      </c>
      <c r="B23" s="2182"/>
      <c r="C23" s="476"/>
      <c r="D23" s="474"/>
      <c r="E23" s="474"/>
      <c r="F23" s="474"/>
      <c r="G23" s="474"/>
      <c r="H23" s="474"/>
      <c r="I23" s="474"/>
      <c r="J23" s="474"/>
      <c r="K23" s="474"/>
      <c r="L23" s="517"/>
    </row>
    <row r="24" spans="1:12" s="481" customFormat="1" ht="13.5" customHeight="1" x14ac:dyDescent="0.2">
      <c r="A24" s="1459" t="s">
        <v>1656</v>
      </c>
      <c r="B24" s="518">
        <v>7110</v>
      </c>
      <c r="C24" s="466">
        <f>0</f>
        <v>0</v>
      </c>
      <c r="D24" s="474"/>
      <c r="E24" s="474"/>
      <c r="F24" s="474"/>
      <c r="G24" s="474"/>
      <c r="H24" s="474"/>
      <c r="I24" s="474"/>
      <c r="J24" s="474"/>
      <c r="K24" s="474"/>
      <c r="L24" s="517"/>
    </row>
    <row r="25" spans="1:12" s="481" customFormat="1" ht="13.5" customHeight="1" x14ac:dyDescent="0.2">
      <c r="A25" s="1459" t="s">
        <v>1657</v>
      </c>
      <c r="B25" s="518">
        <v>7110</v>
      </c>
      <c r="C25" s="466">
        <f ca="1">ROUND(SUMIF(INDIRECT(Formulas!$B$1),MID(C$1,2,2)&amp;"-"&amp;LEFT($B25,4)&amp;"*-0*",INDIRECT(Formulas!$B$3)),0)</f>
        <v>0</v>
      </c>
      <c r="D25" s="466">
        <f ca="1">ROUND(SUMIF(INDIRECT(Formulas!$B$1),MID(D$1,2,2)&amp;"-"&amp;LEFT($B25,4)&amp;"*-0*",INDIRECT(Formulas!$B$3)),0)</f>
        <v>750000</v>
      </c>
      <c r="E25" s="466">
        <f ca="1">ROUND(SUMIF(INDIRECT(Formulas!$B$1),MID(E$1,2,2)&amp;"-"&amp;LEFT($B25,4)&amp;"*-0*",INDIRECT(Formulas!$B$3)),0)</f>
        <v>0</v>
      </c>
      <c r="F25" s="466">
        <f ca="1">ROUND(SUMIF(INDIRECT(Formulas!$B$1),MID(F$1,2,2)&amp;"-"&amp;LEFT($B25,4)&amp;"*-0*",INDIRECT(Formulas!$B$3)),0)</f>
        <v>0</v>
      </c>
      <c r="G25" s="466">
        <f ca="1">ROUND(SUMIF(INDIRECT(Formulas!$B$1),MID(G$1,2,2)&amp;"-"&amp;LEFT($B25,4)&amp;"*-0*",INDIRECT(Formulas!$B$3)),0)</f>
        <v>0</v>
      </c>
      <c r="H25" s="466">
        <f ca="1">ROUND(SUMIF(INDIRECT(Formulas!$B$1),MID(H$1,2,2)&amp;"-"&amp;LEFT($B25,4)&amp;"*-0*",INDIRECT(Formulas!$B$3)),0)</f>
        <v>0</v>
      </c>
      <c r="I25" s="474"/>
      <c r="J25" s="466">
        <f ca="1">ROUND(SUMIF(INDIRECT(Formulas!$B$1),MID(J$1,2,2)&amp;"-"&amp;LEFT($B25,4)&amp;"*-0*",INDIRECT(Formulas!$B$3)),0)</f>
        <v>0</v>
      </c>
      <c r="K25" s="466">
        <f ca="1">ROUND(SUMIF(INDIRECT(Formulas!$B$1),MID(K$1,2,2)&amp;"-"&amp;LEFT($B25,4)&amp;"*-0*",INDIRECT(Formulas!$B$3)),0)</f>
        <v>0</v>
      </c>
      <c r="L25" s="517"/>
    </row>
    <row r="26" spans="1:12" s="481" customFormat="1" ht="13.5" customHeight="1" x14ac:dyDescent="0.2">
      <c r="A26" s="1459" t="s">
        <v>184</v>
      </c>
      <c r="B26" s="479">
        <v>7120</v>
      </c>
      <c r="C26" s="466">
        <f ca="1">ROUND(SUMIF(INDIRECT(Formulas!$B$1),MID(C$1,2,2)&amp;"-"&amp;LEFT($B26,4)&amp;"*-0*",INDIRECT(Formulas!$B$3)),0)</f>
        <v>0</v>
      </c>
      <c r="D26" s="466">
        <f ca="1">ROUND(SUMIF(INDIRECT(Formulas!$B$1),MID(D$1,2,2)&amp;"-"&amp;LEFT($B26,4)&amp;"*-0*",INDIRECT(Formulas!$B$3)),0)</f>
        <v>0</v>
      </c>
      <c r="E26" s="466">
        <f ca="1">ROUND(SUMIF(INDIRECT(Formulas!$B$1),MID(E$1,2,2)&amp;"-"&amp;LEFT($B26,4)&amp;"*-0*",INDIRECT(Formulas!$B$3)),0)</f>
        <v>0</v>
      </c>
      <c r="F26" s="466">
        <f ca="1">ROUND(SUMIF(INDIRECT(Formulas!$B$1),MID(F$1,2,2)&amp;"-"&amp;LEFT($B26,4)&amp;"*-0*",INDIRECT(Formulas!$B$3)),0)</f>
        <v>0</v>
      </c>
      <c r="G26" s="466">
        <f ca="1">ROUND(SUMIF(INDIRECT(Formulas!$B$1),MID(G$1,2,2)&amp;"-"&amp;LEFT($B26,4)&amp;"*-0*",INDIRECT(Formulas!$B$3)),0)</f>
        <v>0</v>
      </c>
      <c r="H26" s="466">
        <f ca="1">ROUND(SUMIF(INDIRECT(Formulas!$B$1),MID(H$1,2,2)&amp;"-"&amp;LEFT($B26,4)&amp;"*-0*",INDIRECT(Formulas!$B$3)),0)</f>
        <v>0</v>
      </c>
      <c r="I26" s="474"/>
      <c r="J26" s="466">
        <f ca="1">ROUND(SUMIF(INDIRECT(Formulas!$B$1),MID(J$1,2,2)&amp;"-"&amp;LEFT($B26,4)&amp;"*-0*",INDIRECT(Formulas!$B$3)),0)</f>
        <v>0</v>
      </c>
      <c r="K26" s="466">
        <f ca="1">ROUND(SUMIF(INDIRECT(Formulas!$B$1),MID(K$1,2,2)&amp;"-"&amp;LEFT($B26,4)&amp;"*-0*",INDIRECT(Formulas!$B$3)),0)</f>
        <v>0</v>
      </c>
      <c r="L26" s="517"/>
    </row>
    <row r="27" spans="1:12" s="481" customFormat="1" ht="13.5" customHeight="1" x14ac:dyDescent="0.2">
      <c r="A27" s="1459" t="s">
        <v>185</v>
      </c>
      <c r="B27" s="479">
        <v>7130</v>
      </c>
      <c r="C27" s="466">
        <f ca="1">ROUND(SUMIF(INDIRECT(Formulas!$B$1),MID(C$1,2,2)&amp;"-"&amp;LEFT($B27,4)&amp;"*-0*",INDIRECT(Formulas!$B$3)),0)</f>
        <v>0</v>
      </c>
      <c r="D27" s="466">
        <f ca="1">ROUND(SUMIF(INDIRECT(Formulas!$B$1),MID(D$1,2,2)&amp;"-"&amp;LEFT($B27,4)&amp;"*-0*",INDIRECT(Formulas!$B$3)),0)</f>
        <v>0</v>
      </c>
      <c r="E27" s="519"/>
      <c r="F27" s="466">
        <f ca="1">ROUND(SUMIF(INDIRECT(Formulas!$B$1),MID(F$1,2,2)&amp;"-"&amp;LEFT($B27,4)&amp;"*-0*",INDIRECT(Formulas!$B$3)),0)</f>
        <v>0</v>
      </c>
      <c r="G27" s="476"/>
      <c r="H27" s="476"/>
      <c r="I27" s="476"/>
      <c r="J27" s="476"/>
      <c r="K27" s="476"/>
      <c r="L27" s="517"/>
    </row>
    <row r="28" spans="1:12" s="481" customFormat="1" ht="13.5" customHeight="1" x14ac:dyDescent="0.2">
      <c r="A28" s="1459" t="s">
        <v>1398</v>
      </c>
      <c r="B28" s="479">
        <v>7140</v>
      </c>
      <c r="C28" s="466">
        <f ca="1">ROUND(SUMIF(INDIRECT(Formulas!$B$1),MID(C$1,2,2)&amp;"-"&amp;LEFT($B28,4)&amp;"*-0*",INDIRECT(Formulas!$B$3)),0)</f>
        <v>0</v>
      </c>
      <c r="D28" s="466">
        <f ca="1">ROUND(SUMIF(INDIRECT(Formulas!$B$1),MID(D$1,2,2)&amp;"-"&amp;LEFT($B28,4)&amp;"*-0*",INDIRECT(Formulas!$B$3)),0)</f>
        <v>0</v>
      </c>
      <c r="E28" s="466">
        <f ca="1">ROUND(SUMIF(INDIRECT(Formulas!$B$1),MID(E$1,2,2)&amp;"-"&amp;LEFT($B28,4)&amp;"*-0*",INDIRECT(Formulas!$B$3)),0)</f>
        <v>0</v>
      </c>
      <c r="F28" s="466">
        <f ca="1">ROUND(SUMIF(INDIRECT(Formulas!$B$1),MID(F$1,2,2)&amp;"-"&amp;LEFT($B28,4)&amp;"*-0*",INDIRECT(Formulas!$B$3)),0)</f>
        <v>0</v>
      </c>
      <c r="G28" s="466">
        <f ca="1">ROUND(SUMIF(INDIRECT(Formulas!$B$1),MID(G$1,2,2)&amp;"-"&amp;LEFT($B28,4)&amp;"*-0*",INDIRECT(Formulas!$B$3)),0)</f>
        <v>0</v>
      </c>
      <c r="H28" s="466">
        <f ca="1">ROUND(SUMIF(INDIRECT(Formulas!$B$1),MID(H$1,2,2)&amp;"-"&amp;LEFT($B28,4)&amp;"*-0*",INDIRECT(Formulas!$B$3)),0)</f>
        <v>0</v>
      </c>
      <c r="I28" s="466">
        <f ca="1">ROUND(SUMIF(INDIRECT(Formulas!$B$1),MID(I$1,2,2)&amp;"-"&amp;LEFT($B28,4)&amp;"*-0*",INDIRECT(Formulas!$B$3)),0)</f>
        <v>0</v>
      </c>
      <c r="J28" s="466">
        <f ca="1">ROUND(SUMIF(INDIRECT(Formulas!$B$1),MID(J$1,2,2)&amp;"-"&amp;LEFT($B28,4)&amp;"*-0*",INDIRECT(Formulas!$B$3)),0)</f>
        <v>0</v>
      </c>
      <c r="K28" s="466">
        <f ca="1">ROUND(SUMIF(INDIRECT(Formulas!$B$1),MID(K$1,2,2)&amp;"-"&amp;LEFT($B28,4)&amp;"*-0*",INDIRECT(Formulas!$B$3)),0)</f>
        <v>0</v>
      </c>
      <c r="L28" s="517"/>
    </row>
    <row r="29" spans="1:12" s="481" customFormat="1" ht="13.5" customHeight="1" x14ac:dyDescent="0.2">
      <c r="A29" s="1459" t="s">
        <v>294</v>
      </c>
      <c r="B29" s="479">
        <v>7150</v>
      </c>
      <c r="C29" s="473"/>
      <c r="D29" s="466">
        <f ca="1">ROUND(SUMIF(INDIRECT(Formulas!$B$1),MID(D$1,2,2)&amp;"-"&amp;LEFT($B29,4)&amp;"*-0*",INDIRECT(Formulas!$B$3)),0)</f>
        <v>0</v>
      </c>
      <c r="E29" s="473"/>
      <c r="F29" s="473"/>
      <c r="G29" s="473"/>
      <c r="H29" s="473"/>
      <c r="I29" s="473"/>
      <c r="J29" s="473"/>
      <c r="K29" s="473"/>
      <c r="L29" s="517"/>
    </row>
    <row r="30" spans="1:12" s="481" customFormat="1" ht="26.25" x14ac:dyDescent="0.2">
      <c r="A30" s="1459" t="s">
        <v>1791</v>
      </c>
      <c r="B30" s="520">
        <v>7160</v>
      </c>
      <c r="C30" s="474"/>
      <c r="D30" s="466">
        <f ca="1">ROUND(SUMIF(INDIRECT(Formulas!$B$1),MID(D$1,2,2)&amp;"-"&amp;LEFT($B30,4)&amp;"*-0*",INDIRECT(Formulas!$B$3)),0)</f>
        <v>0</v>
      </c>
      <c r="E30" s="474"/>
      <c r="F30" s="474"/>
      <c r="G30" s="474"/>
      <c r="H30" s="474"/>
      <c r="I30" s="474"/>
      <c r="J30" s="474"/>
      <c r="K30" s="474"/>
      <c r="L30" s="517"/>
    </row>
    <row r="31" spans="1:12" s="481" customFormat="1" ht="26.25" x14ac:dyDescent="0.2">
      <c r="A31" s="1459" t="s">
        <v>1795</v>
      </c>
      <c r="B31" s="520">
        <v>7170</v>
      </c>
      <c r="C31" s="474"/>
      <c r="D31" s="474"/>
      <c r="E31" s="466">
        <f ca="1">ROUND(SUMIF(INDIRECT(Formulas!$B$1),MID(E$1,2,2)&amp;"-"&amp;LEFT($B31,4)&amp;"*-0*",INDIRECT(Formulas!$B$3)),0)</f>
        <v>0</v>
      </c>
      <c r="F31" s="474"/>
      <c r="G31" s="474"/>
      <c r="H31" s="474"/>
      <c r="I31" s="474"/>
      <c r="J31" s="474"/>
      <c r="K31" s="474"/>
      <c r="L31" s="517"/>
    </row>
    <row r="32" spans="1:12" s="481" customFormat="1" ht="15.75" customHeight="1" x14ac:dyDescent="0.2">
      <c r="A32" s="2183" t="s">
        <v>981</v>
      </c>
      <c r="B32" s="2184"/>
      <c r="C32" s="474"/>
      <c r="D32" s="474"/>
      <c r="E32" s="473"/>
      <c r="F32" s="474"/>
      <c r="G32" s="474"/>
      <c r="H32" s="474"/>
      <c r="I32" s="474"/>
      <c r="J32" s="474"/>
      <c r="K32" s="474"/>
      <c r="L32" s="517"/>
    </row>
    <row r="33" spans="1:12" s="481" customFormat="1" x14ac:dyDescent="0.2">
      <c r="A33" s="1459" t="s">
        <v>412</v>
      </c>
      <c r="B33" s="518">
        <v>7210</v>
      </c>
      <c r="C33" s="466">
        <f ca="1">ROUND(SUMIF(INDIRECT(Formulas!$B$1),MID(C$1,2,2)&amp;"-"&amp;LEFT($B33,4)&amp;"*-0*",INDIRECT(Formulas!$B$3)),0)</f>
        <v>0</v>
      </c>
      <c r="D33" s="466">
        <f ca="1">ROUND(SUMIF(INDIRECT(Formulas!$B$1),MID(D$1,2,2)&amp;"-"&amp;LEFT($B33,4)&amp;"*-0*",INDIRECT(Formulas!$B$3)),0)</f>
        <v>0</v>
      </c>
      <c r="E33" s="466">
        <f ca="1">ROUND(SUMIF(INDIRECT(Formulas!$B$1),MID(E$1,2,2)&amp;"-"&amp;LEFT($B33,4)&amp;"*-0*",INDIRECT(Formulas!$B$3)),0)</f>
        <v>4340000</v>
      </c>
      <c r="F33" s="466">
        <f ca="1">ROUND(SUMIF(INDIRECT(Formulas!$B$1),MID(F$1,2,2)&amp;"-"&amp;LEFT($B33,4)&amp;"*-0*",INDIRECT(Formulas!$B$3)),0)</f>
        <v>0</v>
      </c>
      <c r="G33" s="474"/>
      <c r="H33" s="466">
        <f ca="1">ROUND(SUMIF(INDIRECT(Formulas!$B$1),MID(H$1,2,2)&amp;"-"&amp;LEFT($B33,4)&amp;"*-0*",INDIRECT(Formulas!$B$3)),0)</f>
        <v>0</v>
      </c>
      <c r="I33" s="466">
        <f ca="1">ROUND(SUMIF(INDIRECT(Formulas!$B$1),MID(I$1,2,2)&amp;"-"&amp;LEFT($B33,4)&amp;"*-0*",INDIRECT(Formulas!$B$3)),0)</f>
        <v>0</v>
      </c>
      <c r="J33" s="466">
        <f ca="1">ROUND(SUMIF(INDIRECT(Formulas!$B$1),MID(J$1,2,2)&amp;"-"&amp;LEFT($B33,4)&amp;"*-0*",INDIRECT(Formulas!$B$3)),0)</f>
        <v>0</v>
      </c>
      <c r="K33" s="466">
        <f ca="1">ROUND(SUMIF(INDIRECT(Formulas!$B$1),MID(K$1,2,2)&amp;"-"&amp;LEFT($B33,4)&amp;"*-0*",INDIRECT(Formulas!$B$3)),0)</f>
        <v>0</v>
      </c>
      <c r="L33" s="517"/>
    </row>
    <row r="34" spans="1:12" s="481" customFormat="1" x14ac:dyDescent="0.2">
      <c r="A34" s="1459" t="s">
        <v>1001</v>
      </c>
      <c r="B34" s="518">
        <v>7220</v>
      </c>
      <c r="C34" s="466">
        <f ca="1">ROUND(SUMIF(INDIRECT(Formulas!$B$1),MID(C$1,2,2)&amp;"-"&amp;LEFT($B34,4)&amp;"*-0*",INDIRECT(Formulas!$B$3)),0)</f>
        <v>0</v>
      </c>
      <c r="D34" s="466">
        <f ca="1">ROUND(SUMIF(INDIRECT(Formulas!$B$1),MID(D$1,2,2)&amp;"-"&amp;LEFT($B34,4)&amp;"*-0*",INDIRECT(Formulas!$B$3)),0)</f>
        <v>0</v>
      </c>
      <c r="E34" s="466">
        <f ca="1">ROUND(SUMIF(INDIRECT(Formulas!$B$1),MID(E$1,2,2)&amp;"-"&amp;LEFT($B34,4)&amp;"*-0*",INDIRECT(Formulas!$B$3)),0)</f>
        <v>79732</v>
      </c>
      <c r="F34" s="466">
        <f ca="1">ROUND(SUMIF(INDIRECT(Formulas!$B$1),MID(F$1,2,2)&amp;"-"&amp;LEFT($B34,4)&amp;"*-0*",INDIRECT(Formulas!$B$3)),0)</f>
        <v>0</v>
      </c>
      <c r="G34" s="474"/>
      <c r="H34" s="466">
        <f ca="1">ROUND(SUMIF(INDIRECT(Formulas!$B$1),MID(H$1,2,2)&amp;"-"&amp;LEFT($B34,4)&amp;"*-0*",INDIRECT(Formulas!$B$3)),0)</f>
        <v>0</v>
      </c>
      <c r="I34" s="466">
        <f ca="1">ROUND(SUMIF(INDIRECT(Formulas!$B$1),MID(I$1,2,2)&amp;"-"&amp;LEFT($B34,4)&amp;"*-0*",INDIRECT(Formulas!$B$3)),0)</f>
        <v>0</v>
      </c>
      <c r="J34" s="466">
        <f ca="1">ROUND(SUMIF(INDIRECT(Formulas!$B$1),MID(J$1,2,2)&amp;"-"&amp;LEFT($B34,4)&amp;"*-0*",INDIRECT(Formulas!$B$3)),0)</f>
        <v>0</v>
      </c>
      <c r="K34" s="466">
        <f ca="1">ROUND(SUMIF(INDIRECT(Formulas!$B$1),MID(K$1,2,2)&amp;"-"&amp;LEFT($B34,4)&amp;"*-0*",INDIRECT(Formulas!$B$3)),0)</f>
        <v>0</v>
      </c>
      <c r="L34" s="517"/>
    </row>
    <row r="35" spans="1:12" s="481" customFormat="1" x14ac:dyDescent="0.2">
      <c r="A35" s="1459" t="s">
        <v>990</v>
      </c>
      <c r="B35" s="518">
        <v>7230</v>
      </c>
      <c r="C35" s="466">
        <f ca="1">ROUND(SUMIF(INDIRECT(Formulas!$B$1),MID(C$1,2,2)&amp;"-"&amp;LEFT($B35,4)&amp;"*-0*",INDIRECT(Formulas!$B$3)),0)</f>
        <v>0</v>
      </c>
      <c r="D35" s="466">
        <f ca="1">ROUND(SUMIF(INDIRECT(Formulas!$B$1),MID(D$1,2,2)&amp;"-"&amp;LEFT($B35,4)&amp;"*-0*",INDIRECT(Formulas!$B$3)),0)</f>
        <v>0</v>
      </c>
      <c r="E35" s="466">
        <f ca="1">ROUND(SUMIF(INDIRECT(Formulas!$B$1),MID(E$1,2,2)&amp;"-"&amp;LEFT($B35,4)&amp;"*-0*",INDIRECT(Formulas!$B$3)),0)</f>
        <v>0</v>
      </c>
      <c r="F35" s="466">
        <f ca="1">ROUND(SUMIF(INDIRECT(Formulas!$B$1),MID(F$1,2,2)&amp;"-"&amp;LEFT($B35,4)&amp;"*-0*",INDIRECT(Formulas!$B$3)),0)</f>
        <v>0</v>
      </c>
      <c r="G35" s="476"/>
      <c r="H35" s="466">
        <f ca="1">ROUND(SUMIF(INDIRECT(Formulas!$B$1),MID(H$1,2,2)&amp;"-"&amp;LEFT($B35,4)&amp;"*-0*",INDIRECT(Formulas!$B$3)),0)</f>
        <v>0</v>
      </c>
      <c r="I35" s="466">
        <f ca="1">ROUND(SUMIF(INDIRECT(Formulas!$B$1),MID(I$1,2,2)&amp;"-"&amp;LEFT($B35,4)&amp;"*-0*",INDIRECT(Formulas!$B$3)),0)</f>
        <v>0</v>
      </c>
      <c r="J35" s="466">
        <f ca="1">ROUND(SUMIF(INDIRECT(Formulas!$B$1),MID(J$1,2,2)&amp;"-"&amp;LEFT($B35,4)&amp;"*-0*",INDIRECT(Formulas!$B$3)),0)</f>
        <v>0</v>
      </c>
      <c r="K35" s="466">
        <f ca="1">ROUND(SUMIF(INDIRECT(Formulas!$B$1),MID(K$1,2,2)&amp;"-"&amp;LEFT($B35,4)&amp;"*-0*",INDIRECT(Formulas!$B$3)),0)</f>
        <v>0</v>
      </c>
      <c r="L35" s="517"/>
    </row>
    <row r="36" spans="1:12" s="481" customFormat="1" ht="15" x14ac:dyDescent="0.2">
      <c r="A36" s="1459" t="s">
        <v>1658</v>
      </c>
      <c r="B36" s="518">
        <v>7300</v>
      </c>
      <c r="C36" s="466">
        <f ca="1">ROUND(SUMIF(INDIRECT(Formulas!$B$1),MID(C$1,2,2)&amp;"-"&amp;LEFT($B36,4)&amp;"*-0*",INDIRECT(Formulas!$B$3)),0)</f>
        <v>0</v>
      </c>
      <c r="D36" s="466">
        <f ca="1">ROUND(SUMIF(INDIRECT(Formulas!$B$1),MID(D$1,2,2)&amp;"-"&amp;LEFT($B36,4)&amp;"*-0*",INDIRECT(Formulas!$B$3)),0)</f>
        <v>0</v>
      </c>
      <c r="E36" s="466">
        <f ca="1">ROUND(SUMIF(INDIRECT(Formulas!$B$1),MID(E$1,2,2)&amp;"-"&amp;LEFT($B36,4)&amp;"*-0*",INDIRECT(Formulas!$B$3)),0)</f>
        <v>0</v>
      </c>
      <c r="F36" s="466">
        <f ca="1">ROUND(SUMIF(INDIRECT(Formulas!$B$1),MID(F$1,2,2)&amp;"-"&amp;LEFT($B36,4)&amp;"*-0*",INDIRECT(Formulas!$B$3)),0)</f>
        <v>0</v>
      </c>
      <c r="G36" s="466">
        <f ca="1">ROUND(SUMIF(INDIRECT(Formulas!$B$1),MID(G$1,2,2)&amp;"-"&amp;LEFT($B36,4)&amp;"*-0*",INDIRECT(Formulas!$B$3)),0)</f>
        <v>0</v>
      </c>
      <c r="H36" s="466">
        <f ca="1">ROUND(SUMIF(INDIRECT(Formulas!$B$1),MID(H$1,2,2)&amp;"-"&amp;LEFT($B36,4)&amp;"*-0*",INDIRECT(Formulas!$B$3)),0)</f>
        <v>0</v>
      </c>
      <c r="I36" s="473"/>
      <c r="J36" s="466">
        <f ca="1">ROUND(SUMIF(INDIRECT(Formulas!$B$1),MID(J$1,2,2)&amp;"-"&amp;LEFT($B36,4)&amp;"*-0*",INDIRECT(Formulas!$B$3)),0)</f>
        <v>0</v>
      </c>
      <c r="K36" s="466">
        <f ca="1">ROUND(SUMIF(INDIRECT(Formulas!$B$1),MID(K$1,2,2)&amp;"-"&amp;LEFT($B36,4)&amp;"*-0*",INDIRECT(Formulas!$B$3)),0)</f>
        <v>0</v>
      </c>
      <c r="L36" s="517"/>
    </row>
    <row r="37" spans="1:12" s="481" customFormat="1" x14ac:dyDescent="0.2">
      <c r="A37" s="1459" t="s">
        <v>441</v>
      </c>
      <c r="B37" s="518">
        <v>7400</v>
      </c>
      <c r="C37" s="473"/>
      <c r="D37" s="473"/>
      <c r="E37" s="1713">
        <f ca="1">SUM(C54:D57,H54:H57)</f>
        <v>235486</v>
      </c>
      <c r="F37" s="473"/>
      <c r="G37" s="473"/>
      <c r="H37" s="473"/>
      <c r="I37" s="474"/>
      <c r="J37" s="473"/>
      <c r="K37" s="473"/>
      <c r="L37" s="517"/>
    </row>
    <row r="38" spans="1:12" s="481" customFormat="1" x14ac:dyDescent="0.2">
      <c r="A38" s="1459" t="s">
        <v>442</v>
      </c>
      <c r="B38" s="518">
        <v>7500</v>
      </c>
      <c r="C38" s="474"/>
      <c r="D38" s="474"/>
      <c r="E38" s="1713">
        <f ca="1">SUM(C58:D61,H58:H61)</f>
        <v>3938</v>
      </c>
      <c r="F38" s="474"/>
      <c r="G38" s="474"/>
      <c r="H38" s="474"/>
      <c r="I38" s="474"/>
      <c r="J38" s="474"/>
      <c r="K38" s="474"/>
      <c r="L38" s="517"/>
    </row>
    <row r="39" spans="1:12" s="481" customFormat="1" x14ac:dyDescent="0.2">
      <c r="A39" s="1459" t="s">
        <v>443</v>
      </c>
      <c r="B39" s="518">
        <v>7600</v>
      </c>
      <c r="C39" s="474"/>
      <c r="D39" s="474"/>
      <c r="E39" s="1713">
        <f ca="1">SUM(C62:D65)</f>
        <v>0</v>
      </c>
      <c r="F39" s="474"/>
      <c r="G39" s="474"/>
      <c r="H39" s="474"/>
      <c r="I39" s="474"/>
      <c r="J39" s="474"/>
      <c r="K39" s="474"/>
      <c r="L39" s="517"/>
    </row>
    <row r="40" spans="1:12" s="481" customFormat="1" ht="13.5" customHeight="1" x14ac:dyDescent="0.2">
      <c r="A40" s="1459" t="s">
        <v>642</v>
      </c>
      <c r="B40" s="479">
        <v>7700</v>
      </c>
      <c r="C40" s="474"/>
      <c r="D40" s="474"/>
      <c r="E40" s="1713">
        <f ca="1">SUM(C66:D69)</f>
        <v>0</v>
      </c>
      <c r="F40" s="474"/>
      <c r="G40" s="474"/>
      <c r="H40" s="476"/>
      <c r="I40" s="474"/>
      <c r="J40" s="474"/>
      <c r="K40" s="474"/>
      <c r="L40" s="517"/>
    </row>
    <row r="41" spans="1:12" s="481" customFormat="1" ht="13.5" customHeight="1" x14ac:dyDescent="0.2">
      <c r="A41" s="1459" t="s">
        <v>640</v>
      </c>
      <c r="B41" s="479">
        <v>7800</v>
      </c>
      <c r="C41" s="476"/>
      <c r="D41" s="476"/>
      <c r="E41" s="519"/>
      <c r="F41" s="476"/>
      <c r="G41" s="476"/>
      <c r="H41" s="1713">
        <f ca="1">SUM(C70:D73)</f>
        <v>0</v>
      </c>
      <c r="I41" s="474"/>
      <c r="J41" s="474"/>
      <c r="K41" s="476"/>
      <c r="L41" s="517"/>
    </row>
    <row r="42" spans="1:12" s="481" customFormat="1" ht="13.5" customHeight="1" x14ac:dyDescent="0.2">
      <c r="A42" s="1459" t="s">
        <v>641</v>
      </c>
      <c r="B42" s="479">
        <v>7900</v>
      </c>
      <c r="C42" s="466">
        <f ca="1">ROUND(SUMIF(INDIRECT(Formulas!$B$1),MID(C$1,2,2)&amp;"-"&amp;LEFT($B42,4)&amp;"*-0*",INDIRECT(Formulas!$B$3)),0)</f>
        <v>0</v>
      </c>
      <c r="D42" s="466">
        <f ca="1">ROUND(SUMIF(INDIRECT(Formulas!$B$1),MID(D$1,2,2)&amp;"-"&amp;LEFT($B42,4)&amp;"*-0*",INDIRECT(Formulas!$B$3)),0)</f>
        <v>0</v>
      </c>
      <c r="E42" s="466">
        <f ca="1">ROUND(SUMIF(INDIRECT(Formulas!$B$1),MID(E$1,2,2)&amp;"-"&amp;LEFT($B42,4)&amp;"*-0*",INDIRECT(Formulas!$B$3)),0)</f>
        <v>0</v>
      </c>
      <c r="F42" s="466">
        <f ca="1">ROUND(SUMIF(INDIRECT(Formulas!$B$1),MID(F$1,2,2)&amp;"-"&amp;LEFT($B42,4)&amp;"*-0*",INDIRECT(Formulas!$B$3)),0)</f>
        <v>0</v>
      </c>
      <c r="G42" s="466">
        <f ca="1">ROUND(SUMIF(INDIRECT(Formulas!$B$1),MID(G$1,2,2)&amp;"-"&amp;LEFT($B42,4)&amp;"*-0*",INDIRECT(Formulas!$B$3)),0)</f>
        <v>0</v>
      </c>
      <c r="H42" s="466">
        <f ca="1">ROUND(SUMIF(INDIRECT(Formulas!$B$1),MID(H$1,2,2)&amp;"-"&amp;LEFT($B42,4)&amp;"*-0*",INDIRECT(Formulas!$B$3)),0)</f>
        <v>0</v>
      </c>
      <c r="I42" s="476"/>
      <c r="J42" s="476"/>
      <c r="K42" s="466">
        <f ca="1">ROUND(SUMIF(INDIRECT(Formulas!$B$1),MID(K$1,2,2)&amp;"-"&amp;LEFT($B42,4)&amp;"*-0*",INDIRECT(Formulas!$B$3)),0)</f>
        <v>0</v>
      </c>
      <c r="L42" s="517"/>
    </row>
    <row r="43" spans="1:12" s="481" customFormat="1" ht="13.5" customHeight="1" x14ac:dyDescent="0.2">
      <c r="A43" s="1459" t="s">
        <v>373</v>
      </c>
      <c r="B43" s="479">
        <v>7990</v>
      </c>
      <c r="C43" s="466">
        <f ca="1">ROUND(SUMIF(INDIRECT(Formulas!$B$1),MID(C$1,2,2)&amp;"-"&amp;LEFT($B43,4)&amp;"*-0*",INDIRECT(Formulas!$B$3)),0)</f>
        <v>0</v>
      </c>
      <c r="D43" s="466">
        <f ca="1">ROUND(SUMIF(INDIRECT(Formulas!$B$1),MID(D$1,2,2)&amp;"-"&amp;LEFT($B43,4)&amp;"*-0*",INDIRECT(Formulas!$B$3)),0)</f>
        <v>0</v>
      </c>
      <c r="E43" s="466">
        <f ca="1">ROUND(SUMIF(INDIRECT(Formulas!$B$1),MID(E$1,2,2)&amp;"-"&amp;LEFT($B43,4)&amp;"*-0*",INDIRECT(Formulas!$B$3)),0)</f>
        <v>0</v>
      </c>
      <c r="F43" s="466">
        <f ca="1">ROUND(SUMIF(INDIRECT(Formulas!$B$1),MID(F$1,2,2)&amp;"-"&amp;LEFT($B43,4)&amp;"*-0*",INDIRECT(Formulas!$B$3)),0)</f>
        <v>0</v>
      </c>
      <c r="G43" s="466">
        <f ca="1">ROUND(SUMIF(INDIRECT(Formulas!$B$1),MID(G$1,2,2)&amp;"-"&amp;LEFT($B43,4)&amp;"*-0*",INDIRECT(Formulas!$B$3)),0)</f>
        <v>0</v>
      </c>
      <c r="H43" s="466">
        <f ca="1">ROUND(SUMIF(INDIRECT(Formulas!$B$1),MID(H$1,2,2)&amp;"-"&amp;LEFT($B43,4)&amp;"*-0*",INDIRECT(Formulas!$B$3)),0)</f>
        <v>0</v>
      </c>
      <c r="I43" s="466">
        <f ca="1">ROUND(SUMIF(INDIRECT(Formulas!$B$1),MID(I$1,2,2)&amp;"-"&amp;LEFT($B43,4)&amp;"*-0*",INDIRECT(Formulas!$B$3)),0)</f>
        <v>0</v>
      </c>
      <c r="J43" s="466">
        <f ca="1">ROUND(SUMIF(INDIRECT(Formulas!$B$1),MID(J$1,2,2)&amp;"-"&amp;LEFT($B43,4)&amp;"*-0*",INDIRECT(Formulas!$B$3)),0)</f>
        <v>0</v>
      </c>
      <c r="K43" s="466">
        <f ca="1">ROUND(SUMIF(INDIRECT(Formulas!$B$1),MID(K$1,2,2)&amp;"-"&amp;LEFT($B43,4)&amp;"*-0*",INDIRECT(Formulas!$B$3)),0)</f>
        <v>0</v>
      </c>
      <c r="L43" s="517"/>
    </row>
    <row r="44" spans="1:12" s="481" customFormat="1" ht="13.5" customHeight="1" thickBot="1" x14ac:dyDescent="0.25">
      <c r="A44" s="2191" t="s">
        <v>374</v>
      </c>
      <c r="B44" s="2192"/>
      <c r="C44" s="1673">
        <f ca="1">SUM(C24:C43)</f>
        <v>0</v>
      </c>
      <c r="D44" s="1673">
        <f t="shared" ref="D44:K44" ca="1" si="6">SUM(D24:D43)</f>
        <v>750000</v>
      </c>
      <c r="E44" s="1673">
        <f t="shared" ca="1" si="6"/>
        <v>4659156</v>
      </c>
      <c r="F44" s="1673">
        <f t="shared" ca="1" si="6"/>
        <v>0</v>
      </c>
      <c r="G44" s="1673">
        <f t="shared" ca="1" si="6"/>
        <v>0</v>
      </c>
      <c r="H44" s="1673">
        <f t="shared" ca="1" si="6"/>
        <v>0</v>
      </c>
      <c r="I44" s="1673">
        <f t="shared" ca="1" si="6"/>
        <v>0</v>
      </c>
      <c r="J44" s="1673">
        <f t="shared" ca="1" si="6"/>
        <v>0</v>
      </c>
      <c r="K44" s="1673">
        <f t="shared" ca="1" si="6"/>
        <v>0</v>
      </c>
      <c r="L44" s="517"/>
    </row>
    <row r="45" spans="1:12" ht="15.75" customHeight="1" thickTop="1" x14ac:dyDescent="0.2">
      <c r="A45" s="2185" t="s">
        <v>108</v>
      </c>
      <c r="B45" s="2186"/>
      <c r="C45" s="521"/>
      <c r="D45" s="521"/>
      <c r="E45" s="521"/>
      <c r="F45" s="521"/>
      <c r="G45" s="521"/>
      <c r="H45" s="521"/>
      <c r="I45" s="521"/>
      <c r="J45" s="521"/>
      <c r="K45" s="521"/>
      <c r="L45" s="347"/>
    </row>
    <row r="46" spans="1:12" s="481" customFormat="1" ht="15.75" customHeight="1" x14ac:dyDescent="0.2">
      <c r="A46" s="2193" t="s">
        <v>109</v>
      </c>
      <c r="B46" s="2194"/>
      <c r="C46" s="474"/>
      <c r="D46" s="474"/>
      <c r="E46" s="474"/>
      <c r="F46" s="474"/>
      <c r="G46" s="474"/>
      <c r="H46" s="474"/>
      <c r="I46" s="476"/>
      <c r="J46" s="474"/>
      <c r="K46" s="474"/>
      <c r="L46" s="522"/>
    </row>
    <row r="47" spans="1:12" s="481" customFormat="1" ht="15" x14ac:dyDescent="0.2">
      <c r="A47" s="1460" t="s">
        <v>1659</v>
      </c>
      <c r="B47" s="479">
        <v>8110</v>
      </c>
      <c r="C47" s="474"/>
      <c r="D47" s="474"/>
      <c r="E47" s="474"/>
      <c r="F47" s="474"/>
      <c r="G47" s="474"/>
      <c r="H47" s="474"/>
      <c r="I47" s="1713">
        <f ca="1">SUM(C24,C25:H25,J25:K25)</f>
        <v>750000</v>
      </c>
      <c r="J47" s="474"/>
      <c r="K47" s="474"/>
      <c r="L47" s="522"/>
    </row>
    <row r="48" spans="1:12" s="481" customFormat="1" ht="15" x14ac:dyDescent="0.2">
      <c r="A48" s="1460" t="s">
        <v>1660</v>
      </c>
      <c r="B48" s="479">
        <v>8120</v>
      </c>
      <c r="C48" s="476"/>
      <c r="D48" s="476"/>
      <c r="E48" s="474"/>
      <c r="F48" s="476"/>
      <c r="G48" s="474"/>
      <c r="H48" s="474"/>
      <c r="I48" s="1713">
        <f ca="1">SUM(C26:H26,J26,K26)</f>
        <v>0</v>
      </c>
      <c r="J48" s="474"/>
      <c r="K48" s="474"/>
      <c r="L48" s="522"/>
    </row>
    <row r="49" spans="1:12" s="481" customFormat="1" x14ac:dyDescent="0.2">
      <c r="A49" s="1460" t="s">
        <v>185</v>
      </c>
      <c r="B49" s="479">
        <v>8130</v>
      </c>
      <c r="C49" s="466">
        <f ca="1">ROUND(SUMIF(INDIRECT(Formulas!$B$1),MID(C$1,2,2)&amp;"-"&amp;LEFT($B49,4)&amp;"*-0*",INDIRECT(Formulas!$B$3)),0)</f>
        <v>0</v>
      </c>
      <c r="D49" s="466">
        <f ca="1">ROUND(SUMIF(INDIRECT(Formulas!$B$1),MID(D$1,2,2)&amp;"-"&amp;LEFT($B49,4)&amp;"*-0*",INDIRECT(Formulas!$B$3)),0)</f>
        <v>0</v>
      </c>
      <c r="E49" s="476"/>
      <c r="F49" s="466">
        <f ca="1">ROUND(SUMIF(INDIRECT(Formulas!$B$1),MID(F$1,2,2)&amp;"-"&amp;LEFT($B49,4)&amp;"*-0*",INDIRECT(Formulas!$B$3)),0)</f>
        <v>0</v>
      </c>
      <c r="G49" s="476"/>
      <c r="H49" s="476"/>
      <c r="I49" s="474"/>
      <c r="J49" s="476"/>
      <c r="K49" s="474"/>
      <c r="L49" s="517"/>
    </row>
    <row r="50" spans="1:12" s="481" customFormat="1" x14ac:dyDescent="0.2">
      <c r="A50" s="1460" t="s">
        <v>1398</v>
      </c>
      <c r="B50" s="479">
        <v>8140</v>
      </c>
      <c r="C50" s="466">
        <f ca="1">ROUND(SUMIF(INDIRECT(Formulas!$B$1),MID(C$1,2,2)&amp;"-"&amp;LEFT($B50,4)&amp;"*-0*",INDIRECT(Formulas!$B$3)),0)</f>
        <v>0</v>
      </c>
      <c r="D50" s="466">
        <f ca="1">ROUND(SUMIF(INDIRECT(Formulas!$B$1),MID(D$1,2,2)&amp;"-"&amp;LEFT($B50,4)&amp;"*-0*",INDIRECT(Formulas!$B$3)),0)</f>
        <v>0</v>
      </c>
      <c r="E50" s="466">
        <f ca="1">ROUND(SUMIF(INDIRECT(Formulas!$B$1),MID(E$1,2,2)&amp;"-"&amp;LEFT($B50,4)&amp;"*-0*",INDIRECT(Formulas!$B$3)),0)</f>
        <v>0</v>
      </c>
      <c r="F50" s="466">
        <f ca="1">ROUND(SUMIF(INDIRECT(Formulas!$B$1),MID(F$1,2,2)&amp;"-"&amp;LEFT($B50,4)&amp;"*-0*",INDIRECT(Formulas!$B$3)),0)</f>
        <v>0</v>
      </c>
      <c r="G50" s="466">
        <f ca="1">ROUND(SUMIF(INDIRECT(Formulas!$B$1),MID(G$1,2,2)&amp;"-"&amp;LEFT($B50,4)&amp;"*-0*",INDIRECT(Formulas!$B$3)),0)</f>
        <v>0</v>
      </c>
      <c r="H50" s="466">
        <f ca="1">ROUND(SUMIF(INDIRECT(Formulas!$B$1),MID(H$1,2,2)&amp;"-"&amp;LEFT($B50,4)&amp;"*-0*",INDIRECT(Formulas!$B$3)),0)</f>
        <v>0</v>
      </c>
      <c r="I50" s="474"/>
      <c r="J50" s="466">
        <f ca="1">ROUND(SUMIF(INDIRECT(Formulas!$B$1),MID(J$1,2,2)&amp;"-"&amp;LEFT($B50,4)&amp;"*-0*",INDIRECT(Formulas!$B$3)),0)</f>
        <v>0</v>
      </c>
      <c r="K50" s="474"/>
      <c r="L50" s="517"/>
    </row>
    <row r="51" spans="1:12" s="481" customFormat="1" x14ac:dyDescent="0.2">
      <c r="A51" s="1460" t="s">
        <v>294</v>
      </c>
      <c r="B51" s="479">
        <v>8150</v>
      </c>
      <c r="C51" s="473"/>
      <c r="D51" s="473"/>
      <c r="E51" s="473"/>
      <c r="F51" s="473"/>
      <c r="G51" s="473"/>
      <c r="H51" s="1713">
        <f ca="1">SUM(D29)</f>
        <v>0</v>
      </c>
      <c r="I51" s="474"/>
      <c r="J51" s="473"/>
      <c r="K51" s="476"/>
      <c r="L51" s="517"/>
    </row>
    <row r="52" spans="1:12" s="481" customFormat="1" ht="26.25" x14ac:dyDescent="0.2">
      <c r="A52" s="1460" t="s">
        <v>1794</v>
      </c>
      <c r="B52" s="479">
        <v>8160</v>
      </c>
      <c r="C52" s="474"/>
      <c r="D52" s="474"/>
      <c r="E52" s="474"/>
      <c r="F52" s="474"/>
      <c r="G52" s="474"/>
      <c r="H52" s="474"/>
      <c r="I52" s="474"/>
      <c r="J52" s="474"/>
      <c r="K52" s="1713">
        <f ca="1">D30</f>
        <v>0</v>
      </c>
      <c r="L52" s="517"/>
    </row>
    <row r="53" spans="1:12" s="481" customFormat="1" ht="26.25" x14ac:dyDescent="0.2">
      <c r="A53" s="1460" t="s">
        <v>1793</v>
      </c>
      <c r="B53" s="479">
        <v>8170</v>
      </c>
      <c r="C53" s="476"/>
      <c r="D53" s="476"/>
      <c r="E53" s="474"/>
      <c r="F53" s="474"/>
      <c r="G53" s="474"/>
      <c r="H53" s="476"/>
      <c r="I53" s="474"/>
      <c r="J53" s="474"/>
      <c r="K53" s="1713">
        <f ca="1">E31</f>
        <v>0</v>
      </c>
      <c r="L53" s="517"/>
    </row>
    <row r="54" spans="1:12" s="481" customFormat="1" x14ac:dyDescent="0.2">
      <c r="A54" s="1460" t="s">
        <v>692</v>
      </c>
      <c r="B54" s="479">
        <v>8410</v>
      </c>
      <c r="C54" s="466">
        <f ca="1">ROUND(SUMIF(INDIRECT(Formulas!$B$1),MID(C$1,2,2)&amp;"-"&amp;LEFT($B54,4)&amp;"*-0*",INDIRECT(Formulas!$B$3)),0)</f>
        <v>235486</v>
      </c>
      <c r="D54" s="466">
        <f ca="1">ROUND(SUMIF(INDIRECT(Formulas!$B$1),MID(D$1,2,2)&amp;"-"&amp;LEFT($B54,4)&amp;"*-0*",INDIRECT(Formulas!$B$3)),0)</f>
        <v>0</v>
      </c>
      <c r="E54" s="474"/>
      <c r="F54" s="474"/>
      <c r="G54" s="474"/>
      <c r="H54" s="466">
        <f ca="1">ROUND(SUMIF(INDIRECT(Formulas!$B$1),MID(H$1,2,2)&amp;"-"&amp;LEFT($B54,4)&amp;"*-0*",INDIRECT(Formulas!$B$3)),0)</f>
        <v>0</v>
      </c>
      <c r="I54" s="474"/>
      <c r="J54" s="474"/>
      <c r="K54" s="473"/>
      <c r="L54" s="517"/>
    </row>
    <row r="55" spans="1:12" s="481" customFormat="1" x14ac:dyDescent="0.2">
      <c r="A55" s="1461" t="s">
        <v>693</v>
      </c>
      <c r="B55" s="479">
        <v>8420</v>
      </c>
      <c r="C55" s="466">
        <f ca="1">ROUND(SUMIF(INDIRECT(Formulas!$B$1),MID(C$1,2,2)&amp;"-"&amp;LEFT($B55,4)&amp;"*-0*",INDIRECT(Formulas!$B$3)),0)</f>
        <v>0</v>
      </c>
      <c r="D55" s="466">
        <f ca="1">ROUND(SUMIF(INDIRECT(Formulas!$B$1),MID(D$1,2,2)&amp;"-"&amp;LEFT($B55,4)&amp;"*-0*",INDIRECT(Formulas!$B$3)),0)</f>
        <v>0</v>
      </c>
      <c r="E55" s="474"/>
      <c r="F55" s="474"/>
      <c r="G55" s="474"/>
      <c r="H55" s="466">
        <f ca="1">ROUND(SUMIF(INDIRECT(Formulas!$B$1),MID(H$1,2,2)&amp;"-"&amp;LEFT($B55,4)&amp;"*-0*",INDIRECT(Formulas!$B$3)),0)</f>
        <v>0</v>
      </c>
      <c r="I55" s="474"/>
      <c r="J55" s="474"/>
      <c r="K55" s="474"/>
      <c r="L55" s="517"/>
    </row>
    <row r="56" spans="1:12" s="481" customFormat="1" x14ac:dyDescent="0.2">
      <c r="A56" s="1460" t="s">
        <v>581</v>
      </c>
      <c r="B56" s="479">
        <v>8430</v>
      </c>
      <c r="C56" s="466">
        <f ca="1">ROUND(SUMIF(INDIRECT(Formulas!$B$1),MID(C$1,2,2)&amp;"-"&amp;LEFT($B56,4)&amp;"*-0*",INDIRECT(Formulas!$B$3)),0)</f>
        <v>0</v>
      </c>
      <c r="D56" s="466">
        <f ca="1">ROUND(SUMIF(INDIRECT(Formulas!$B$1),MID(D$1,2,2)&amp;"-"&amp;LEFT($B56,4)&amp;"*-0*",INDIRECT(Formulas!$B$3)),0)</f>
        <v>0</v>
      </c>
      <c r="E56" s="474"/>
      <c r="F56" s="474"/>
      <c r="G56" s="474"/>
      <c r="H56" s="466">
        <f ca="1">ROUND(SUMIF(INDIRECT(Formulas!$B$1),MID(H$1,2,2)&amp;"-"&amp;LEFT($B56,4)&amp;"*-0*",INDIRECT(Formulas!$B$3)),0)</f>
        <v>0</v>
      </c>
      <c r="I56" s="474"/>
      <c r="J56" s="474"/>
      <c r="K56" s="474"/>
      <c r="L56" s="517"/>
    </row>
    <row r="57" spans="1:12" s="481" customFormat="1" x14ac:dyDescent="0.2">
      <c r="A57" s="1461" t="s">
        <v>578</v>
      </c>
      <c r="B57" s="479">
        <v>8440</v>
      </c>
      <c r="C57" s="466">
        <f ca="1">ROUND(SUMIF(INDIRECT(Formulas!$B$1),MID(C$1,2,2)&amp;"-"&amp;LEFT($B57,4)&amp;"*-0*",INDIRECT(Formulas!$B$3)),0)</f>
        <v>0</v>
      </c>
      <c r="D57" s="466">
        <f ca="1">ROUND(SUMIF(INDIRECT(Formulas!$B$1),MID(D$1,2,2)&amp;"-"&amp;LEFT($B57,4)&amp;"*-0*",INDIRECT(Formulas!$B$3)),0)</f>
        <v>0</v>
      </c>
      <c r="E57" s="474"/>
      <c r="F57" s="474"/>
      <c r="G57" s="474"/>
      <c r="H57" s="466">
        <f ca="1">ROUND(SUMIF(INDIRECT(Formulas!$B$1),MID(H$1,2,2)&amp;"-"&amp;LEFT($B57,4)&amp;"*-0*",INDIRECT(Formulas!$B$3)),0)</f>
        <v>0</v>
      </c>
      <c r="I57" s="474"/>
      <c r="J57" s="474"/>
      <c r="K57" s="474"/>
      <c r="L57" s="517"/>
    </row>
    <row r="58" spans="1:12" s="481" customFormat="1" x14ac:dyDescent="0.2">
      <c r="A58" s="1460" t="s">
        <v>579</v>
      </c>
      <c r="B58" s="479">
        <v>8510</v>
      </c>
      <c r="C58" s="466">
        <f ca="1">ROUND(SUMIF(INDIRECT(Formulas!$B$1),MID(C$1,2,2)&amp;"-"&amp;LEFT($B58,4)&amp;"*-0*",INDIRECT(Formulas!$B$3)),0)</f>
        <v>3938</v>
      </c>
      <c r="D58" s="466">
        <f ca="1">ROUND(SUMIF(INDIRECT(Formulas!$B$1),MID(D$1,2,2)&amp;"-"&amp;LEFT($B58,4)&amp;"*-0*",INDIRECT(Formulas!$B$3)),0)</f>
        <v>0</v>
      </c>
      <c r="E58" s="474"/>
      <c r="F58" s="474"/>
      <c r="G58" s="474"/>
      <c r="H58" s="466">
        <f ca="1">ROUND(SUMIF(INDIRECT(Formulas!$B$1),MID(H$1,2,2)&amp;"-"&amp;LEFT($B58,4)&amp;"*-0*",INDIRECT(Formulas!$B$3)),0)</f>
        <v>0</v>
      </c>
      <c r="I58" s="474"/>
      <c r="J58" s="474"/>
      <c r="K58" s="474"/>
      <c r="L58" s="517"/>
    </row>
    <row r="59" spans="1:12" s="481" customFormat="1" x14ac:dyDescent="0.2">
      <c r="A59" s="1462" t="s">
        <v>694</v>
      </c>
      <c r="B59" s="479">
        <v>8520</v>
      </c>
      <c r="C59" s="466">
        <f ca="1">ROUND(SUMIF(INDIRECT(Formulas!$B$1),MID(C$1,2,2)&amp;"-"&amp;LEFT($B59,4)&amp;"*-0*",INDIRECT(Formulas!$B$3)),0)</f>
        <v>0</v>
      </c>
      <c r="D59" s="466">
        <f ca="1">ROUND(SUMIF(INDIRECT(Formulas!$B$1),MID(D$1,2,2)&amp;"-"&amp;LEFT($B59,4)&amp;"*-0*",INDIRECT(Formulas!$B$3)),0)</f>
        <v>0</v>
      </c>
      <c r="E59" s="474"/>
      <c r="F59" s="474"/>
      <c r="G59" s="474"/>
      <c r="H59" s="466">
        <f ca="1">ROUND(SUMIF(INDIRECT(Formulas!$B$1),MID(H$1,2,2)&amp;"-"&amp;LEFT($B59,4)&amp;"*-0*",INDIRECT(Formulas!$B$3)),0)</f>
        <v>0</v>
      </c>
      <c r="I59" s="474"/>
      <c r="J59" s="474"/>
      <c r="K59" s="474"/>
      <c r="L59" s="517"/>
    </row>
    <row r="60" spans="1:12" s="481" customFormat="1" x14ac:dyDescent="0.2">
      <c r="A60" s="1460" t="s">
        <v>580</v>
      </c>
      <c r="B60" s="479">
        <v>8530</v>
      </c>
      <c r="C60" s="466">
        <f ca="1">ROUND(SUMIF(INDIRECT(Formulas!$B$1),MID(C$1,2,2)&amp;"-"&amp;LEFT($B60,4)&amp;"*-0*",INDIRECT(Formulas!$B$3)),0)</f>
        <v>0</v>
      </c>
      <c r="D60" s="466">
        <f ca="1">ROUND(SUMIF(INDIRECT(Formulas!$B$1),MID(D$1,2,2)&amp;"-"&amp;LEFT($B60,4)&amp;"*-0*",INDIRECT(Formulas!$B$3)),0)</f>
        <v>0</v>
      </c>
      <c r="E60" s="474"/>
      <c r="F60" s="474"/>
      <c r="G60" s="474"/>
      <c r="H60" s="466">
        <f ca="1">ROUND(SUMIF(INDIRECT(Formulas!$B$1),MID(H$1,2,2)&amp;"-"&amp;LEFT($B60,4)&amp;"*-0*",INDIRECT(Formulas!$B$3)),0)</f>
        <v>0</v>
      </c>
      <c r="I60" s="474"/>
      <c r="J60" s="474"/>
      <c r="K60" s="474"/>
      <c r="L60" s="517"/>
    </row>
    <row r="61" spans="1:12" s="481" customFormat="1" x14ac:dyDescent="0.2">
      <c r="A61" s="1461" t="s">
        <v>743</v>
      </c>
      <c r="B61" s="479">
        <v>8540</v>
      </c>
      <c r="C61" s="466">
        <f ca="1">ROUND(SUMIF(INDIRECT(Formulas!$B$1),MID(C$1,2,2)&amp;"-"&amp;LEFT($B61,4)&amp;"*-0*",INDIRECT(Formulas!$B$3)),0)</f>
        <v>0</v>
      </c>
      <c r="D61" s="466">
        <f ca="1">ROUND(SUMIF(INDIRECT(Formulas!$B$1),MID(D$1,2,2)&amp;"-"&amp;LEFT($B61,4)&amp;"*-0*",INDIRECT(Formulas!$B$3)),0)</f>
        <v>0</v>
      </c>
      <c r="E61" s="474"/>
      <c r="F61" s="474"/>
      <c r="G61" s="474"/>
      <c r="H61" s="466">
        <f ca="1">ROUND(SUMIF(INDIRECT(Formulas!$B$1),MID(H$1,2,2)&amp;"-"&amp;LEFT($B61,4)&amp;"*-0*",INDIRECT(Formulas!$B$3)),0)</f>
        <v>0</v>
      </c>
      <c r="I61" s="474"/>
      <c r="J61" s="474"/>
      <c r="K61" s="474"/>
      <c r="L61" s="517"/>
    </row>
    <row r="62" spans="1:12" s="481" customFormat="1" ht="13.5" customHeight="1" x14ac:dyDescent="0.2">
      <c r="A62" s="1460" t="s">
        <v>744</v>
      </c>
      <c r="B62" s="479">
        <v>8610</v>
      </c>
      <c r="C62" s="466">
        <f ca="1">ROUND(SUMIF(INDIRECT(Formulas!$B$1),MID(C$1,2,2)&amp;"-"&amp;LEFT($B62,4)&amp;"*-0*",INDIRECT(Formulas!$B$3)),0)</f>
        <v>0</v>
      </c>
      <c r="D62" s="466">
        <f ca="1">ROUND(SUMIF(INDIRECT(Formulas!$B$1),MID(D$1,2,2)&amp;"-"&amp;LEFT($B62,4)&amp;"*-0*",INDIRECT(Formulas!$B$3)),0)</f>
        <v>0</v>
      </c>
      <c r="E62" s="474"/>
      <c r="F62" s="474"/>
      <c r="G62" s="474"/>
      <c r="H62" s="474"/>
      <c r="I62" s="474"/>
      <c r="J62" s="474"/>
      <c r="K62" s="474"/>
      <c r="L62" s="517"/>
    </row>
    <row r="63" spans="1:12" s="481" customFormat="1" x14ac:dyDescent="0.2">
      <c r="A63" s="1461" t="s">
        <v>695</v>
      </c>
      <c r="B63" s="479">
        <v>8620</v>
      </c>
      <c r="C63" s="466">
        <f ca="1">ROUND(SUMIF(INDIRECT(Formulas!$B$1),MID(C$1,2,2)&amp;"-"&amp;LEFT($B63,4)&amp;"*-0*",INDIRECT(Formulas!$B$3)),0)</f>
        <v>0</v>
      </c>
      <c r="D63" s="466">
        <f ca="1">ROUND(SUMIF(INDIRECT(Formulas!$B$1),MID(D$1,2,2)&amp;"-"&amp;LEFT($B63,4)&amp;"*-0*",INDIRECT(Formulas!$B$3)),0)</f>
        <v>0</v>
      </c>
      <c r="E63" s="474"/>
      <c r="F63" s="474"/>
      <c r="G63" s="474"/>
      <c r="H63" s="474"/>
      <c r="I63" s="474"/>
      <c r="J63" s="474"/>
      <c r="K63" s="474"/>
      <c r="L63" s="517"/>
    </row>
    <row r="64" spans="1:12" s="481" customFormat="1" ht="13.5" customHeight="1" x14ac:dyDescent="0.2">
      <c r="A64" s="1460" t="s">
        <v>745</v>
      </c>
      <c r="B64" s="479">
        <v>8630</v>
      </c>
      <c r="C64" s="466">
        <f ca="1">ROUND(SUMIF(INDIRECT(Formulas!$B$1),MID(C$1,2,2)&amp;"-"&amp;LEFT($B64,4)&amp;"*-0*",INDIRECT(Formulas!$B$3)),0)</f>
        <v>0</v>
      </c>
      <c r="D64" s="466">
        <f ca="1">ROUND(SUMIF(INDIRECT(Formulas!$B$1),MID(D$1,2,2)&amp;"-"&amp;LEFT($B64,4)&amp;"*-0*",INDIRECT(Formulas!$B$3)),0)</f>
        <v>0</v>
      </c>
      <c r="E64" s="474"/>
      <c r="F64" s="474"/>
      <c r="G64" s="474"/>
      <c r="H64" s="474"/>
      <c r="I64" s="474"/>
      <c r="J64" s="474"/>
      <c r="K64" s="474"/>
      <c r="L64" s="517"/>
    </row>
    <row r="65" spans="1:12" s="481" customFormat="1" x14ac:dyDescent="0.2">
      <c r="A65" s="1461" t="s">
        <v>746</v>
      </c>
      <c r="B65" s="479">
        <v>8640</v>
      </c>
      <c r="C65" s="466">
        <f ca="1">ROUND(SUMIF(INDIRECT(Formulas!$B$1),MID(C$1,2,2)&amp;"-"&amp;LEFT($B65,4)&amp;"*-0*",INDIRECT(Formulas!$B$3)),0)</f>
        <v>0</v>
      </c>
      <c r="D65" s="466">
        <f ca="1">ROUND(SUMIF(INDIRECT(Formulas!$B$1),MID(D$1,2,2)&amp;"-"&amp;LEFT($B65,4)&amp;"*-0*",INDIRECT(Formulas!$B$3)),0)</f>
        <v>0</v>
      </c>
      <c r="E65" s="474"/>
      <c r="F65" s="474"/>
      <c r="G65" s="474"/>
      <c r="H65" s="474"/>
      <c r="I65" s="474"/>
      <c r="J65" s="474"/>
      <c r="K65" s="474"/>
      <c r="L65" s="517"/>
    </row>
    <row r="66" spans="1:12" s="481" customFormat="1" x14ac:dyDescent="0.2">
      <c r="A66" s="1460" t="s">
        <v>747</v>
      </c>
      <c r="B66" s="479">
        <v>8710</v>
      </c>
      <c r="C66" s="466">
        <f ca="1">ROUND(SUMIF(INDIRECT(Formulas!$B$1),MID(C$1,2,2)&amp;"-"&amp;LEFT($B66,4)&amp;"*-0*",INDIRECT(Formulas!$B$3)),0)</f>
        <v>0</v>
      </c>
      <c r="D66" s="466">
        <f ca="1">ROUND(SUMIF(INDIRECT(Formulas!$B$1),MID(D$1,2,2)&amp;"-"&amp;LEFT($B66,4)&amp;"*-0*",INDIRECT(Formulas!$B$3)),0)</f>
        <v>0</v>
      </c>
      <c r="E66" s="474"/>
      <c r="F66" s="474"/>
      <c r="G66" s="474"/>
      <c r="H66" s="474"/>
      <c r="I66" s="474"/>
      <c r="J66" s="474"/>
      <c r="K66" s="474"/>
      <c r="L66" s="517"/>
    </row>
    <row r="67" spans="1:12" s="481" customFormat="1" x14ac:dyDescent="0.2">
      <c r="A67" s="1461" t="s">
        <v>696</v>
      </c>
      <c r="B67" s="479">
        <v>8720</v>
      </c>
      <c r="C67" s="466">
        <f ca="1">ROUND(SUMIF(INDIRECT(Formulas!$B$1),MID(C$1,2,2)&amp;"-"&amp;LEFT($B67,4)&amp;"*-0*",INDIRECT(Formulas!$B$3)),0)</f>
        <v>0</v>
      </c>
      <c r="D67" s="466">
        <f ca="1">ROUND(SUMIF(INDIRECT(Formulas!$B$1),MID(D$1,2,2)&amp;"-"&amp;LEFT($B67,4)&amp;"*-0*",INDIRECT(Formulas!$B$3)),0)</f>
        <v>0</v>
      </c>
      <c r="E67" s="474"/>
      <c r="F67" s="474"/>
      <c r="G67" s="474"/>
      <c r="H67" s="474"/>
      <c r="I67" s="474"/>
      <c r="J67" s="474"/>
      <c r="K67" s="474"/>
      <c r="L67" s="517"/>
    </row>
    <row r="68" spans="1:12" s="481" customFormat="1" x14ac:dyDescent="0.2">
      <c r="A68" s="1462" t="s">
        <v>748</v>
      </c>
      <c r="B68" s="479">
        <v>8730</v>
      </c>
      <c r="C68" s="466">
        <f ca="1">ROUND(SUMIF(INDIRECT(Formulas!$B$1),MID(C$1,2,2)&amp;"-"&amp;LEFT($B68,4)&amp;"*-0*",INDIRECT(Formulas!$B$3)),0)</f>
        <v>0</v>
      </c>
      <c r="D68" s="466">
        <f ca="1">ROUND(SUMIF(INDIRECT(Formulas!$B$1),MID(D$1,2,2)&amp;"-"&amp;LEFT($B68,4)&amp;"*-0*",INDIRECT(Formulas!$B$3)),0)</f>
        <v>0</v>
      </c>
      <c r="E68" s="474"/>
      <c r="F68" s="474"/>
      <c r="G68" s="474"/>
      <c r="H68" s="474"/>
      <c r="I68" s="474"/>
      <c r="J68" s="474"/>
      <c r="K68" s="474"/>
      <c r="L68" s="517"/>
    </row>
    <row r="69" spans="1:12" s="481" customFormat="1" x14ac:dyDescent="0.2">
      <c r="A69" s="1461" t="s">
        <v>749</v>
      </c>
      <c r="B69" s="479">
        <v>8740</v>
      </c>
      <c r="C69" s="466">
        <f ca="1">ROUND(SUMIF(INDIRECT(Formulas!$B$1),MID(C$1,2,2)&amp;"-"&amp;LEFT($B69,4)&amp;"*-0*",INDIRECT(Formulas!$B$3)),0)</f>
        <v>0</v>
      </c>
      <c r="D69" s="466">
        <f ca="1">ROUND(SUMIF(INDIRECT(Formulas!$B$1),MID(D$1,2,2)&amp;"-"&amp;LEFT($B69,4)&amp;"*-0*",INDIRECT(Formulas!$B$3)),0)</f>
        <v>0</v>
      </c>
      <c r="E69" s="474"/>
      <c r="F69" s="474"/>
      <c r="G69" s="474"/>
      <c r="H69" s="474"/>
      <c r="I69" s="474"/>
      <c r="J69" s="474"/>
      <c r="K69" s="474"/>
      <c r="L69" s="517"/>
    </row>
    <row r="70" spans="1:12" s="481" customFormat="1" x14ac:dyDescent="0.2">
      <c r="A70" s="1460" t="s">
        <v>750</v>
      </c>
      <c r="B70" s="479">
        <v>8810</v>
      </c>
      <c r="C70" s="466">
        <f ca="1">ROUND(SUMIF(INDIRECT(Formulas!$B$1),MID(C$1,2,2)&amp;"-"&amp;LEFT($B70,4)&amp;"*-0*",INDIRECT(Formulas!$B$3)),0)</f>
        <v>0</v>
      </c>
      <c r="D70" s="466">
        <f ca="1">ROUND(SUMIF(INDIRECT(Formulas!$B$1),MID(D$1,2,2)&amp;"-"&amp;LEFT($B70,4)&amp;"*-0*",INDIRECT(Formulas!$B$3)),0)</f>
        <v>0</v>
      </c>
      <c r="E70" s="474"/>
      <c r="F70" s="474"/>
      <c r="G70" s="474"/>
      <c r="H70" s="474"/>
      <c r="I70" s="474"/>
      <c r="J70" s="474"/>
      <c r="K70" s="474"/>
      <c r="L70" s="517"/>
    </row>
    <row r="71" spans="1:12" s="481" customFormat="1" x14ac:dyDescent="0.2">
      <c r="A71" s="1460" t="s">
        <v>754</v>
      </c>
      <c r="B71" s="479">
        <v>8820</v>
      </c>
      <c r="C71" s="466">
        <f ca="1">ROUND(SUMIF(INDIRECT(Formulas!$B$1),MID(C$1,2,2)&amp;"-"&amp;LEFT($B71,4)&amp;"*-0*",INDIRECT(Formulas!$B$3)),0)</f>
        <v>0</v>
      </c>
      <c r="D71" s="466">
        <f ca="1">ROUND(SUMIF(INDIRECT(Formulas!$B$1),MID(D$1,2,2)&amp;"-"&amp;LEFT($B71,4)&amp;"*-0*",INDIRECT(Formulas!$B$3)),0)</f>
        <v>0</v>
      </c>
      <c r="E71" s="474"/>
      <c r="F71" s="474"/>
      <c r="G71" s="474"/>
      <c r="H71" s="474"/>
      <c r="I71" s="474"/>
      <c r="J71" s="474"/>
      <c r="K71" s="474"/>
      <c r="L71" s="517"/>
    </row>
    <row r="72" spans="1:12" s="481" customFormat="1" x14ac:dyDescent="0.2">
      <c r="A72" s="1460" t="s">
        <v>751</v>
      </c>
      <c r="B72" s="479">
        <v>8830</v>
      </c>
      <c r="C72" s="466">
        <f ca="1">ROUND(SUMIF(INDIRECT(Formulas!$B$1),MID(C$1,2,2)&amp;"-"&amp;LEFT($B72,4)&amp;"*-0*",INDIRECT(Formulas!$B$3)),0)</f>
        <v>0</v>
      </c>
      <c r="D72" s="466">
        <f ca="1">ROUND(SUMIF(INDIRECT(Formulas!$B$1),MID(D$1,2,2)&amp;"-"&amp;LEFT($B72,4)&amp;"*-0*",INDIRECT(Formulas!$B$3)),0)</f>
        <v>0</v>
      </c>
      <c r="E72" s="474"/>
      <c r="F72" s="474"/>
      <c r="G72" s="474"/>
      <c r="H72" s="474"/>
      <c r="I72" s="474"/>
      <c r="J72" s="474"/>
      <c r="K72" s="474"/>
      <c r="L72" s="517"/>
    </row>
    <row r="73" spans="1:12" s="481" customFormat="1" x14ac:dyDescent="0.2">
      <c r="A73" s="1460" t="s">
        <v>752</v>
      </c>
      <c r="B73" s="479">
        <v>8840</v>
      </c>
      <c r="C73" s="466">
        <f ca="1">ROUND(SUMIF(INDIRECT(Formulas!$B$1),MID(C$1,2,2)&amp;"-"&amp;LEFT($B73,4)&amp;"*-0*",INDIRECT(Formulas!$B$3)),0)</f>
        <v>0</v>
      </c>
      <c r="D73" s="466">
        <f ca="1">ROUND(SUMIF(INDIRECT(Formulas!$B$1),MID(D$1,2,2)&amp;"-"&amp;LEFT($B73,4)&amp;"*-0*",INDIRECT(Formulas!$B$3)),0)</f>
        <v>0</v>
      </c>
      <c r="E73" s="474"/>
      <c r="F73" s="474"/>
      <c r="G73" s="474"/>
      <c r="H73" s="474"/>
      <c r="I73" s="474"/>
      <c r="J73" s="474"/>
      <c r="K73" s="476"/>
      <c r="L73" s="517"/>
    </row>
    <row r="74" spans="1:12" s="481" customFormat="1" x14ac:dyDescent="0.2">
      <c r="A74" s="1460" t="s">
        <v>375</v>
      </c>
      <c r="B74" s="479">
        <v>8910</v>
      </c>
      <c r="C74" s="466">
        <f ca="1">ROUND(SUMIF(INDIRECT(Formulas!$B$1),MID(C$1,2,2)&amp;"-"&amp;LEFT($B74,4)&amp;"*-0*",INDIRECT(Formulas!$B$3)),0)</f>
        <v>0</v>
      </c>
      <c r="D74" s="466">
        <f ca="1">ROUND(SUMIF(INDIRECT(Formulas!$B$1),MID(D$1,2,2)&amp;"-"&amp;LEFT($B74,4)&amp;"*-0*",INDIRECT(Formulas!$B$3)),0)</f>
        <v>0</v>
      </c>
      <c r="E74" s="476"/>
      <c r="F74" s="466">
        <f ca="1">ROUND(SUMIF(INDIRECT(Formulas!$B$1),MID(F$1,2,2)&amp;"-"&amp;LEFT($B74,4)&amp;"*-0*",INDIRECT(Formulas!$B$3)),0)</f>
        <v>0</v>
      </c>
      <c r="G74" s="466">
        <f ca="1">ROUND(SUMIF(INDIRECT(Formulas!$B$1),MID(G$1,2,2)&amp;"-"&amp;LEFT($B74,4)&amp;"*-0*",INDIRECT(Formulas!$B$3)),0)</f>
        <v>0</v>
      </c>
      <c r="H74" s="466">
        <f ca="1">ROUND(SUMIF(INDIRECT(Formulas!$B$1),MID(H$1,2,2)&amp;"-"&amp;LEFT($B74,4)&amp;"*-0*",INDIRECT(Formulas!$B$3)),0)</f>
        <v>0</v>
      </c>
      <c r="I74" s="476"/>
      <c r="J74" s="476"/>
      <c r="K74" s="466">
        <f ca="1">ROUND(SUMIF(INDIRECT(Formulas!$B$1),MID(K$1,2,2)&amp;"-"&amp;LEFT($B74,4)&amp;"*-0*",INDIRECT(Formulas!$B$3)),0)</f>
        <v>0</v>
      </c>
      <c r="L74" s="517"/>
    </row>
    <row r="75" spans="1:12" s="481" customFormat="1" x14ac:dyDescent="0.2">
      <c r="A75" s="1463" t="s">
        <v>439</v>
      </c>
      <c r="B75" s="479">
        <v>8990</v>
      </c>
      <c r="C75" s="466">
        <f ca="1">ROUND(SUMIF(INDIRECT(Formulas!$B$1),MID(C$1,2,2)&amp;"-"&amp;LEFT($B75,4)&amp;"*-0*",INDIRECT(Formulas!$B$3)),0)</f>
        <v>250</v>
      </c>
      <c r="D75" s="466">
        <f ca="1">ROUND(SUMIF(INDIRECT(Formulas!$B$1),MID(D$1,2,2)&amp;"-"&amp;LEFT($B75,4)&amp;"*-0*",INDIRECT(Formulas!$B$3)),0)</f>
        <v>0</v>
      </c>
      <c r="E75" s="466">
        <f ca="1">ROUND(SUMIF(INDIRECT(Formulas!$B$1),MID(E$1,2,2)&amp;"-"&amp;LEFT($B75,4)&amp;"*-0*",INDIRECT(Formulas!$B$3)),0)</f>
        <v>91212</v>
      </c>
      <c r="F75" s="466">
        <f ca="1">ROUND(SUMIF(INDIRECT(Formulas!$B$1),MID(F$1,2,2)&amp;"-"&amp;LEFT($B75,4)&amp;"*-0*",INDIRECT(Formulas!$B$3)),0)</f>
        <v>0</v>
      </c>
      <c r="G75" s="466">
        <f ca="1">ROUND(SUMIF(INDIRECT(Formulas!$B$1),MID(G$1,2,2)&amp;"-"&amp;LEFT($B75,4)&amp;"*-0*",INDIRECT(Formulas!$B$3)),0)</f>
        <v>0</v>
      </c>
      <c r="H75" s="466">
        <f ca="1">ROUND(SUMIF(INDIRECT(Formulas!$B$1),MID(H$1,2,2)&amp;"-"&amp;LEFT($B75,4)&amp;"*-0*",INDIRECT(Formulas!$B$3)),0)</f>
        <v>0</v>
      </c>
      <c r="I75" s="466">
        <f ca="1">ROUND(SUMIF(INDIRECT(Formulas!$B$1),MID(I$1,2,2)&amp;"-"&amp;LEFT($B75,4)&amp;"*-0*",INDIRECT(Formulas!$B$3)),0)</f>
        <v>0</v>
      </c>
      <c r="J75" s="466">
        <f ca="1">ROUND(SUMIF(INDIRECT(Formulas!$B$1),MID(J$1,2,2)&amp;"-"&amp;LEFT($B75,4)&amp;"*-0*",INDIRECT(Formulas!$B$3)),0)</f>
        <v>0</v>
      </c>
      <c r="K75" s="466">
        <f ca="1">ROUND(SUMIF(INDIRECT(Formulas!$B$1),MID(K$1,2,2)&amp;"-"&amp;LEFT($B75,4)&amp;"*-0*",INDIRECT(Formulas!$B$3)),0)</f>
        <v>0</v>
      </c>
      <c r="L75" s="517"/>
    </row>
    <row r="76" spans="1:12" s="481" customFormat="1" ht="13.5" thickBot="1" x14ac:dyDescent="0.25">
      <c r="A76" s="2167" t="s">
        <v>440</v>
      </c>
      <c r="B76" s="2168"/>
      <c r="C76" s="1673">
        <f t="shared" ref="C76:K76" ca="1" si="7">SUM(C47:C75)</f>
        <v>239674</v>
      </c>
      <c r="D76" s="1673">
        <f t="shared" ca="1" si="7"/>
        <v>0</v>
      </c>
      <c r="E76" s="1673">
        <f t="shared" ca="1" si="7"/>
        <v>91212</v>
      </c>
      <c r="F76" s="1673">
        <f t="shared" ca="1" si="7"/>
        <v>0</v>
      </c>
      <c r="G76" s="1673">
        <f t="shared" ca="1" si="7"/>
        <v>0</v>
      </c>
      <c r="H76" s="1673">
        <f t="shared" ca="1" si="7"/>
        <v>0</v>
      </c>
      <c r="I76" s="1673">
        <f t="shared" ca="1" si="7"/>
        <v>750000</v>
      </c>
      <c r="J76" s="1673">
        <f t="shared" ca="1" si="7"/>
        <v>0</v>
      </c>
      <c r="K76" s="1673">
        <f t="shared" ca="1" si="7"/>
        <v>0</v>
      </c>
      <c r="L76" s="517"/>
    </row>
    <row r="77" spans="1:12" ht="14.25" thickTop="1" thickBot="1" x14ac:dyDescent="0.25">
      <c r="A77" s="2169" t="s">
        <v>1177</v>
      </c>
      <c r="B77" s="2170"/>
      <c r="C77" s="1673">
        <f t="shared" ref="C77:K77" ca="1" si="8">C44-C76</f>
        <v>-239674</v>
      </c>
      <c r="D77" s="1673">
        <f t="shared" ca="1" si="8"/>
        <v>750000</v>
      </c>
      <c r="E77" s="1673">
        <f t="shared" ca="1" si="8"/>
        <v>4567944</v>
      </c>
      <c r="F77" s="1673">
        <f t="shared" ca="1" si="8"/>
        <v>0</v>
      </c>
      <c r="G77" s="1673">
        <f t="shared" ca="1" si="8"/>
        <v>0</v>
      </c>
      <c r="H77" s="1673">
        <f t="shared" ca="1" si="8"/>
        <v>0</v>
      </c>
      <c r="I77" s="1673">
        <f t="shared" ca="1" si="8"/>
        <v>-750000</v>
      </c>
      <c r="J77" s="1673">
        <f t="shared" ca="1" si="8"/>
        <v>0</v>
      </c>
      <c r="K77" s="1673">
        <f t="shared" ca="1" si="8"/>
        <v>0</v>
      </c>
      <c r="L77" s="347"/>
    </row>
    <row r="78" spans="1:12" ht="21.75" customHeight="1" thickTop="1" thickBot="1" x14ac:dyDescent="0.25">
      <c r="A78" s="2173" t="s">
        <v>597</v>
      </c>
      <c r="B78" s="2174"/>
      <c r="C78" s="1672">
        <f t="shared" ref="C78:K78" ca="1" si="9">C20+C77</f>
        <v>59668</v>
      </c>
      <c r="D78" s="1672">
        <f t="shared" ca="1" si="9"/>
        <v>-323965</v>
      </c>
      <c r="E78" s="1672">
        <f t="shared" ca="1" si="9"/>
        <v>-3834</v>
      </c>
      <c r="F78" s="1672">
        <f t="shared" ca="1" si="9"/>
        <v>88110</v>
      </c>
      <c r="G78" s="1672">
        <f t="shared" ca="1" si="9"/>
        <v>51698</v>
      </c>
      <c r="H78" s="1672">
        <f t="shared" ca="1" si="9"/>
        <v>0</v>
      </c>
      <c r="I78" s="1672">
        <f t="shared" ca="1" si="9"/>
        <v>-482615</v>
      </c>
      <c r="J78" s="1672">
        <f t="shared" ca="1" si="9"/>
        <v>27587</v>
      </c>
      <c r="K78" s="1672">
        <f t="shared" ca="1" si="9"/>
        <v>10433</v>
      </c>
      <c r="L78" s="523"/>
    </row>
    <row r="79" spans="1:12" ht="13.5" thickTop="1" x14ac:dyDescent="0.2">
      <c r="A79" s="1464" t="s">
        <v>1946</v>
      </c>
      <c r="B79" s="524"/>
      <c r="C79" s="475">
        <v>2568712</v>
      </c>
      <c r="D79" s="525">
        <v>517535</v>
      </c>
      <c r="E79" s="525">
        <v>-40912</v>
      </c>
      <c r="F79" s="525">
        <v>562628</v>
      </c>
      <c r="G79" s="525">
        <v>107184</v>
      </c>
      <c r="H79" s="525">
        <v>0</v>
      </c>
      <c r="I79" s="525">
        <v>6312742</v>
      </c>
      <c r="J79" s="525">
        <v>118854</v>
      </c>
      <c r="K79" s="525">
        <v>451282</v>
      </c>
      <c r="L79" s="347"/>
    </row>
    <row r="80" spans="1:12" x14ac:dyDescent="0.2">
      <c r="A80" s="2179" t="s">
        <v>1792</v>
      </c>
      <c r="B80" s="2180"/>
      <c r="C80" s="467"/>
      <c r="D80" s="467"/>
      <c r="E80" s="467"/>
      <c r="F80" s="467"/>
      <c r="G80" s="467"/>
      <c r="H80" s="467"/>
      <c r="I80" s="467"/>
      <c r="J80" s="467"/>
      <c r="K80" s="467"/>
      <c r="L80" s="347"/>
    </row>
    <row r="81" spans="1:12" ht="13.5" thickBot="1" x14ac:dyDescent="0.25">
      <c r="A81" s="2171" t="s">
        <v>1947</v>
      </c>
      <c r="B81" s="2172"/>
      <c r="C81" s="1658">
        <f ca="1">(SUM(C78:C80))</f>
        <v>2628380</v>
      </c>
      <c r="D81" s="1658">
        <f ca="1">SUM(D78:D80)</f>
        <v>193570</v>
      </c>
      <c r="E81" s="1658">
        <f t="shared" ref="E81:K81" ca="1" si="10">SUM(E78:E80)</f>
        <v>-44746</v>
      </c>
      <c r="F81" s="1658">
        <f t="shared" ca="1" si="10"/>
        <v>650738</v>
      </c>
      <c r="G81" s="1658">
        <f t="shared" ca="1" si="10"/>
        <v>158882</v>
      </c>
      <c r="H81" s="1658">
        <f t="shared" ca="1" si="10"/>
        <v>0</v>
      </c>
      <c r="I81" s="1658">
        <f t="shared" ca="1" si="10"/>
        <v>5830127</v>
      </c>
      <c r="J81" s="1658">
        <f t="shared" ca="1" si="10"/>
        <v>146441</v>
      </c>
      <c r="K81" s="1658">
        <f t="shared" ca="1" si="10"/>
        <v>461715</v>
      </c>
      <c r="L81" s="347"/>
    </row>
    <row r="82" spans="1:12" ht="0.75" customHeight="1" thickTop="1" thickBot="1" x14ac:dyDescent="0.25">
      <c r="A82" s="526" t="s">
        <v>343</v>
      </c>
      <c r="B82" s="527"/>
      <c r="C82" s="528">
        <f ca="1">(C81-C79)</f>
        <v>59668</v>
      </c>
      <c r="D82" s="528">
        <f t="shared" ref="D82:K82" ca="1" si="11">(D81-D79)</f>
        <v>-323965</v>
      </c>
      <c r="E82" s="528">
        <f t="shared" ca="1" si="11"/>
        <v>-3834</v>
      </c>
      <c r="F82" s="528">
        <f t="shared" ca="1" si="11"/>
        <v>88110</v>
      </c>
      <c r="G82" s="528">
        <f t="shared" ca="1" si="11"/>
        <v>51698</v>
      </c>
      <c r="H82" s="528">
        <f t="shared" ca="1" si="11"/>
        <v>0</v>
      </c>
      <c r="I82" s="528">
        <f t="shared" ca="1" si="11"/>
        <v>-482615</v>
      </c>
      <c r="J82" s="528">
        <f t="shared" ca="1" si="11"/>
        <v>27587</v>
      </c>
      <c r="K82" s="528">
        <f t="shared" ca="1" si="11"/>
        <v>10433</v>
      </c>
    </row>
    <row r="83" spans="1:12" ht="14.25" hidden="1" thickTop="1" thickBot="1" x14ac:dyDescent="0.25">
      <c r="A83" s="529" t="s">
        <v>344</v>
      </c>
      <c r="B83" s="464"/>
      <c r="C83" s="530">
        <f ca="1">C82/C81</f>
        <v>2.2701435865438026E-2</v>
      </c>
      <c r="D83" s="530">
        <f t="shared" ref="D83:K83" ca="1" si="12">D82/D81</f>
        <v>-1.6736322777289869</v>
      </c>
      <c r="E83" s="530">
        <f t="shared" ca="1" si="12"/>
        <v>8.5683636526169935E-2</v>
      </c>
      <c r="F83" s="530">
        <f t="shared" ca="1" si="12"/>
        <v>0.13540011494641468</v>
      </c>
      <c r="G83" s="530">
        <f t="shared" ca="1" si="12"/>
        <v>0.32538613562266339</v>
      </c>
      <c r="H83" s="530" t="e">
        <f t="shared" ca="1" si="12"/>
        <v>#DIV/0!</v>
      </c>
      <c r="I83" s="530">
        <f t="shared" ca="1" si="12"/>
        <v>-8.2779500343646034E-2</v>
      </c>
      <c r="J83" s="530">
        <f t="shared" ca="1" si="12"/>
        <v>0.18838303480582624</v>
      </c>
      <c r="K83" s="530">
        <f t="shared" ca="1" si="12"/>
        <v>2.25961902905472E-2</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colorId="8" zoomScale="80" zoomScaleNormal="110" zoomScaleSheetLayoutView="75" zoomScalePageLayoutView="80" workbookViewId="0">
      <selection activeCell="C7" sqref="C7:L7"/>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75" t="s">
        <v>1799</v>
      </c>
      <c r="B1" s="452"/>
      <c r="C1" s="453" t="s">
        <v>425</v>
      </c>
      <c r="D1" s="453" t="s">
        <v>426</v>
      </c>
      <c r="E1" s="453" t="s">
        <v>427</v>
      </c>
      <c r="F1" s="453" t="s">
        <v>428</v>
      </c>
      <c r="G1" s="453" t="s">
        <v>429</v>
      </c>
      <c r="H1" s="453" t="s">
        <v>430</v>
      </c>
      <c r="I1" s="453" t="s">
        <v>431</v>
      </c>
      <c r="J1" s="453" t="s">
        <v>432</v>
      </c>
      <c r="K1" s="453" t="s">
        <v>756</v>
      </c>
    </row>
    <row r="2" spans="1:12" ht="36" x14ac:dyDescent="0.2">
      <c r="A2" s="2176"/>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49" t="s">
        <v>113</v>
      </c>
      <c r="B3" s="1550"/>
      <c r="C3" s="1551"/>
      <c r="D3" s="1551"/>
      <c r="E3" s="1551"/>
      <c r="F3" s="1552"/>
      <c r="G3" s="1553"/>
      <c r="H3" s="1552"/>
      <c r="I3" s="1552"/>
      <c r="J3" s="1552"/>
      <c r="K3" s="1554"/>
    </row>
    <row r="4" spans="1:12" ht="15.75" customHeight="1" x14ac:dyDescent="0.2">
      <c r="A4" s="1560" t="s">
        <v>379</v>
      </c>
      <c r="B4" s="1561">
        <v>1100</v>
      </c>
      <c r="C4" s="533"/>
      <c r="D4" s="533"/>
      <c r="E4" s="533"/>
      <c r="F4" s="534"/>
      <c r="G4" s="535"/>
      <c r="H4" s="536"/>
      <c r="I4" s="536"/>
      <c r="J4" s="536"/>
      <c r="K4" s="536"/>
    </row>
    <row r="5" spans="1:12" ht="15" x14ac:dyDescent="0.2">
      <c r="A5" s="486" t="s">
        <v>1661</v>
      </c>
      <c r="B5" s="537"/>
      <c r="C5" s="466">
        <f ca="1">ROUND(SUMIF(INDIRECT(Formulas!$B$1),MID(C$1,2,2)&amp;"-111*"&amp;"*-0*",INDIRECT(Formulas!$B$3)),0)+ROUND(SUMIF(INDIRECT(Formulas!$B$1),MID(C$1,2,2)&amp;"-112*"&amp;"*-0*",INDIRECT(Formulas!$B$3)),0)</f>
        <v>6328280</v>
      </c>
      <c r="D5" s="466">
        <f ca="1">ROUND(SUMIF(INDIRECT(Formulas!$B$1),MID(D$1,2,2)&amp;"-111*"&amp;"*-0*",INDIRECT(Formulas!$B$3)),0)+ROUND(SUMIF(INDIRECT(Formulas!$B$1),MID(D$1,2,2)&amp;"-112*"&amp;"*-0*",INDIRECT(Formulas!$B$3)),0)</f>
        <v>706863</v>
      </c>
      <c r="E5" s="466">
        <f ca="1">ROUND(SUMIF(INDIRECT(Formulas!$B$1),MID(E$1,2,2)&amp;"-111*"&amp;"*-0*",INDIRECT(Formulas!$B$3)),0)+ROUND(SUMIF(INDIRECT(Formulas!$B$1),MID(E$1,2,2)&amp;"-112*"&amp;"*-0*",INDIRECT(Formulas!$B$3)),0)</f>
        <v>2988919</v>
      </c>
      <c r="F5" s="466">
        <f ca="1">ROUND(SUMIF(INDIRECT(Formulas!$B$1),MID(F$1,2,2)&amp;"-111*"&amp;"*-0*",INDIRECT(Formulas!$B$3)),0)+ROUND(SUMIF(INDIRECT(Formulas!$B$1),MID(F$1,2,2)&amp;"-112*"&amp;"*-0*",INDIRECT(Formulas!$B$3)),0)</f>
        <v>338481</v>
      </c>
      <c r="G5" s="466">
        <f ca="1">ROUND(SUMIF(INDIRECT(Formulas!$B$1),MID(G$1,2,2)&amp;"-111*"&amp;"*-0*",INDIRECT(Formulas!$B$3)),0)+ROUND(SUMIF(INDIRECT(Formulas!$B$1),MID(G$1,2,2)&amp;"-112*"&amp;"*-0*",INDIRECT(Formulas!$B$3)),0)</f>
        <v>343265</v>
      </c>
      <c r="H5" s="466">
        <f ca="1">ROUND(SUMIF(INDIRECT(Formulas!$B$1),MID(H$1,2,2)&amp;"-111*"&amp;"*-0*",INDIRECT(Formulas!$B$3)),0)+ROUND(SUMIF(INDIRECT(Formulas!$B$1),MID(H$1,2,2)&amp;"-112*"&amp;"*-0*",INDIRECT(Formulas!$B$3)),0)</f>
        <v>0</v>
      </c>
      <c r="I5" s="466">
        <f ca="1">ROUND(SUMIF(INDIRECT(Formulas!$B$1),MID(I$1,2,2)&amp;"-111*"&amp;"*-0*",INDIRECT(Formulas!$B$3)),0)+ROUND(SUMIF(INDIRECT(Formulas!$B$1),MID(I$1,2,2)&amp;"-112*"&amp;"*-0*",INDIRECT(Formulas!$B$3)),0)</f>
        <v>141133</v>
      </c>
      <c r="J5" s="466">
        <f ca="1">ROUND(SUMIF(INDIRECT(Formulas!$B$1),MID(J$1,2,2)&amp;"-111*"&amp;"*-0*",INDIRECT(Formulas!$B$3)),0)+ROUND(SUMIF(INDIRECT(Formulas!$B$1),MID(J$1,2,2)&amp;"-112*"&amp;"*-0*",INDIRECT(Formulas!$B$3)),0)</f>
        <v>497555</v>
      </c>
      <c r="K5" s="466">
        <f ca="1">ROUND(SUMIF(INDIRECT(Formulas!$B$1),MID(K$1,2,2)&amp;"-111*"&amp;"*-0*",INDIRECT(Formulas!$B$3)),0)+ROUND(SUMIF(INDIRECT(Formulas!$B$1),MID(K$1,2,2)&amp;"-112*"&amp;"*-0*",INDIRECT(Formulas!$B$3)),0)</f>
        <v>0</v>
      </c>
    </row>
    <row r="6" spans="1:12" ht="15" x14ac:dyDescent="0.2">
      <c r="A6" s="463" t="s">
        <v>1662</v>
      </c>
      <c r="B6" s="470">
        <v>1130</v>
      </c>
      <c r="C6" s="466">
        <f ca="1">ROUND(SUMIF(INDIRECT(Formulas!$B$1),MID(C$1,2,2)&amp;"-"&amp;LEFT($B6,3)&amp;"*-0*",INDIRECT(Formulas!$B$3)),0)</f>
        <v>141133</v>
      </c>
      <c r="D6" s="466">
        <f ca="1">ROUND(SUMIF(INDIRECT(Formulas!$B$1),MID(D$1,2,2)&amp;"-"&amp;LEFT($B6,3)&amp;"*-0*",INDIRECT(Formulas!$B$3)),0)</f>
        <v>0</v>
      </c>
      <c r="E6" s="473"/>
      <c r="F6" s="473"/>
      <c r="G6" s="468"/>
      <c r="H6" s="468"/>
      <c r="I6" s="468"/>
      <c r="J6" s="468"/>
      <c r="K6" s="468"/>
    </row>
    <row r="7" spans="1:12" x14ac:dyDescent="0.2">
      <c r="A7" s="463" t="s">
        <v>110</v>
      </c>
      <c r="B7" s="538">
        <v>1140</v>
      </c>
      <c r="C7" s="466">
        <f ca="1">ROUND(SUMIF(INDIRECT(Formulas!$B$1),MID(C$1,2,2)&amp;"-"&amp;LEFT($B7,3)&amp;"*-0*",INDIRECT(Formulas!$B$3)),0)</f>
        <v>56214</v>
      </c>
      <c r="D7" s="466">
        <f ca="1">ROUND(SUMIF(INDIRECT(Formulas!$B$1),MID(D$1,2,2)&amp;"-"&amp;LEFT($B7,3)&amp;"*-0*",INDIRECT(Formulas!$B$3)),0)</f>
        <v>0</v>
      </c>
      <c r="E7" s="468"/>
      <c r="F7" s="466">
        <f ca="1">ROUND(SUMIF(INDIRECT(Formulas!$B$1),MID(F$1,2,2)&amp;"-"&amp;LEFT($B7,3)&amp;"*-0*",INDIRECT(Formulas!$B$3)),0)</f>
        <v>0</v>
      </c>
      <c r="G7" s="466">
        <f ca="1">ROUND(SUMIF(INDIRECT(Formulas!$B$1),MID(G$1,2,2)&amp;"-"&amp;LEFT($B7,3)&amp;"*-0*",INDIRECT(Formulas!$B$3)),0)</f>
        <v>0</v>
      </c>
      <c r="H7" s="466">
        <f ca="1">ROUND(SUMIF(INDIRECT(Formulas!$B$1),MID(H$1,2,2)&amp;"-"&amp;LEFT($B7,3)&amp;"*-0*",INDIRECT(Formulas!$B$3)),0)</f>
        <v>0</v>
      </c>
      <c r="I7" s="468"/>
      <c r="J7" s="468"/>
      <c r="K7" s="468"/>
    </row>
    <row r="8" spans="1:12" x14ac:dyDescent="0.2">
      <c r="A8" s="463" t="s">
        <v>413</v>
      </c>
      <c r="B8" s="470">
        <v>1150</v>
      </c>
      <c r="C8" s="473"/>
      <c r="D8" s="473"/>
      <c r="E8" s="474"/>
      <c r="F8" s="474"/>
      <c r="G8" s="466">
        <f ca="1">ROUND(SUMIF(INDIRECT(Formulas!$B$1),MID(G$1,2,2)&amp;"-"&amp;LEFT($B8,3)&amp;"*-0*",INDIRECT(Formulas!$B$3)),0)</f>
        <v>418616</v>
      </c>
      <c r="H8" s="468"/>
      <c r="I8" s="468"/>
      <c r="J8" s="468"/>
      <c r="K8" s="468"/>
    </row>
    <row r="9" spans="1:12" x14ac:dyDescent="0.2">
      <c r="A9" s="472" t="s">
        <v>111</v>
      </c>
      <c r="B9" s="470">
        <v>1160</v>
      </c>
      <c r="C9" s="468"/>
      <c r="D9" s="466">
        <f ca="1">ROUND(SUMIF(INDIRECT(Formulas!$B$1),MID(D$1,2,2)&amp;"-"&amp;LEFT($B9,3)&amp;"*-0*",INDIRECT(Formulas!$B$3)),0)</f>
        <v>0</v>
      </c>
      <c r="E9" s="466">
        <f ca="1">ROUND(SUMIF(INDIRECT(Formulas!$B$1),MID(E$1,2,2)&amp;"-"&amp;LEFT($B9,3)&amp;"*-0*",INDIRECT(Formulas!$B$3)),0)</f>
        <v>0</v>
      </c>
      <c r="F9" s="469"/>
      <c r="G9" s="473"/>
      <c r="H9" s="466">
        <f ca="1">ROUND(SUMIF(INDIRECT(Formulas!$B$1),MID(H$1,2,2)&amp;"-"&amp;LEFT($B9,3)&amp;"*-0*",INDIRECT(Formulas!$B$3)),0)</f>
        <v>0</v>
      </c>
      <c r="I9" s="468"/>
      <c r="J9" s="468"/>
      <c r="K9" s="468"/>
    </row>
    <row r="10" spans="1:12" x14ac:dyDescent="0.2">
      <c r="A10" s="472" t="s">
        <v>112</v>
      </c>
      <c r="B10" s="470">
        <v>1170</v>
      </c>
      <c r="C10" s="466">
        <f ca="1">ROUND(SUMIF(INDIRECT(Formulas!$B$1),MID(C$1,2,2)&amp;"-"&amp;LEFT($B10,3)&amp;"*-0*",INDIRECT(Formulas!$B$3)),0)</f>
        <v>0</v>
      </c>
      <c r="D10" s="519"/>
      <c r="E10" s="519"/>
      <c r="F10" s="469"/>
      <c r="G10" s="468"/>
      <c r="H10" s="468"/>
      <c r="I10" s="468"/>
      <c r="J10" s="468"/>
      <c r="K10" s="468"/>
    </row>
    <row r="11" spans="1:12" x14ac:dyDescent="0.2">
      <c r="A11" s="472" t="s">
        <v>414</v>
      </c>
      <c r="B11" s="539">
        <v>1190</v>
      </c>
      <c r="C11" s="466">
        <f ca="1">ROUND(SUMIF(INDIRECT(Formulas!$B$1),MID(C$1,2,2)&amp;"-"&amp;LEFT($B11,3)&amp;"*-0*",INDIRECT(Formulas!$B$3)),0)</f>
        <v>0</v>
      </c>
      <c r="D11" s="466">
        <f ca="1">ROUND(SUMIF(INDIRECT(Formulas!$B$1),MID(D$1,2,2)&amp;"-"&amp;LEFT($B11,3)&amp;"*-0*",INDIRECT(Formulas!$B$3)),0)</f>
        <v>0</v>
      </c>
      <c r="E11" s="466">
        <f ca="1">ROUND(SUMIF(INDIRECT(Formulas!$B$1),MID(E$1,2,2)&amp;"-"&amp;LEFT($B11,3)&amp;"*-0*",INDIRECT(Formulas!$B$3)),0)</f>
        <v>0</v>
      </c>
      <c r="F11" s="466">
        <f ca="1">ROUND(SUMIF(INDIRECT(Formulas!$B$1),MID(F$1,2,2)&amp;"-"&amp;LEFT($B11,3)&amp;"*-0*",INDIRECT(Formulas!$B$3)),0)</f>
        <v>0</v>
      </c>
      <c r="G11" s="466">
        <f ca="1">ROUND(SUMIF(INDIRECT(Formulas!$B$1),MID(G$1,2,2)&amp;"-"&amp;LEFT($B11,3)&amp;"*-0*",INDIRECT(Formulas!$B$3)),0)</f>
        <v>0</v>
      </c>
      <c r="H11" s="466">
        <f ca="1">ROUND(SUMIF(INDIRECT(Formulas!$B$1),MID(H$1,2,2)&amp;"-"&amp;LEFT($B11,3)&amp;"*-0*",INDIRECT(Formulas!$B$3)),0)</f>
        <v>0</v>
      </c>
      <c r="I11" s="466">
        <f ca="1">ROUND(SUMIF(INDIRECT(Formulas!$B$1),MID(I$1,2,2)&amp;"-"&amp;LEFT($B11,3)&amp;"*-0*",INDIRECT(Formulas!$B$3)),0)</f>
        <v>0</v>
      </c>
      <c r="J11" s="466">
        <f ca="1">ROUND(SUMIF(INDIRECT(Formulas!$B$1),MID(J$1,2,2)&amp;"-"&amp;LEFT($B11,3)&amp;"*-0*",INDIRECT(Formulas!$B$3)),0)</f>
        <v>0</v>
      </c>
      <c r="K11" s="466">
        <f ca="1">ROUND(SUMIF(INDIRECT(Formulas!$B$1),MID(K$1,2,2)&amp;"-"&amp;LEFT($B11,3)&amp;"*-0*",INDIRECT(Formulas!$B$3)),0)</f>
        <v>0</v>
      </c>
      <c r="L11" s="540"/>
    </row>
    <row r="12" spans="1:12" ht="12.75" customHeight="1" thickBot="1" x14ac:dyDescent="0.25">
      <c r="A12" s="1675" t="s">
        <v>29</v>
      </c>
      <c r="B12" s="1676"/>
      <c r="C12" s="1677">
        <f t="shared" ref="C12:K12" ca="1" si="0">SUM(C5:C11)</f>
        <v>6525627</v>
      </c>
      <c r="D12" s="1677">
        <f t="shared" ca="1" si="0"/>
        <v>706863</v>
      </c>
      <c r="E12" s="1677">
        <f t="shared" ca="1" si="0"/>
        <v>2988919</v>
      </c>
      <c r="F12" s="1677">
        <f t="shared" ca="1" si="0"/>
        <v>338481</v>
      </c>
      <c r="G12" s="1677">
        <f t="shared" ca="1" si="0"/>
        <v>761881</v>
      </c>
      <c r="H12" s="1677">
        <f t="shared" ca="1" si="0"/>
        <v>0</v>
      </c>
      <c r="I12" s="1677">
        <f t="shared" ca="1" si="0"/>
        <v>141133</v>
      </c>
      <c r="J12" s="1677">
        <f t="shared" ca="1" si="0"/>
        <v>497555</v>
      </c>
      <c r="K12" s="1658">
        <f t="shared" ca="1" si="0"/>
        <v>0</v>
      </c>
    </row>
    <row r="13" spans="1:12" ht="15.75" customHeight="1" thickTop="1" x14ac:dyDescent="0.2">
      <c r="A13" s="1562" t="s">
        <v>451</v>
      </c>
      <c r="B13" s="1563">
        <v>1200</v>
      </c>
      <c r="C13" s="541"/>
      <c r="D13" s="541"/>
      <c r="E13" s="541"/>
      <c r="F13" s="541"/>
      <c r="G13" s="541"/>
      <c r="H13" s="541"/>
      <c r="I13" s="541"/>
      <c r="J13" s="541"/>
      <c r="K13" s="468"/>
    </row>
    <row r="14" spans="1:12" x14ac:dyDescent="0.2">
      <c r="A14" s="463" t="s">
        <v>3</v>
      </c>
      <c r="B14" s="470">
        <v>1210</v>
      </c>
      <c r="C14" s="466">
        <f ca="1">ROUND(SUMIF(INDIRECT(Formulas!$B$1),MID(C$1,2,2)&amp;"-"&amp;LEFT($B14,3)&amp;"*-0*",INDIRECT(Formulas!$B$3)),0)</f>
        <v>0</v>
      </c>
      <c r="D14" s="466">
        <f ca="1">ROUND(SUMIF(INDIRECT(Formulas!$B$1),MID(D$1,2,2)&amp;"-"&amp;LEFT($B14,3)&amp;"*-0*",INDIRECT(Formulas!$B$3)),0)</f>
        <v>0</v>
      </c>
      <c r="E14" s="466">
        <f ca="1">ROUND(SUMIF(INDIRECT(Formulas!$B$1),MID(E$1,2,2)&amp;"-"&amp;LEFT($B14,3)&amp;"*-0*",INDIRECT(Formulas!$B$3)),0)</f>
        <v>0</v>
      </c>
      <c r="F14" s="466">
        <f ca="1">ROUND(SUMIF(INDIRECT(Formulas!$B$1),MID(F$1,2,2)&amp;"-"&amp;LEFT($B14,3)&amp;"*-0*",INDIRECT(Formulas!$B$3)),0)</f>
        <v>0</v>
      </c>
      <c r="G14" s="466">
        <f ca="1">ROUND(SUMIF(INDIRECT(Formulas!$B$1),MID(G$1,2,2)&amp;"-"&amp;LEFT($B14,3)&amp;"*-0*",INDIRECT(Formulas!$B$3)),0)</f>
        <v>0</v>
      </c>
      <c r="H14" s="466">
        <f ca="1">ROUND(SUMIF(INDIRECT(Formulas!$B$1),MID(H$1,2,2)&amp;"-"&amp;LEFT($B14,3)&amp;"*-0*",INDIRECT(Formulas!$B$3)),0)</f>
        <v>0</v>
      </c>
      <c r="I14" s="466">
        <f ca="1">ROUND(SUMIF(INDIRECT(Formulas!$B$1),MID(I$1,2,2)&amp;"-"&amp;LEFT($B14,3)&amp;"*-0*",INDIRECT(Formulas!$B$3)),0)</f>
        <v>0</v>
      </c>
      <c r="J14" s="466">
        <f ca="1">ROUND(SUMIF(INDIRECT(Formulas!$B$1),MID(J$1,2,2)&amp;"-"&amp;LEFT($B14,3)&amp;"*-0*",INDIRECT(Formulas!$B$3)),0)</f>
        <v>0</v>
      </c>
      <c r="K14" s="466">
        <f ca="1">ROUND(SUMIF(INDIRECT(Formulas!$B$1),MID(K$1,2,2)&amp;"-"&amp;LEFT($B14,3)&amp;"*-0*",INDIRECT(Formulas!$B$3)),0)</f>
        <v>0</v>
      </c>
    </row>
    <row r="15" spans="1:12" ht="12.75" customHeight="1" x14ac:dyDescent="0.2">
      <c r="A15" s="463" t="s">
        <v>95</v>
      </c>
      <c r="B15" s="470">
        <v>1220</v>
      </c>
      <c r="C15" s="466">
        <f ca="1">ROUND(SUMIF(INDIRECT(Formulas!$B$1),MID(C$1,2,2)&amp;"-"&amp;LEFT($B15,3)&amp;"*-0*",INDIRECT(Formulas!$B$3)),0)</f>
        <v>0</v>
      </c>
      <c r="D15" s="466">
        <f ca="1">ROUND(SUMIF(INDIRECT(Formulas!$B$1),MID(D$1,2,2)&amp;"-"&amp;LEFT($B15,3)&amp;"*-0*",INDIRECT(Formulas!$B$3)),0)</f>
        <v>0</v>
      </c>
      <c r="E15" s="466">
        <f ca="1">ROUND(SUMIF(INDIRECT(Formulas!$B$1),MID(E$1,2,2)&amp;"-"&amp;LEFT($B15,3)&amp;"*-0*",INDIRECT(Formulas!$B$3)),0)</f>
        <v>0</v>
      </c>
      <c r="F15" s="466">
        <f ca="1">ROUND(SUMIF(INDIRECT(Formulas!$B$1),MID(F$1,2,2)&amp;"-"&amp;LEFT($B15,3)&amp;"*-0*",INDIRECT(Formulas!$B$3)),0)</f>
        <v>0</v>
      </c>
      <c r="G15" s="466">
        <f ca="1">ROUND(SUMIF(INDIRECT(Formulas!$B$1),MID(G$1,2,2)&amp;"-"&amp;LEFT($B15,3)&amp;"*-0*",INDIRECT(Formulas!$B$3)),0)</f>
        <v>0</v>
      </c>
      <c r="H15" s="466">
        <f ca="1">ROUND(SUMIF(INDIRECT(Formulas!$B$1),MID(H$1,2,2)&amp;"-"&amp;LEFT($B15,3)&amp;"*-0*",INDIRECT(Formulas!$B$3)),0)</f>
        <v>0</v>
      </c>
      <c r="I15" s="466">
        <f ca="1">ROUND(SUMIF(INDIRECT(Formulas!$B$1),MID(I$1,2,2)&amp;"-"&amp;LEFT($B15,3)&amp;"*-0*",INDIRECT(Formulas!$B$3)),0)</f>
        <v>0</v>
      </c>
      <c r="J15" s="466">
        <f ca="1">ROUND(SUMIF(INDIRECT(Formulas!$B$1),MID(J$1,2,2)&amp;"-"&amp;LEFT($B15,3)&amp;"*-0*",INDIRECT(Formulas!$B$3)),0)</f>
        <v>0</v>
      </c>
      <c r="K15" s="466">
        <f ca="1">ROUND(SUMIF(INDIRECT(Formulas!$B$1),MID(K$1,2,2)&amp;"-"&amp;LEFT($B15,3)&amp;"*-0*",INDIRECT(Formulas!$B$3)),0)</f>
        <v>0</v>
      </c>
    </row>
    <row r="16" spans="1:12" ht="15" customHeight="1" x14ac:dyDescent="0.2">
      <c r="A16" s="463" t="s">
        <v>1663</v>
      </c>
      <c r="B16" s="538">
        <v>1230</v>
      </c>
      <c r="C16" s="466">
        <f ca="1">ROUND(SUMIF(INDIRECT(Formulas!$B$1),MID(C$1,2,2)&amp;"-"&amp;LEFT($B16,3)&amp;"*-0*",INDIRECT(Formulas!$B$3)),0)</f>
        <v>1007036</v>
      </c>
      <c r="D16" s="466">
        <f ca="1">ROUND(SUMIF(INDIRECT(Formulas!$B$1),MID(D$1,2,2)&amp;"-"&amp;LEFT($B16,3)&amp;"*-0*",INDIRECT(Formulas!$B$3)),0)</f>
        <v>250000</v>
      </c>
      <c r="E16" s="466">
        <f ca="1">ROUND(SUMIF(INDIRECT(Formulas!$B$1),MID(E$1,2,2)&amp;"-"&amp;LEFT($B16,3)&amp;"*-0*",INDIRECT(Formulas!$B$3)),0)</f>
        <v>0</v>
      </c>
      <c r="F16" s="466">
        <f ca="1">ROUND(SUMIF(INDIRECT(Formulas!$B$1),MID(F$1,2,2)&amp;"-"&amp;LEFT($B16,3)&amp;"*-0*",INDIRECT(Formulas!$B$3)),0)</f>
        <v>0</v>
      </c>
      <c r="G16" s="466">
        <f ca="1">ROUND(SUMIF(INDIRECT(Formulas!$B$1),MID(G$1,2,2)&amp;"-"&amp;LEFT($B16,3)&amp;"*-0*",INDIRECT(Formulas!$B$3)),0)</f>
        <v>158075</v>
      </c>
      <c r="H16" s="466">
        <f ca="1">ROUND(SUMIF(INDIRECT(Formulas!$B$1),MID(H$1,2,2)&amp;"-"&amp;LEFT($B16,3)&amp;"*-0*",INDIRECT(Formulas!$B$3)),0)</f>
        <v>0</v>
      </c>
      <c r="I16" s="466">
        <f ca="1">ROUND(SUMIF(INDIRECT(Formulas!$B$1),MID(I$1,2,2)&amp;"-"&amp;LEFT($B16,3)&amp;"*-0*",INDIRECT(Formulas!$B$3)),0)</f>
        <v>0</v>
      </c>
      <c r="J16" s="466">
        <f ca="1">ROUND(SUMIF(INDIRECT(Formulas!$B$1),MID(J$1,2,2)&amp;"-"&amp;LEFT($B16,3)&amp;"*-0*",INDIRECT(Formulas!$B$3)),0)</f>
        <v>0</v>
      </c>
      <c r="K16" s="466">
        <f ca="1">ROUND(SUMIF(INDIRECT(Formulas!$B$1),MID(K$1,2,2)&amp;"-"&amp;LEFT($B16,3)&amp;"*-0*",INDIRECT(Formulas!$B$3)),0)</f>
        <v>0</v>
      </c>
    </row>
    <row r="17" spans="1:11" ht="12.75" customHeight="1" x14ac:dyDescent="0.2">
      <c r="A17" s="463" t="s">
        <v>807</v>
      </c>
      <c r="B17" s="470">
        <v>1290</v>
      </c>
      <c r="C17" s="466">
        <f ca="1">ROUND(SUMIF(INDIRECT(Formulas!$B$1),MID(C$1,2,2)&amp;"-"&amp;LEFT($B17,3)&amp;"*-0*",INDIRECT(Formulas!$B$3)),0)</f>
        <v>0</v>
      </c>
      <c r="D17" s="466">
        <f ca="1">ROUND(SUMIF(INDIRECT(Formulas!$B$1),MID(D$1,2,2)&amp;"-"&amp;LEFT($B17,3)&amp;"*-0*",INDIRECT(Formulas!$B$3)),0)</f>
        <v>31364</v>
      </c>
      <c r="E17" s="466">
        <f ca="1">ROUND(SUMIF(INDIRECT(Formulas!$B$1),MID(E$1,2,2)&amp;"-"&amp;LEFT($B17,3)&amp;"*-0*",INDIRECT(Formulas!$B$3)),0)</f>
        <v>0</v>
      </c>
      <c r="F17" s="466">
        <f ca="1">ROUND(SUMIF(INDIRECT(Formulas!$B$1),MID(F$1,2,2)&amp;"-"&amp;LEFT($B17,3)&amp;"*-0*",INDIRECT(Formulas!$B$3)),0)</f>
        <v>0</v>
      </c>
      <c r="G17" s="466">
        <f ca="1">ROUND(SUMIF(INDIRECT(Formulas!$B$1),MID(G$1,2,2)&amp;"-"&amp;LEFT($B17,3)&amp;"*-0*",INDIRECT(Formulas!$B$3)),0)</f>
        <v>0</v>
      </c>
      <c r="H17" s="466">
        <f ca="1">ROUND(SUMIF(INDIRECT(Formulas!$B$1),MID(H$1,2,2)&amp;"-"&amp;LEFT($B17,3)&amp;"*-0*",INDIRECT(Formulas!$B$3)),0)</f>
        <v>0</v>
      </c>
      <c r="I17" s="466">
        <f ca="1">ROUND(SUMIF(INDIRECT(Formulas!$B$1),MID(I$1,2,2)&amp;"-"&amp;LEFT($B17,3)&amp;"*-0*",INDIRECT(Formulas!$B$3)),0)</f>
        <v>0</v>
      </c>
      <c r="J17" s="466">
        <f ca="1">ROUND(SUMIF(INDIRECT(Formulas!$B$1),MID(J$1,2,2)&amp;"-"&amp;LEFT($B17,3)&amp;"*-0*",INDIRECT(Formulas!$B$3)),0)</f>
        <v>0</v>
      </c>
      <c r="K17" s="466">
        <f ca="1">ROUND(SUMIF(INDIRECT(Formulas!$B$1),MID(K$1,2,2)&amp;"-"&amp;LEFT($B17,3)&amp;"*-0*",INDIRECT(Formulas!$B$3)),0)</f>
        <v>0</v>
      </c>
    </row>
    <row r="18" spans="1:11" ht="12.75" customHeight="1" thickBot="1" x14ac:dyDescent="0.25">
      <c r="A18" s="1678" t="s">
        <v>537</v>
      </c>
      <c r="B18" s="1679"/>
      <c r="C18" s="1680">
        <f ca="1">SUM(C14:C17)</f>
        <v>1007036</v>
      </c>
      <c r="D18" s="1680">
        <f t="shared" ref="D18:K18" ca="1" si="1">SUM(D14:D17)</f>
        <v>281364</v>
      </c>
      <c r="E18" s="1680">
        <f t="shared" ca="1" si="1"/>
        <v>0</v>
      </c>
      <c r="F18" s="1680">
        <f t="shared" ca="1" si="1"/>
        <v>0</v>
      </c>
      <c r="G18" s="1680">
        <f t="shared" ca="1" si="1"/>
        <v>158075</v>
      </c>
      <c r="H18" s="1680">
        <f t="shared" ca="1" si="1"/>
        <v>0</v>
      </c>
      <c r="I18" s="1680">
        <f t="shared" ca="1" si="1"/>
        <v>0</v>
      </c>
      <c r="J18" s="1680">
        <f t="shared" ca="1" si="1"/>
        <v>0</v>
      </c>
      <c r="K18" s="1681">
        <f t="shared" ca="1" si="1"/>
        <v>0</v>
      </c>
    </row>
    <row r="19" spans="1:11" ht="15.75" customHeight="1" thickTop="1" x14ac:dyDescent="0.2">
      <c r="A19" s="1562" t="s">
        <v>452</v>
      </c>
      <c r="B19" s="1563">
        <v>1300</v>
      </c>
      <c r="C19" s="542"/>
      <c r="D19" s="542"/>
      <c r="E19" s="542"/>
      <c r="F19" s="542"/>
      <c r="G19" s="541"/>
      <c r="H19" s="542"/>
      <c r="I19" s="542"/>
      <c r="J19" s="542"/>
      <c r="K19" s="543"/>
    </row>
    <row r="20" spans="1:11" x14ac:dyDescent="0.2">
      <c r="A20" s="463" t="s">
        <v>1073</v>
      </c>
      <c r="B20" s="470">
        <v>1311</v>
      </c>
      <c r="C20" s="466">
        <f ca="1">ROUND(SUMIF(INDIRECT(Formulas!$B$1),MID(C$1,2,2)&amp;"-"&amp;LEFT($B20,4)&amp;"*-0*",INDIRECT(Formulas!$B$3)),0)</f>
        <v>0</v>
      </c>
      <c r="D20" s="468"/>
      <c r="E20" s="468"/>
      <c r="F20" s="468"/>
      <c r="G20" s="468"/>
      <c r="H20" s="468"/>
      <c r="I20" s="468"/>
      <c r="J20" s="468"/>
      <c r="K20" s="468"/>
    </row>
    <row r="21" spans="1:11" ht="12.75" customHeight="1" x14ac:dyDescent="0.2">
      <c r="A21" s="463" t="s">
        <v>832</v>
      </c>
      <c r="B21" s="470">
        <v>1312</v>
      </c>
      <c r="C21" s="466">
        <f ca="1">ROUND(SUMIF(INDIRECT(Formulas!$B$1),MID(C$1,2,2)&amp;"-"&amp;LEFT($B21,4)&amp;"*-0*",INDIRECT(Formulas!$B$3)),0)</f>
        <v>0</v>
      </c>
      <c r="D21" s="468"/>
      <c r="E21" s="468"/>
      <c r="F21" s="468"/>
      <c r="G21" s="468"/>
      <c r="H21" s="468"/>
      <c r="I21" s="468"/>
      <c r="J21" s="468"/>
      <c r="K21" s="468"/>
    </row>
    <row r="22" spans="1:11" ht="12.75" customHeight="1" x14ac:dyDescent="0.2">
      <c r="A22" s="463" t="s">
        <v>1074</v>
      </c>
      <c r="B22" s="470">
        <v>1313</v>
      </c>
      <c r="C22" s="466">
        <f ca="1">ROUND(SUMIF(INDIRECT(Formulas!$B$1),MID(C$1,2,2)&amp;"-"&amp;LEFT($B22,4)&amp;"*-0*",INDIRECT(Formulas!$B$3)),0)</f>
        <v>0</v>
      </c>
      <c r="D22" s="468"/>
      <c r="E22" s="468"/>
      <c r="F22" s="468"/>
      <c r="G22" s="468"/>
      <c r="H22" s="468"/>
      <c r="I22" s="468"/>
      <c r="J22" s="468"/>
      <c r="K22" s="468"/>
    </row>
    <row r="23" spans="1:11" ht="12.75" customHeight="1" x14ac:dyDescent="0.2">
      <c r="A23" s="463" t="s">
        <v>1075</v>
      </c>
      <c r="B23" s="470">
        <v>1314</v>
      </c>
      <c r="C23" s="466">
        <f ca="1">ROUND(SUMIF(INDIRECT(Formulas!$B$1),MID(C$1,2,2)&amp;"-"&amp;LEFT($B23,4)&amp;"*-0*",INDIRECT(Formulas!$B$3)),0)</f>
        <v>0</v>
      </c>
      <c r="D23" s="468"/>
      <c r="E23" s="468"/>
      <c r="F23" s="468"/>
      <c r="G23" s="468"/>
      <c r="H23" s="468"/>
      <c r="I23" s="468"/>
      <c r="J23" s="468"/>
      <c r="K23" s="468"/>
    </row>
    <row r="24" spans="1:11" ht="12.75" customHeight="1" x14ac:dyDescent="0.2">
      <c r="A24" s="463" t="s">
        <v>1027</v>
      </c>
      <c r="B24" s="470">
        <v>1321</v>
      </c>
      <c r="C24" s="466">
        <f ca="1">ROUND(SUMIF(INDIRECT(Formulas!$B$1),MID(C$1,2,2)&amp;"-"&amp;LEFT($B24,4)&amp;"*-0*",INDIRECT(Formulas!$B$3)),0)</f>
        <v>0</v>
      </c>
      <c r="D24" s="468"/>
      <c r="E24" s="468"/>
      <c r="F24" s="468"/>
      <c r="G24" s="468"/>
      <c r="H24" s="468"/>
      <c r="I24" s="468"/>
      <c r="J24" s="468"/>
      <c r="K24" s="468"/>
    </row>
    <row r="25" spans="1:11" ht="12.75" customHeight="1" x14ac:dyDescent="0.2">
      <c r="A25" s="463" t="s">
        <v>833</v>
      </c>
      <c r="B25" s="470">
        <v>1322</v>
      </c>
      <c r="C25" s="466">
        <f ca="1">ROUND(SUMIF(INDIRECT(Formulas!$B$1),MID(C$1,2,2)&amp;"-"&amp;LEFT($B25,4)&amp;"*-0*",INDIRECT(Formulas!$B$3)),0)</f>
        <v>0</v>
      </c>
      <c r="D25" s="468"/>
      <c r="E25" s="468"/>
      <c r="F25" s="468"/>
      <c r="G25" s="468"/>
      <c r="H25" s="468"/>
      <c r="I25" s="468"/>
      <c r="J25" s="468"/>
      <c r="K25" s="468"/>
    </row>
    <row r="26" spans="1:11" ht="12.75" customHeight="1" x14ac:dyDescent="0.2">
      <c r="A26" s="463" t="s">
        <v>1101</v>
      </c>
      <c r="B26" s="470">
        <v>1323</v>
      </c>
      <c r="C26" s="466">
        <f ca="1">ROUND(SUMIF(INDIRECT(Formulas!$B$1),MID(C$1,2,2)&amp;"-"&amp;LEFT($B26,4)&amp;"*-0*",INDIRECT(Formulas!$B$3)),0)</f>
        <v>0</v>
      </c>
      <c r="D26" s="468"/>
      <c r="E26" s="468"/>
      <c r="F26" s="468"/>
      <c r="G26" s="468"/>
      <c r="H26" s="468"/>
      <c r="I26" s="468"/>
      <c r="J26" s="468"/>
      <c r="K26" s="468"/>
    </row>
    <row r="27" spans="1:11" ht="12.75" customHeight="1" x14ac:dyDescent="0.2">
      <c r="A27" s="463" t="s">
        <v>1023</v>
      </c>
      <c r="B27" s="470">
        <v>1324</v>
      </c>
      <c r="C27" s="466">
        <f ca="1">ROUND(SUMIF(INDIRECT(Formulas!$B$1),MID(C$1,2,2)&amp;"-"&amp;LEFT($B27,4)&amp;"*-0*",INDIRECT(Formulas!$B$3)),0)</f>
        <v>0</v>
      </c>
      <c r="D27" s="468"/>
      <c r="E27" s="468"/>
      <c r="F27" s="468"/>
      <c r="G27" s="468"/>
      <c r="H27" s="468"/>
      <c r="I27" s="468"/>
      <c r="J27" s="468"/>
      <c r="K27" s="468"/>
    </row>
    <row r="28" spans="1:11" ht="12.75" customHeight="1" x14ac:dyDescent="0.2">
      <c r="A28" s="463" t="s">
        <v>1024</v>
      </c>
      <c r="B28" s="470">
        <v>1331</v>
      </c>
      <c r="C28" s="466">
        <f ca="1">ROUND(SUMIF(INDIRECT(Formulas!$B$1),MID(C$1,2,2)&amp;"-"&amp;LEFT($B28,4)&amp;"*-0*",INDIRECT(Formulas!$B$3)),0)</f>
        <v>0</v>
      </c>
      <c r="D28" s="468"/>
      <c r="E28" s="468"/>
      <c r="F28" s="468"/>
      <c r="G28" s="468"/>
      <c r="H28" s="468"/>
      <c r="I28" s="468"/>
      <c r="J28" s="468"/>
      <c r="K28" s="468"/>
    </row>
    <row r="29" spans="1:11" ht="12.75" customHeight="1" x14ac:dyDescent="0.2">
      <c r="A29" s="463" t="s">
        <v>834</v>
      </c>
      <c r="B29" s="470">
        <v>1332</v>
      </c>
      <c r="C29" s="466">
        <f ca="1">ROUND(SUMIF(INDIRECT(Formulas!$B$1),MID(C$1,2,2)&amp;"-"&amp;LEFT($B29,4)&amp;"*-0*",INDIRECT(Formulas!$B$3)),0)</f>
        <v>0</v>
      </c>
      <c r="D29" s="468"/>
      <c r="E29" s="468"/>
      <c r="F29" s="468"/>
      <c r="G29" s="468"/>
      <c r="H29" s="468"/>
      <c r="I29" s="468"/>
      <c r="J29" s="468"/>
      <c r="K29" s="468"/>
    </row>
    <row r="30" spans="1:11" ht="12.75" customHeight="1" x14ac:dyDescent="0.2">
      <c r="A30" s="463" t="s">
        <v>1026</v>
      </c>
      <c r="B30" s="470">
        <v>1333</v>
      </c>
      <c r="C30" s="466">
        <f ca="1">ROUND(SUMIF(INDIRECT(Formulas!$B$1),MID(C$1,2,2)&amp;"-"&amp;LEFT($B30,4)&amp;"*-0*",INDIRECT(Formulas!$B$3)),0)</f>
        <v>0</v>
      </c>
      <c r="D30" s="468"/>
      <c r="E30" s="468"/>
      <c r="F30" s="468"/>
      <c r="G30" s="468"/>
      <c r="H30" s="468"/>
      <c r="I30" s="468"/>
      <c r="J30" s="468"/>
      <c r="K30" s="468"/>
    </row>
    <row r="31" spans="1:11" ht="12.75" customHeight="1" x14ac:dyDescent="0.2">
      <c r="A31" s="463" t="s">
        <v>1025</v>
      </c>
      <c r="B31" s="470">
        <v>1334</v>
      </c>
      <c r="C31" s="466">
        <f ca="1">ROUND(SUMIF(INDIRECT(Formulas!$B$1),MID(C$1,2,2)&amp;"-"&amp;LEFT($B31,4)&amp;"*-0*",INDIRECT(Formulas!$B$3)),0)</f>
        <v>0</v>
      </c>
      <c r="D31" s="468"/>
      <c r="E31" s="468"/>
      <c r="F31" s="468"/>
      <c r="G31" s="468"/>
      <c r="H31" s="468"/>
      <c r="I31" s="468"/>
      <c r="J31" s="468"/>
      <c r="K31" s="468"/>
    </row>
    <row r="32" spans="1:11" ht="12.75" customHeight="1" x14ac:dyDescent="0.2">
      <c r="A32" s="463" t="s">
        <v>494</v>
      </c>
      <c r="B32" s="470">
        <v>1341</v>
      </c>
      <c r="C32" s="466">
        <f ca="1">ROUND(SUMIF(INDIRECT(Formulas!$B$1),MID(C$1,2,2)&amp;"-"&amp;LEFT($B32,4)&amp;"*-0*",INDIRECT(Formulas!$B$3)),0)</f>
        <v>0</v>
      </c>
      <c r="D32" s="468"/>
      <c r="E32" s="468"/>
      <c r="F32" s="468"/>
      <c r="G32" s="468"/>
      <c r="H32" s="468"/>
      <c r="I32" s="468"/>
      <c r="J32" s="468"/>
      <c r="K32" s="468"/>
    </row>
    <row r="33" spans="1:11" ht="12.75" customHeight="1" x14ac:dyDescent="0.2">
      <c r="A33" s="463" t="s">
        <v>835</v>
      </c>
      <c r="B33" s="470">
        <v>1342</v>
      </c>
      <c r="C33" s="466">
        <f ca="1">ROUND(SUMIF(INDIRECT(Formulas!$B$1),MID(C$1,2,2)&amp;"-"&amp;LEFT($B33,4)&amp;"*-0*",INDIRECT(Formulas!$B$3)),0)</f>
        <v>259828</v>
      </c>
      <c r="D33" s="468"/>
      <c r="E33" s="468"/>
      <c r="F33" s="468"/>
      <c r="G33" s="468"/>
      <c r="H33" s="468"/>
      <c r="I33" s="468"/>
      <c r="J33" s="468"/>
      <c r="K33" s="468"/>
    </row>
    <row r="34" spans="1:11" ht="12.75" customHeight="1" x14ac:dyDescent="0.2">
      <c r="A34" s="463" t="s">
        <v>495</v>
      </c>
      <c r="B34" s="470">
        <v>1343</v>
      </c>
      <c r="C34" s="466">
        <f ca="1">ROUND(SUMIF(INDIRECT(Formulas!$B$1),MID(C$1,2,2)&amp;"-"&amp;LEFT($B34,4)&amp;"*-0*",INDIRECT(Formulas!$B$3)),0)</f>
        <v>0</v>
      </c>
      <c r="D34" s="468"/>
      <c r="E34" s="468"/>
      <c r="F34" s="468"/>
      <c r="G34" s="468"/>
      <c r="H34" s="468"/>
      <c r="I34" s="468"/>
      <c r="J34" s="468"/>
      <c r="K34" s="468"/>
    </row>
    <row r="35" spans="1:11" ht="12.75" customHeight="1" x14ac:dyDescent="0.2">
      <c r="A35" s="463" t="s">
        <v>493</v>
      </c>
      <c r="B35" s="470">
        <v>1344</v>
      </c>
      <c r="C35" s="466">
        <f ca="1">ROUND(SUMIF(INDIRECT(Formulas!$B$1),MID(C$1,2,2)&amp;"-"&amp;LEFT($B35,4)&amp;"*-0*",INDIRECT(Formulas!$B$3)),0)</f>
        <v>0</v>
      </c>
      <c r="D35" s="468"/>
      <c r="E35" s="468"/>
      <c r="F35" s="468"/>
      <c r="G35" s="468"/>
      <c r="H35" s="468"/>
      <c r="I35" s="468"/>
      <c r="J35" s="468"/>
      <c r="K35" s="468"/>
    </row>
    <row r="36" spans="1:11" ht="12.75" customHeight="1" x14ac:dyDescent="0.2">
      <c r="A36" s="463" t="s">
        <v>831</v>
      </c>
      <c r="B36" s="470">
        <v>1351</v>
      </c>
      <c r="C36" s="466">
        <f ca="1">ROUND(SUMIF(INDIRECT(Formulas!$B$1),MID(C$1,2,2)&amp;"-"&amp;LEFT($B36,4)&amp;"*-0*",INDIRECT(Formulas!$B$3)),0)</f>
        <v>0</v>
      </c>
      <c r="D36" s="468"/>
      <c r="E36" s="468"/>
      <c r="F36" s="468"/>
      <c r="G36" s="468"/>
      <c r="H36" s="468"/>
      <c r="I36" s="468"/>
      <c r="J36" s="468"/>
      <c r="K36" s="468"/>
    </row>
    <row r="37" spans="1:11" ht="12.75" customHeight="1" x14ac:dyDescent="0.2">
      <c r="A37" s="463" t="s">
        <v>836</v>
      </c>
      <c r="B37" s="470">
        <v>1352</v>
      </c>
      <c r="C37" s="466">
        <f ca="1">ROUND(SUMIF(INDIRECT(Formulas!$B$1),MID(C$1,2,2)&amp;"-"&amp;LEFT($B37,4)&amp;"*-0*",INDIRECT(Formulas!$B$3)),0)</f>
        <v>0</v>
      </c>
      <c r="D37" s="468"/>
      <c r="E37" s="468"/>
      <c r="F37" s="468"/>
      <c r="G37" s="468"/>
      <c r="H37" s="468"/>
      <c r="I37" s="468"/>
      <c r="J37" s="468"/>
      <c r="K37" s="468"/>
    </row>
    <row r="38" spans="1:11" ht="12.75" customHeight="1" x14ac:dyDescent="0.2">
      <c r="A38" s="463" t="s">
        <v>593</v>
      </c>
      <c r="B38" s="470">
        <v>1353</v>
      </c>
      <c r="C38" s="466">
        <f ca="1">ROUND(SUMIF(INDIRECT(Formulas!$B$1),MID(C$1,2,2)&amp;"-"&amp;LEFT($B38,4)&amp;"*-0*",INDIRECT(Formulas!$B$3)),0)</f>
        <v>0</v>
      </c>
      <c r="D38" s="468"/>
      <c r="E38" s="468"/>
      <c r="F38" s="468"/>
      <c r="G38" s="468"/>
      <c r="H38" s="468"/>
      <c r="I38" s="468"/>
      <c r="J38" s="468"/>
      <c r="K38" s="468"/>
    </row>
    <row r="39" spans="1:11" ht="12.75" customHeight="1" x14ac:dyDescent="0.2">
      <c r="A39" s="1465" t="s">
        <v>594</v>
      </c>
      <c r="B39" s="544">
        <v>1354</v>
      </c>
      <c r="C39" s="466">
        <f ca="1">ROUND(SUMIF(INDIRECT(Formulas!$B$1),MID(C$1,2,2)&amp;"-"&amp;LEFT($B39,4)&amp;"*-0*",INDIRECT(Formulas!$B$3)),0)</f>
        <v>0</v>
      </c>
      <c r="D39" s="468"/>
      <c r="E39" s="468"/>
      <c r="F39" s="468"/>
      <c r="G39" s="468"/>
      <c r="H39" s="468"/>
      <c r="I39" s="468"/>
      <c r="J39" s="468"/>
      <c r="K39" s="468"/>
    </row>
    <row r="40" spans="1:11" ht="12.75" customHeight="1" thickBot="1" x14ac:dyDescent="0.25">
      <c r="A40" s="1678" t="s">
        <v>538</v>
      </c>
      <c r="B40" s="1679"/>
      <c r="C40" s="1658">
        <f ca="1">SUM(C20:C39)</f>
        <v>259828</v>
      </c>
      <c r="D40" s="468"/>
      <c r="E40" s="468"/>
      <c r="F40" s="468"/>
      <c r="G40" s="468"/>
      <c r="H40" s="468"/>
      <c r="I40" s="468"/>
      <c r="J40" s="468"/>
      <c r="K40" s="468"/>
    </row>
    <row r="41" spans="1:11" ht="15.75" customHeight="1" thickTop="1" x14ac:dyDescent="0.2">
      <c r="A41" s="1562" t="s">
        <v>274</v>
      </c>
      <c r="B41" s="1563">
        <v>1400</v>
      </c>
      <c r="C41" s="468"/>
      <c r="D41" s="468"/>
      <c r="E41" s="468"/>
      <c r="F41" s="514"/>
      <c r="G41" s="468"/>
      <c r="H41" s="468"/>
      <c r="I41" s="468"/>
      <c r="J41" s="468"/>
      <c r="K41" s="468"/>
    </row>
    <row r="42" spans="1:11" ht="12.75" customHeight="1" x14ac:dyDescent="0.2">
      <c r="A42" s="463" t="s">
        <v>1076</v>
      </c>
      <c r="B42" s="470">
        <v>1411</v>
      </c>
      <c r="C42" s="468"/>
      <c r="D42" s="468"/>
      <c r="E42" s="468"/>
      <c r="F42" s="466">
        <f ca="1">ROUND(SUMIF(INDIRECT(Formulas!$B$1),MID(F$1,2,2)&amp;"-"&amp;LEFT($B42,4)&amp;"*-0*",INDIRECT(Formulas!$B$3)),0)</f>
        <v>0</v>
      </c>
      <c r="G42" s="468"/>
      <c r="H42" s="468"/>
      <c r="I42" s="468"/>
      <c r="J42" s="468"/>
      <c r="K42" s="468"/>
    </row>
    <row r="43" spans="1:11" ht="12.75" customHeight="1" x14ac:dyDescent="0.2">
      <c r="A43" s="463" t="s">
        <v>837</v>
      </c>
      <c r="B43" s="470">
        <v>1412</v>
      </c>
      <c r="C43" s="468"/>
      <c r="D43" s="468"/>
      <c r="E43" s="468"/>
      <c r="F43" s="466">
        <f ca="1">ROUND(SUMIF(INDIRECT(Formulas!$B$1),MID(F$1,2,2)&amp;"-"&amp;LEFT($B43,4)&amp;"*-0*",INDIRECT(Formulas!$B$3)),0)</f>
        <v>825000</v>
      </c>
      <c r="G43" s="468"/>
      <c r="H43" s="468"/>
      <c r="I43" s="468"/>
      <c r="J43" s="468"/>
      <c r="K43" s="468"/>
    </row>
    <row r="44" spans="1:11" ht="12.75" customHeight="1" x14ac:dyDescent="0.2">
      <c r="A44" s="463" t="s">
        <v>384</v>
      </c>
      <c r="B44" s="470">
        <v>1413</v>
      </c>
      <c r="C44" s="468"/>
      <c r="D44" s="468"/>
      <c r="E44" s="468"/>
      <c r="F44" s="466">
        <f ca="1">ROUND(SUMIF(INDIRECT(Formulas!$B$1),MID(F$1,2,2)&amp;"-"&amp;LEFT($B44,4)&amp;"*-0*",INDIRECT(Formulas!$B$3)),0)</f>
        <v>0</v>
      </c>
      <c r="G44" s="468"/>
      <c r="H44" s="468"/>
      <c r="I44" s="468"/>
      <c r="J44" s="468"/>
      <c r="K44" s="468"/>
    </row>
    <row r="45" spans="1:11" ht="12.75" customHeight="1" x14ac:dyDescent="0.2">
      <c r="A45" s="463" t="s">
        <v>240</v>
      </c>
      <c r="B45" s="470">
        <v>1415</v>
      </c>
      <c r="C45" s="468"/>
      <c r="D45" s="468"/>
      <c r="E45" s="468"/>
      <c r="F45" s="466">
        <f ca="1">ROUND(SUMIF(INDIRECT(Formulas!$B$1),MID(F$1,2,2)&amp;"-"&amp;LEFT($B45,4)&amp;"*-0*",INDIRECT(Formulas!$B$3)),0)</f>
        <v>0</v>
      </c>
      <c r="G45" s="468"/>
      <c r="H45" s="468"/>
      <c r="I45" s="468"/>
      <c r="J45" s="468"/>
      <c r="K45" s="468"/>
    </row>
    <row r="46" spans="1:11" ht="12.75" customHeight="1" x14ac:dyDescent="0.2">
      <c r="A46" s="463" t="s">
        <v>1174</v>
      </c>
      <c r="B46" s="470">
        <v>1416</v>
      </c>
      <c r="C46" s="468"/>
      <c r="D46" s="468"/>
      <c r="E46" s="468"/>
      <c r="F46" s="466">
        <f ca="1">ROUND(SUMIF(INDIRECT(Formulas!$B$1),MID(F$1,2,2)&amp;"-"&amp;LEFT($B46,4)&amp;"*-0*",INDIRECT(Formulas!$B$3)),0)</f>
        <v>0</v>
      </c>
      <c r="G46" s="468"/>
      <c r="H46" s="468"/>
      <c r="I46" s="468"/>
      <c r="J46" s="468"/>
      <c r="K46" s="468"/>
    </row>
    <row r="47" spans="1:11" ht="12.75" customHeight="1" x14ac:dyDescent="0.2">
      <c r="A47" s="463" t="s">
        <v>57</v>
      </c>
      <c r="B47" s="470">
        <v>1421</v>
      </c>
      <c r="C47" s="468"/>
      <c r="D47" s="468"/>
      <c r="E47" s="468"/>
      <c r="F47" s="466">
        <f ca="1">ROUND(SUMIF(INDIRECT(Formulas!$B$1),MID(F$1,2,2)&amp;"-"&amp;LEFT($B47,4)&amp;"*-0*",INDIRECT(Formulas!$B$3)),0)</f>
        <v>0</v>
      </c>
      <c r="G47" s="468"/>
      <c r="H47" s="468"/>
      <c r="I47" s="468"/>
      <c r="J47" s="468"/>
      <c r="K47" s="468"/>
    </row>
    <row r="48" spans="1:11" ht="12.75" customHeight="1" x14ac:dyDescent="0.2">
      <c r="A48" s="463" t="s">
        <v>838</v>
      </c>
      <c r="B48" s="470">
        <v>1422</v>
      </c>
      <c r="C48" s="468"/>
      <c r="D48" s="468"/>
      <c r="E48" s="468"/>
      <c r="F48" s="466">
        <f ca="1">ROUND(SUMIF(INDIRECT(Formulas!$B$1),MID(F$1,2,2)&amp;"-"&amp;LEFT($B48,4)&amp;"*-0*",INDIRECT(Formulas!$B$3)),0)</f>
        <v>0</v>
      </c>
      <c r="G48" s="468"/>
      <c r="H48" s="468"/>
      <c r="I48" s="468"/>
      <c r="J48" s="468"/>
      <c r="K48" s="468"/>
    </row>
    <row r="49" spans="1:11" ht="12.75" customHeight="1" x14ac:dyDescent="0.2">
      <c r="A49" s="463" t="s">
        <v>58</v>
      </c>
      <c r="B49" s="470">
        <v>1423</v>
      </c>
      <c r="C49" s="468"/>
      <c r="D49" s="468"/>
      <c r="E49" s="468"/>
      <c r="F49" s="466">
        <f ca="1">ROUND(SUMIF(INDIRECT(Formulas!$B$1),MID(F$1,2,2)&amp;"-"&amp;LEFT($B49,4)&amp;"*-0*",INDIRECT(Formulas!$B$3)),0)</f>
        <v>0</v>
      </c>
      <c r="G49" s="468"/>
      <c r="H49" s="468"/>
      <c r="I49" s="468"/>
      <c r="J49" s="468"/>
      <c r="K49" s="468"/>
    </row>
    <row r="50" spans="1:11" ht="12.75" customHeight="1" x14ac:dyDescent="0.2">
      <c r="A50" s="463" t="s">
        <v>59</v>
      </c>
      <c r="B50" s="470">
        <v>1424</v>
      </c>
      <c r="C50" s="468"/>
      <c r="D50" s="468"/>
      <c r="E50" s="468"/>
      <c r="F50" s="466">
        <f ca="1">ROUND(SUMIF(INDIRECT(Formulas!$B$1),MID(F$1,2,2)&amp;"-"&amp;LEFT($B50,4)&amp;"*-0*",INDIRECT(Formulas!$B$3)),0)</f>
        <v>0</v>
      </c>
      <c r="G50" s="468"/>
      <c r="H50" s="468"/>
      <c r="I50" s="468"/>
      <c r="J50" s="468"/>
      <c r="K50" s="468"/>
    </row>
    <row r="51" spans="1:11" ht="12.75" customHeight="1" x14ac:dyDescent="0.2">
      <c r="A51" s="1466" t="s">
        <v>60</v>
      </c>
      <c r="B51" s="545">
        <v>1431</v>
      </c>
      <c r="C51" s="468"/>
      <c r="D51" s="468"/>
      <c r="E51" s="468"/>
      <c r="F51" s="466">
        <f ca="1">ROUND(SUMIF(INDIRECT(Formulas!$B$1),MID(F$1,2,2)&amp;"-"&amp;LEFT($B51,4)&amp;"*-0*",INDIRECT(Formulas!$B$3)),0)</f>
        <v>0</v>
      </c>
      <c r="G51" s="468"/>
      <c r="H51" s="468"/>
      <c r="I51" s="468"/>
      <c r="J51" s="468"/>
      <c r="K51" s="468"/>
    </row>
    <row r="52" spans="1:11" ht="12.75" customHeight="1" x14ac:dyDescent="0.2">
      <c r="A52" s="1466" t="s">
        <v>1106</v>
      </c>
      <c r="B52" s="545">
        <v>1432</v>
      </c>
      <c r="C52" s="468"/>
      <c r="D52" s="468"/>
      <c r="E52" s="468"/>
      <c r="F52" s="466">
        <f ca="1">ROUND(SUMIF(INDIRECT(Formulas!$B$1),MID(F$1,2,2)&amp;"-"&amp;LEFT($B52,4)&amp;"*-0*",INDIRECT(Formulas!$B$3)),0)</f>
        <v>0</v>
      </c>
      <c r="G52" s="468"/>
      <c r="H52" s="468"/>
      <c r="I52" s="468"/>
      <c r="J52" s="468"/>
      <c r="K52" s="468"/>
    </row>
    <row r="53" spans="1:11" ht="12.75" customHeight="1" x14ac:dyDescent="0.2">
      <c r="A53" s="1466" t="s">
        <v>61</v>
      </c>
      <c r="B53" s="545">
        <v>1433</v>
      </c>
      <c r="C53" s="468"/>
      <c r="D53" s="468"/>
      <c r="E53" s="468"/>
      <c r="F53" s="466">
        <f ca="1">ROUND(SUMIF(INDIRECT(Formulas!$B$1),MID(F$1,2,2)&amp;"-"&amp;LEFT($B53,4)&amp;"*-0*",INDIRECT(Formulas!$B$3)),0)</f>
        <v>0</v>
      </c>
      <c r="G53" s="468"/>
      <c r="H53" s="468"/>
      <c r="I53" s="468"/>
      <c r="J53" s="468"/>
      <c r="K53" s="468"/>
    </row>
    <row r="54" spans="1:11" ht="12.75" customHeight="1" x14ac:dyDescent="0.2">
      <c r="A54" s="1466" t="s">
        <v>62</v>
      </c>
      <c r="B54" s="545">
        <v>1434</v>
      </c>
      <c r="C54" s="468"/>
      <c r="D54" s="468"/>
      <c r="E54" s="468"/>
      <c r="F54" s="466">
        <f ca="1">ROUND(SUMIF(INDIRECT(Formulas!$B$1),MID(F$1,2,2)&amp;"-"&amp;LEFT($B54,4)&amp;"*-0*",INDIRECT(Formulas!$B$3)),0)</f>
        <v>0</v>
      </c>
      <c r="G54" s="468"/>
      <c r="H54" s="468"/>
      <c r="I54" s="468"/>
      <c r="J54" s="468"/>
      <c r="K54" s="468"/>
    </row>
    <row r="55" spans="1:11" ht="12.75" customHeight="1" x14ac:dyDescent="0.2">
      <c r="A55" s="1466" t="s">
        <v>63</v>
      </c>
      <c r="B55" s="545">
        <v>1441</v>
      </c>
      <c r="C55" s="468"/>
      <c r="D55" s="468"/>
      <c r="E55" s="468"/>
      <c r="F55" s="466">
        <f ca="1">ROUND(SUMIF(INDIRECT(Formulas!$B$1),MID(F$1,2,2)&amp;"-"&amp;LEFT($B55,4)&amp;"*-0*",INDIRECT(Formulas!$B$3)),0)</f>
        <v>0</v>
      </c>
      <c r="G55" s="468"/>
      <c r="H55" s="468"/>
      <c r="I55" s="468"/>
      <c r="J55" s="468"/>
      <c r="K55" s="468"/>
    </row>
    <row r="56" spans="1:11" ht="12.75" customHeight="1" x14ac:dyDescent="0.2">
      <c r="A56" s="1466" t="s">
        <v>1107</v>
      </c>
      <c r="B56" s="545">
        <v>1442</v>
      </c>
      <c r="C56" s="468"/>
      <c r="D56" s="468"/>
      <c r="E56" s="468"/>
      <c r="F56" s="466">
        <f ca="1">ROUND(SUMIF(INDIRECT(Formulas!$B$1),MID(F$1,2,2)&amp;"-"&amp;LEFT($B56,4)&amp;"*-0*",INDIRECT(Formulas!$B$3)),0)</f>
        <v>51596</v>
      </c>
      <c r="G56" s="468"/>
      <c r="H56" s="468"/>
      <c r="I56" s="468"/>
      <c r="J56" s="468"/>
      <c r="K56" s="468"/>
    </row>
    <row r="57" spans="1:11" ht="12.75" customHeight="1" x14ac:dyDescent="0.2">
      <c r="A57" s="1466" t="s">
        <v>489</v>
      </c>
      <c r="B57" s="545">
        <v>1443</v>
      </c>
      <c r="C57" s="468"/>
      <c r="D57" s="468"/>
      <c r="E57" s="468"/>
      <c r="F57" s="466">
        <f ca="1">ROUND(SUMIF(INDIRECT(Formulas!$B$1),MID(F$1,2,2)&amp;"-"&amp;LEFT($B57,4)&amp;"*-0*",INDIRECT(Formulas!$B$3)),0)</f>
        <v>0</v>
      </c>
      <c r="G57" s="468"/>
      <c r="H57" s="468"/>
      <c r="I57" s="468"/>
      <c r="J57" s="468"/>
      <c r="K57" s="468"/>
    </row>
    <row r="58" spans="1:11" ht="12.75" customHeight="1" x14ac:dyDescent="0.2">
      <c r="A58" s="1466" t="s">
        <v>65</v>
      </c>
      <c r="B58" s="545">
        <v>1444</v>
      </c>
      <c r="C58" s="468"/>
      <c r="D58" s="468"/>
      <c r="E58" s="468"/>
      <c r="F58" s="466">
        <f ca="1">ROUND(SUMIF(INDIRECT(Formulas!$B$1),MID(F$1,2,2)&amp;"-"&amp;LEFT($B58,4)&amp;"*-0*",INDIRECT(Formulas!$B$3)),0)</f>
        <v>0</v>
      </c>
      <c r="G58" s="468"/>
      <c r="H58" s="468"/>
      <c r="I58" s="468"/>
      <c r="J58" s="468"/>
      <c r="K58" s="468"/>
    </row>
    <row r="59" spans="1:11" ht="12.75" customHeight="1" x14ac:dyDescent="0.2">
      <c r="A59" s="1466" t="s">
        <v>878</v>
      </c>
      <c r="B59" s="545">
        <v>1451</v>
      </c>
      <c r="C59" s="468"/>
      <c r="D59" s="468"/>
      <c r="E59" s="468"/>
      <c r="F59" s="466">
        <f ca="1">ROUND(SUMIF(INDIRECT(Formulas!$B$1),MID(F$1,2,2)&amp;"-"&amp;LEFT($B59,4)&amp;"*-0*",INDIRECT(Formulas!$B$3)),0)</f>
        <v>0</v>
      </c>
      <c r="G59" s="468"/>
      <c r="H59" s="468"/>
      <c r="I59" s="468"/>
      <c r="J59" s="468"/>
      <c r="K59" s="468"/>
    </row>
    <row r="60" spans="1:11" ht="12.75" customHeight="1" x14ac:dyDescent="0.2">
      <c r="A60" s="1466" t="s">
        <v>1108</v>
      </c>
      <c r="B60" s="545">
        <v>1452</v>
      </c>
      <c r="C60" s="468"/>
      <c r="D60" s="468"/>
      <c r="E60" s="468"/>
      <c r="F60" s="466">
        <f ca="1">ROUND(SUMIF(INDIRECT(Formulas!$B$1),MID(F$1,2,2)&amp;"-"&amp;LEFT($B60,4)&amp;"*-0*",INDIRECT(Formulas!$B$3)),0)</f>
        <v>0</v>
      </c>
      <c r="G60" s="468"/>
      <c r="H60" s="468"/>
      <c r="I60" s="468"/>
      <c r="J60" s="468"/>
      <c r="K60" s="468"/>
    </row>
    <row r="61" spans="1:11" ht="12.75" customHeight="1" x14ac:dyDescent="0.2">
      <c r="A61" s="550" t="s">
        <v>879</v>
      </c>
      <c r="B61" s="545">
        <v>1453</v>
      </c>
      <c r="C61" s="468"/>
      <c r="D61" s="468"/>
      <c r="E61" s="468"/>
      <c r="F61" s="466">
        <f ca="1">ROUND(SUMIF(INDIRECT(Formulas!$B$1),MID(F$1,2,2)&amp;"-"&amp;LEFT($B61,4)&amp;"*-0*",INDIRECT(Formulas!$B$3)),0)</f>
        <v>0</v>
      </c>
      <c r="G61" s="468"/>
      <c r="H61" s="468"/>
      <c r="I61" s="468"/>
      <c r="J61" s="468"/>
      <c r="K61" s="468"/>
    </row>
    <row r="62" spans="1:11" ht="12.75" customHeight="1" x14ac:dyDescent="0.2">
      <c r="A62" s="1467" t="s">
        <v>880</v>
      </c>
      <c r="B62" s="546">
        <v>1454</v>
      </c>
      <c r="C62" s="468"/>
      <c r="D62" s="468"/>
      <c r="E62" s="468"/>
      <c r="F62" s="466">
        <f ca="1">ROUND(SUMIF(INDIRECT(Formulas!$B$1),MID(F$1,2,2)&amp;"-"&amp;LEFT($B62,4)&amp;"*-0*",INDIRECT(Formulas!$B$3)),0)</f>
        <v>0</v>
      </c>
      <c r="G62" s="468"/>
      <c r="H62" s="468"/>
      <c r="I62" s="468"/>
      <c r="J62" s="468"/>
      <c r="K62" s="468"/>
    </row>
    <row r="63" spans="1:11" ht="12.75" customHeight="1" thickBot="1" x14ac:dyDescent="0.25">
      <c r="A63" s="1678" t="s">
        <v>485</v>
      </c>
      <c r="B63" s="1679"/>
      <c r="C63" s="468"/>
      <c r="D63" s="468"/>
      <c r="E63" s="468"/>
      <c r="F63" s="1658">
        <f ca="1">SUM(F42:F62)</f>
        <v>876596</v>
      </c>
      <c r="G63" s="468"/>
      <c r="H63" s="468"/>
      <c r="I63" s="468"/>
      <c r="J63" s="468"/>
      <c r="K63" s="468"/>
    </row>
    <row r="64" spans="1:11" ht="15.75" customHeight="1" thickTop="1" x14ac:dyDescent="0.2">
      <c r="A64" s="1562" t="s">
        <v>454</v>
      </c>
      <c r="B64" s="1563">
        <v>1500</v>
      </c>
      <c r="C64" s="468"/>
      <c r="D64" s="468"/>
      <c r="E64" s="468"/>
      <c r="F64" s="468"/>
      <c r="G64" s="468"/>
      <c r="H64" s="468"/>
      <c r="I64" s="468"/>
      <c r="J64" s="468"/>
      <c r="K64" s="468"/>
    </row>
    <row r="65" spans="1:11" ht="12.75" customHeight="1" x14ac:dyDescent="0.2">
      <c r="A65" s="463" t="s">
        <v>547</v>
      </c>
      <c r="B65" s="470">
        <v>1510</v>
      </c>
      <c r="C65" s="466">
        <f ca="1">ROUND(SUMIF(INDIRECT(Formulas!$B$1),MID(C$1,2,2)&amp;"-"&amp;LEFT($B65,3)&amp;"*-0*",INDIRECT(Formulas!$B$3)),0)</f>
        <v>46254</v>
      </c>
      <c r="D65" s="466">
        <f ca="1">ROUND(SUMIF(INDIRECT(Formulas!$B$1),MID(D$1,2,2)&amp;"-"&amp;LEFT($B65,3)&amp;"*-0*",INDIRECT(Formulas!$B$3)),0)</f>
        <v>378</v>
      </c>
      <c r="E65" s="466">
        <f ca="1">ROUND(SUMIF(INDIRECT(Formulas!$B$1),MID(E$1,2,2)&amp;"-"&amp;LEFT($B65,3)&amp;"*-0*",INDIRECT(Formulas!$B$3)),0)</f>
        <v>10732</v>
      </c>
      <c r="F65" s="466">
        <f ca="1">ROUND(SUMIF(INDIRECT(Formulas!$B$1),MID(F$1,2,2)&amp;"-"&amp;LEFT($B65,3)&amp;"*-0*",INDIRECT(Formulas!$B$3)),0)</f>
        <v>5715</v>
      </c>
      <c r="G65" s="466">
        <f ca="1">ROUND(SUMIF(INDIRECT(Formulas!$B$1),MID(G$1,2,2)&amp;"-"&amp;LEFT($B65,3)&amp;"*-0*",INDIRECT(Formulas!$B$3)),0)</f>
        <v>0</v>
      </c>
      <c r="H65" s="466">
        <f ca="1">ROUND(SUMIF(INDIRECT(Formulas!$B$1),MID(H$1,2,2)&amp;"-"&amp;LEFT($B65,3)&amp;"*-0*",INDIRECT(Formulas!$B$3)),0)</f>
        <v>0</v>
      </c>
      <c r="I65" s="466">
        <f ca="1">ROUND(SUMIF(INDIRECT(Formulas!$B$1),MID(I$1,2,2)&amp;"-"&amp;LEFT($B65,3)&amp;"*-0*",INDIRECT(Formulas!$B$3)),0)</f>
        <v>126252</v>
      </c>
      <c r="J65" s="466">
        <f ca="1">ROUND(SUMIF(INDIRECT(Formulas!$B$1),MID(J$1,2,2)&amp;"-"&amp;LEFT($B65,3)&amp;"*-0*",INDIRECT(Formulas!$B$3)),0)</f>
        <v>0</v>
      </c>
      <c r="K65" s="466">
        <f ca="1">ROUND(SUMIF(INDIRECT(Formulas!$B$1),MID(K$1,2,2)&amp;"-"&amp;LEFT($B65,3)&amp;"*-0*",INDIRECT(Formulas!$B$3)),0)</f>
        <v>10433</v>
      </c>
    </row>
    <row r="66" spans="1:11" ht="12.75" customHeight="1" x14ac:dyDescent="0.2">
      <c r="A66" s="463" t="s">
        <v>679</v>
      </c>
      <c r="B66" s="470">
        <v>1520</v>
      </c>
      <c r="C66" s="466">
        <f ca="1">ROUND(SUMIF(INDIRECT(Formulas!$B$1),MID(C$1,2,2)&amp;"-"&amp;LEFT($B66,3)&amp;"*-0*",INDIRECT(Formulas!$B$3)),0)</f>
        <v>0</v>
      </c>
      <c r="D66" s="466">
        <f ca="1">ROUND(SUMIF(INDIRECT(Formulas!$B$1),MID(D$1,2,2)&amp;"-"&amp;LEFT($B66,3)&amp;"*-0*",INDIRECT(Formulas!$B$3)),0)</f>
        <v>0</v>
      </c>
      <c r="E66" s="466">
        <f ca="1">ROUND(SUMIF(INDIRECT(Formulas!$B$1),MID(E$1,2,2)&amp;"-"&amp;LEFT($B66,3)&amp;"*-0*",INDIRECT(Formulas!$B$3)),0)</f>
        <v>0</v>
      </c>
      <c r="F66" s="466">
        <f ca="1">ROUND(SUMIF(INDIRECT(Formulas!$B$1),MID(F$1,2,2)&amp;"-"&amp;LEFT($B66,3)&amp;"*-0*",INDIRECT(Formulas!$B$3)),0)</f>
        <v>0</v>
      </c>
      <c r="G66" s="466">
        <f ca="1">ROUND(SUMIF(INDIRECT(Formulas!$B$1),MID(G$1,2,2)&amp;"-"&amp;LEFT($B66,3)&amp;"*-0*",INDIRECT(Formulas!$B$3)),0)</f>
        <v>0</v>
      </c>
      <c r="H66" s="466">
        <f ca="1">ROUND(SUMIF(INDIRECT(Formulas!$B$1),MID(H$1,2,2)&amp;"-"&amp;LEFT($B66,3)&amp;"*-0*",INDIRECT(Formulas!$B$3)),0)</f>
        <v>0</v>
      </c>
      <c r="I66" s="466">
        <f ca="1">ROUND(SUMIF(INDIRECT(Formulas!$B$1),MID(I$1,2,2)&amp;"-"&amp;LEFT($B66,3)&amp;"*-0*",INDIRECT(Formulas!$B$3)),0)</f>
        <v>0</v>
      </c>
      <c r="J66" s="466">
        <f ca="1">ROUND(SUMIF(INDIRECT(Formulas!$B$1),MID(J$1,2,2)&amp;"-"&amp;LEFT($B66,3)&amp;"*-0*",INDIRECT(Formulas!$B$3)),0)</f>
        <v>0</v>
      </c>
      <c r="K66" s="466">
        <f ca="1">ROUND(SUMIF(INDIRECT(Formulas!$B$1),MID(K$1,2,2)&amp;"-"&amp;LEFT($B66,3)&amp;"*-0*",INDIRECT(Formulas!$B$3)),0)</f>
        <v>0</v>
      </c>
    </row>
    <row r="67" spans="1:11" ht="12.75" customHeight="1" thickBot="1" x14ac:dyDescent="0.25">
      <c r="A67" s="1678" t="s">
        <v>486</v>
      </c>
      <c r="B67" s="1679"/>
      <c r="C67" s="1658">
        <f ca="1">SUM(C65:C66)</f>
        <v>46254</v>
      </c>
      <c r="D67" s="1658">
        <f t="shared" ref="D67:K67" ca="1" si="2">SUM(D65:D66)</f>
        <v>378</v>
      </c>
      <c r="E67" s="1658">
        <f t="shared" ca="1" si="2"/>
        <v>10732</v>
      </c>
      <c r="F67" s="1658">
        <f t="shared" ca="1" si="2"/>
        <v>5715</v>
      </c>
      <c r="G67" s="1658">
        <f t="shared" ca="1" si="2"/>
        <v>0</v>
      </c>
      <c r="H67" s="1658">
        <f t="shared" ca="1" si="2"/>
        <v>0</v>
      </c>
      <c r="I67" s="1658">
        <f t="shared" ca="1" si="2"/>
        <v>126252</v>
      </c>
      <c r="J67" s="1658">
        <f t="shared" ca="1" si="2"/>
        <v>0</v>
      </c>
      <c r="K67" s="1658">
        <f t="shared" ca="1" si="2"/>
        <v>10433</v>
      </c>
    </row>
    <row r="68" spans="1:11" ht="15.75" customHeight="1" thickTop="1" x14ac:dyDescent="0.2">
      <c r="A68" s="1562" t="s">
        <v>455</v>
      </c>
      <c r="B68" s="1564">
        <v>1600</v>
      </c>
      <c r="C68" s="541"/>
      <c r="D68" s="468"/>
      <c r="E68" s="468"/>
      <c r="F68" s="468"/>
      <c r="G68" s="468"/>
      <c r="H68" s="468"/>
      <c r="I68" s="468"/>
      <c r="J68" s="468"/>
      <c r="K68" s="468"/>
    </row>
    <row r="69" spans="1:11" ht="12.75" customHeight="1" x14ac:dyDescent="0.2">
      <c r="A69" s="463" t="s">
        <v>666</v>
      </c>
      <c r="B69" s="470">
        <v>1611</v>
      </c>
      <c r="C69" s="466">
        <f ca="1">ROUND(SUMIF(INDIRECT(Formulas!$B$1),MID(C$1,2,2)&amp;"-"&amp;LEFT($B69,4)&amp;"*-0*",INDIRECT(Formulas!$B$3)),0)</f>
        <v>160858</v>
      </c>
      <c r="D69" s="468"/>
      <c r="E69" s="468"/>
      <c r="F69" s="468"/>
      <c r="G69" s="468"/>
      <c r="H69" s="468"/>
      <c r="I69" s="468"/>
      <c r="J69" s="468"/>
      <c r="K69" s="468"/>
    </row>
    <row r="70" spans="1:11" ht="12.75" customHeight="1" x14ac:dyDescent="0.2">
      <c r="A70" s="463" t="s">
        <v>997</v>
      </c>
      <c r="B70" s="470">
        <v>1612</v>
      </c>
      <c r="C70" s="466">
        <f ca="1">ROUND(SUMIF(INDIRECT(Formulas!$B$1),MID(C$1,2,2)&amp;"-"&amp;LEFT($B70,4)&amp;"*-0*",INDIRECT(Formulas!$B$3)),0)</f>
        <v>6473</v>
      </c>
      <c r="D70" s="468"/>
      <c r="E70" s="468"/>
      <c r="F70" s="468"/>
      <c r="G70" s="468"/>
      <c r="H70" s="468"/>
      <c r="I70" s="468"/>
      <c r="J70" s="468"/>
      <c r="K70" s="468"/>
    </row>
    <row r="71" spans="1:11" ht="12.75" customHeight="1" x14ac:dyDescent="0.2">
      <c r="A71" s="463" t="s">
        <v>273</v>
      </c>
      <c r="B71" s="470">
        <v>1613</v>
      </c>
      <c r="C71" s="466">
        <f ca="1">ROUND(SUMIF(INDIRECT(Formulas!$B$1),MID(C$1,2,2)&amp;"-"&amp;LEFT($B71,4)&amp;"*-0*",INDIRECT(Formulas!$B$3)),0)</f>
        <v>26370</v>
      </c>
      <c r="D71" s="468"/>
      <c r="E71" s="468"/>
      <c r="F71" s="468"/>
      <c r="G71" s="468"/>
      <c r="H71" s="468"/>
      <c r="I71" s="468"/>
      <c r="J71" s="468"/>
      <c r="K71" s="468"/>
    </row>
    <row r="72" spans="1:11" ht="12.75" customHeight="1" x14ac:dyDescent="0.2">
      <c r="A72" s="463" t="s">
        <v>24</v>
      </c>
      <c r="B72" s="470">
        <v>1614</v>
      </c>
      <c r="C72" s="466">
        <f ca="1">ROUND(SUMIF(INDIRECT(Formulas!$B$1),MID(C$1,2,2)&amp;"-"&amp;LEFT($B72,4)&amp;"*-0*",INDIRECT(Formulas!$B$3)),0)</f>
        <v>0</v>
      </c>
      <c r="D72" s="468"/>
      <c r="E72" s="468"/>
      <c r="F72" s="468"/>
      <c r="G72" s="468"/>
      <c r="H72" s="468"/>
      <c r="I72" s="468"/>
      <c r="J72" s="468"/>
      <c r="K72" s="468"/>
    </row>
    <row r="73" spans="1:11" ht="12.75" customHeight="1" x14ac:dyDescent="0.2">
      <c r="A73" s="463" t="s">
        <v>998</v>
      </c>
      <c r="B73" s="470">
        <v>1620</v>
      </c>
      <c r="C73" s="466">
        <f ca="1">ROUND(SUMIF(INDIRECT(Formulas!$B$1),MID(C$1,2,2)&amp;"-"&amp;LEFT($B73,4)&amp;"*-0*",INDIRECT(Formulas!$B$3)),0)</f>
        <v>12038</v>
      </c>
      <c r="D73" s="468"/>
      <c r="E73" s="468"/>
      <c r="F73" s="468"/>
      <c r="G73" s="468"/>
      <c r="H73" s="468"/>
      <c r="I73" s="468"/>
      <c r="J73" s="468"/>
      <c r="K73" s="468"/>
    </row>
    <row r="74" spans="1:11" ht="12.75" customHeight="1" x14ac:dyDescent="0.2">
      <c r="A74" s="463" t="s">
        <v>25</v>
      </c>
      <c r="B74" s="470">
        <v>1690</v>
      </c>
      <c r="C74" s="466">
        <f ca="1">ROUND(SUMIF(INDIRECT(Formulas!$B$1),MID(C$1,2,2)&amp;"-"&amp;LEFT($B74,4)&amp;"*-0*",INDIRECT(Formulas!$B$3)),0)</f>
        <v>1181</v>
      </c>
      <c r="D74" s="468"/>
      <c r="E74" s="468"/>
      <c r="F74" s="468"/>
      <c r="G74" s="468"/>
      <c r="H74" s="468"/>
      <c r="I74" s="468"/>
      <c r="J74" s="468"/>
      <c r="K74" s="468"/>
    </row>
    <row r="75" spans="1:11" ht="12.75" customHeight="1" thickBot="1" x14ac:dyDescent="0.25">
      <c r="A75" s="1678" t="s">
        <v>548</v>
      </c>
      <c r="B75" s="1679"/>
      <c r="C75" s="1658">
        <f ca="1">SUM(C69:C74)</f>
        <v>206920</v>
      </c>
      <c r="D75" s="468"/>
      <c r="E75" s="468"/>
      <c r="F75" s="468"/>
      <c r="G75" s="468"/>
      <c r="H75" s="468"/>
      <c r="I75" s="468"/>
      <c r="J75" s="468"/>
      <c r="K75" s="468"/>
    </row>
    <row r="76" spans="1:11" ht="15.75" customHeight="1" thickTop="1" x14ac:dyDescent="0.2">
      <c r="A76" s="1562" t="s">
        <v>881</v>
      </c>
      <c r="B76" s="1564">
        <v>1700</v>
      </c>
      <c r="C76" s="541"/>
      <c r="D76" s="468"/>
      <c r="E76" s="468"/>
      <c r="F76" s="468"/>
      <c r="G76" s="468"/>
      <c r="H76" s="468"/>
      <c r="I76" s="468"/>
      <c r="J76" s="468"/>
      <c r="K76" s="468"/>
    </row>
    <row r="77" spans="1:11" ht="12.75" customHeight="1" x14ac:dyDescent="0.2">
      <c r="A77" s="463" t="s">
        <v>549</v>
      </c>
      <c r="B77" s="470">
        <v>1711</v>
      </c>
      <c r="C77" s="466">
        <f ca="1">ROUND(SUMIF(INDIRECT(Formulas!$B$1),MID(C$1,2,2)&amp;"-"&amp;LEFT($B77,4)&amp;"*-0*",INDIRECT(Formulas!$B$3)),0)</f>
        <v>18739</v>
      </c>
      <c r="D77" s="466">
        <f ca="1">ROUND(SUMIF(INDIRECT(Formulas!$B$1),MID(D$1,2,2)&amp;"-"&amp;LEFT($B77,4)&amp;"*-0*",INDIRECT(Formulas!$B$3)),0)</f>
        <v>0</v>
      </c>
      <c r="E77" s="468"/>
      <c r="F77" s="468"/>
      <c r="G77" s="468"/>
      <c r="H77" s="468"/>
      <c r="I77" s="468"/>
      <c r="J77" s="468"/>
      <c r="K77" s="468"/>
    </row>
    <row r="78" spans="1:11" ht="12.75" customHeight="1" x14ac:dyDescent="0.2">
      <c r="A78" s="463" t="s">
        <v>76</v>
      </c>
      <c r="B78" s="470">
        <v>1719</v>
      </c>
      <c r="C78" s="466">
        <f ca="1">ROUND(SUMIF(INDIRECT(Formulas!$B$1),MID(C$1,2,2)&amp;"-"&amp;LEFT($B78,4)&amp;"*-0*",INDIRECT(Formulas!$B$3)),0)</f>
        <v>0</v>
      </c>
      <c r="D78" s="466">
        <f ca="1">ROUND(SUMIF(INDIRECT(Formulas!$B$1),MID(D$1,2,2)&amp;"-"&amp;LEFT($B78,4)&amp;"*-0*",INDIRECT(Formulas!$B$3)),0)</f>
        <v>0</v>
      </c>
      <c r="E78" s="468"/>
      <c r="F78" s="468"/>
      <c r="G78" s="468"/>
      <c r="H78" s="468"/>
      <c r="I78" s="468"/>
      <c r="J78" s="468"/>
      <c r="K78" s="468"/>
    </row>
    <row r="79" spans="1:11" ht="12.75" customHeight="1" x14ac:dyDescent="0.2">
      <c r="A79" s="463" t="s">
        <v>550</v>
      </c>
      <c r="B79" s="470">
        <v>1720</v>
      </c>
      <c r="C79" s="466">
        <f ca="1">ROUND(SUMIF(INDIRECT(Formulas!$B$1),MID(C$1,2,2)&amp;"-"&amp;LEFT($B79,3)&amp;"*-0*",INDIRECT(Formulas!$B$3)),0)</f>
        <v>106253</v>
      </c>
      <c r="D79" s="466">
        <f ca="1">ROUND(SUMIF(INDIRECT(Formulas!$B$1),MID(D$1,2,2)&amp;"-"&amp;LEFT($B79,4)&amp;"*-0*",INDIRECT(Formulas!$B$3)),0)</f>
        <v>0</v>
      </c>
      <c r="E79" s="468"/>
      <c r="F79" s="468"/>
      <c r="G79" s="468"/>
      <c r="H79" s="468"/>
      <c r="I79" s="468"/>
      <c r="J79" s="468"/>
      <c r="K79" s="468"/>
    </row>
    <row r="80" spans="1:11" ht="12.75" customHeight="1" x14ac:dyDescent="0.2">
      <c r="A80" s="463" t="s">
        <v>551</v>
      </c>
      <c r="B80" s="470">
        <v>1730</v>
      </c>
      <c r="C80" s="466">
        <f ca="1">ROUND(SUMIF(INDIRECT(Formulas!$B$1),MID(C$1,2,2)&amp;"-"&amp;LEFT($B80,4)&amp;"*-0*",INDIRECT(Formulas!$B$3)),0)</f>
        <v>23252</v>
      </c>
      <c r="D80" s="466">
        <f ca="1">ROUND(SUMIF(INDIRECT(Formulas!$B$1),MID(D$1,2,2)&amp;"-"&amp;LEFT($B80,4)&amp;"*-0*",INDIRECT(Formulas!$B$3)),0)</f>
        <v>0</v>
      </c>
      <c r="E80" s="468"/>
      <c r="F80" s="468"/>
      <c r="G80" s="468"/>
      <c r="H80" s="468"/>
      <c r="I80" s="468"/>
      <c r="J80" s="468"/>
      <c r="K80" s="468"/>
    </row>
    <row r="81" spans="1:11" ht="12.75" customHeight="1" x14ac:dyDescent="0.2">
      <c r="A81" s="463" t="s">
        <v>26</v>
      </c>
      <c r="B81" s="470">
        <v>1790</v>
      </c>
      <c r="C81" s="466">
        <f ca="1">ROUND(SUMIF(INDIRECT(Formulas!$B$1),MID(C$1,2,2)&amp;"-"&amp;LEFT($B81,4)&amp;"*-0*",INDIRECT(Formulas!$B$3)),0)</f>
        <v>0</v>
      </c>
      <c r="D81" s="466">
        <f ca="1">ROUND(SUMIF(INDIRECT(Formulas!$B$1),MID(D$1,2,2)&amp;"-"&amp;LEFT($B81,4)&amp;"*-0*",INDIRECT(Formulas!$B$3)),0)</f>
        <v>0</v>
      </c>
      <c r="E81" s="468"/>
      <c r="F81" s="468"/>
      <c r="G81" s="468"/>
      <c r="H81" s="468"/>
      <c r="I81" s="468"/>
      <c r="J81" s="468"/>
      <c r="K81" s="468"/>
    </row>
    <row r="82" spans="1:11" ht="12.75" customHeight="1" thickBot="1" x14ac:dyDescent="0.25">
      <c r="A82" s="1678" t="s">
        <v>241</v>
      </c>
      <c r="B82" s="1679"/>
      <c r="C82" s="1677">
        <f ca="1">SUM(C77:C81)</f>
        <v>148244</v>
      </c>
      <c r="D82" s="1658">
        <f ca="1">SUM(D77:D81)</f>
        <v>0</v>
      </c>
      <c r="E82" s="468"/>
      <c r="F82" s="468"/>
      <c r="G82" s="468"/>
      <c r="H82" s="468"/>
      <c r="I82" s="468"/>
      <c r="J82" s="468"/>
      <c r="K82" s="468"/>
    </row>
    <row r="83" spans="1:11" ht="15.75" customHeight="1" thickTop="1" x14ac:dyDescent="0.2">
      <c r="A83" s="1562" t="s">
        <v>242</v>
      </c>
      <c r="B83" s="1564">
        <v>1800</v>
      </c>
      <c r="C83" s="541"/>
      <c r="D83" s="468"/>
      <c r="E83" s="468"/>
      <c r="F83" s="468"/>
      <c r="G83" s="468"/>
      <c r="H83" s="468"/>
      <c r="I83" s="468"/>
      <c r="J83" s="468"/>
      <c r="K83" s="468"/>
    </row>
    <row r="84" spans="1:11" ht="12.75" customHeight="1" x14ac:dyDescent="0.2">
      <c r="A84" s="463" t="s">
        <v>552</v>
      </c>
      <c r="B84" s="470">
        <v>1811</v>
      </c>
      <c r="C84" s="466">
        <f ca="1">ROUND(SUMIF(INDIRECT(Formulas!$B$1),MID(C$1,2,2)&amp;"-"&amp;LEFT($B84,4)&amp;"*-0*",INDIRECT(Formulas!$B$3)),0)</f>
        <v>0</v>
      </c>
      <c r="D84" s="468"/>
      <c r="E84" s="468"/>
      <c r="F84" s="468"/>
      <c r="G84" s="468"/>
      <c r="H84" s="468"/>
      <c r="I84" s="468"/>
      <c r="J84" s="468"/>
      <c r="K84" s="468"/>
    </row>
    <row r="85" spans="1:11" ht="12.75" customHeight="1" x14ac:dyDescent="0.2">
      <c r="A85" s="463" t="s">
        <v>553</v>
      </c>
      <c r="B85" s="470">
        <v>1812</v>
      </c>
      <c r="C85" s="466">
        <f ca="1">ROUND(SUMIF(INDIRECT(Formulas!$B$1),MID(C$1,2,2)&amp;"-"&amp;LEFT($B85,4)&amp;"*-0*",INDIRECT(Formulas!$B$3)),0)</f>
        <v>0</v>
      </c>
      <c r="D85" s="468"/>
      <c r="E85" s="468"/>
      <c r="F85" s="468"/>
      <c r="G85" s="468"/>
      <c r="H85" s="468"/>
      <c r="I85" s="468"/>
      <c r="J85" s="468"/>
      <c r="K85" s="468"/>
    </row>
    <row r="86" spans="1:11" ht="12.75" customHeight="1" x14ac:dyDescent="0.2">
      <c r="A86" s="463" t="s">
        <v>999</v>
      </c>
      <c r="B86" s="470">
        <v>1813</v>
      </c>
      <c r="C86" s="466">
        <f ca="1">ROUND(SUMIF(INDIRECT(Formulas!$B$1),MID(C$1,2,2)&amp;"-"&amp;LEFT($B86,4)&amp;"*-0*",INDIRECT(Formulas!$B$3)),0)</f>
        <v>0</v>
      </c>
      <c r="D86" s="468"/>
      <c r="E86" s="468"/>
      <c r="F86" s="468"/>
      <c r="G86" s="468"/>
      <c r="H86" s="468"/>
      <c r="I86" s="468"/>
      <c r="J86" s="468"/>
      <c r="K86" s="468"/>
    </row>
    <row r="87" spans="1:11" ht="12.75" customHeight="1" x14ac:dyDescent="0.2">
      <c r="A87" s="463" t="s">
        <v>77</v>
      </c>
      <c r="B87" s="470">
        <v>1819</v>
      </c>
      <c r="C87" s="466">
        <f ca="1">ROUND(SUMIF(INDIRECT(Formulas!$B$1),MID(C$1,2,2)&amp;"-"&amp;LEFT($B87,4)&amp;"*-0*",INDIRECT(Formulas!$B$3)),0)</f>
        <v>0</v>
      </c>
      <c r="D87" s="468"/>
      <c r="E87" s="468"/>
      <c r="F87" s="468"/>
      <c r="G87" s="468"/>
      <c r="H87" s="468"/>
      <c r="I87" s="468"/>
      <c r="J87" s="468"/>
      <c r="K87" s="468"/>
    </row>
    <row r="88" spans="1:11" ht="12.75" customHeight="1" x14ac:dyDescent="0.2">
      <c r="A88" s="463" t="s">
        <v>554</v>
      </c>
      <c r="B88" s="470">
        <v>1821</v>
      </c>
      <c r="C88" s="466">
        <f ca="1">ROUND(SUMIF(INDIRECT(Formulas!$B$1),MID(C$1,2,2)&amp;"-"&amp;LEFT($B88,4)&amp;"*-0*",INDIRECT(Formulas!$B$3)),0)</f>
        <v>0</v>
      </c>
      <c r="D88" s="468"/>
      <c r="E88" s="468"/>
      <c r="F88" s="468"/>
      <c r="G88" s="468"/>
      <c r="H88" s="468"/>
      <c r="I88" s="468"/>
      <c r="J88" s="468"/>
      <c r="K88" s="468"/>
    </row>
    <row r="89" spans="1:11" ht="12.75" customHeight="1" x14ac:dyDescent="0.2">
      <c r="A89" s="463" t="s">
        <v>714</v>
      </c>
      <c r="B89" s="470">
        <v>1822</v>
      </c>
      <c r="C89" s="466">
        <f ca="1">ROUND(SUMIF(INDIRECT(Formulas!$B$1),MID(C$1,2,2)&amp;"-"&amp;LEFT($B89,4)&amp;"*-0*",INDIRECT(Formulas!$B$3)),0)</f>
        <v>0</v>
      </c>
      <c r="D89" s="468"/>
      <c r="E89" s="468"/>
      <c r="F89" s="468"/>
      <c r="G89" s="468"/>
      <c r="H89" s="468"/>
      <c r="I89" s="468"/>
      <c r="J89" s="468"/>
      <c r="K89" s="468"/>
    </row>
    <row r="90" spans="1:11" ht="12.75" customHeight="1" x14ac:dyDescent="0.2">
      <c r="A90" s="463" t="s">
        <v>139</v>
      </c>
      <c r="B90" s="470">
        <v>1823</v>
      </c>
      <c r="C90" s="466">
        <f ca="1">ROUND(SUMIF(INDIRECT(Formulas!$B$1),MID(C$1,2,2)&amp;"-"&amp;LEFT($B90,4)&amp;"*-0*",INDIRECT(Formulas!$B$3)),0)</f>
        <v>0</v>
      </c>
      <c r="D90" s="468"/>
      <c r="E90" s="468"/>
      <c r="F90" s="468"/>
      <c r="G90" s="468"/>
      <c r="H90" s="468"/>
      <c r="I90" s="468"/>
      <c r="J90" s="468"/>
      <c r="K90" s="468"/>
    </row>
    <row r="91" spans="1:11" ht="12.75" customHeight="1" x14ac:dyDescent="0.2">
      <c r="A91" s="463" t="s">
        <v>27</v>
      </c>
      <c r="B91" s="470">
        <v>1829</v>
      </c>
      <c r="C91" s="466">
        <f ca="1">ROUND(SUMIF(INDIRECT(Formulas!$B$1),MID(C$1,2,2)&amp;"-"&amp;LEFT($B91,4)&amp;"*-0*",INDIRECT(Formulas!$B$3)),0)</f>
        <v>0</v>
      </c>
      <c r="D91" s="468"/>
      <c r="E91" s="468"/>
      <c r="F91" s="468"/>
      <c r="G91" s="468"/>
      <c r="H91" s="468"/>
      <c r="I91" s="468"/>
      <c r="J91" s="468"/>
      <c r="K91" s="468"/>
    </row>
    <row r="92" spans="1:11" ht="12.75" customHeight="1" x14ac:dyDescent="0.2">
      <c r="A92" s="463" t="s">
        <v>762</v>
      </c>
      <c r="B92" s="470">
        <v>1890</v>
      </c>
      <c r="C92" s="466">
        <f ca="1">ROUND(SUMIF(INDIRECT(Formulas!$B$1),MID(C$1,2,2)&amp;"-"&amp;LEFT($B92,4)&amp;"*-0*",INDIRECT(Formulas!$B$3)),0)</f>
        <v>0</v>
      </c>
      <c r="D92" s="468"/>
      <c r="E92" s="468"/>
      <c r="F92" s="468"/>
      <c r="G92" s="468"/>
      <c r="H92" s="468"/>
      <c r="I92" s="468"/>
      <c r="J92" s="468"/>
      <c r="K92" s="468"/>
    </row>
    <row r="93" spans="1:11" ht="12.75" customHeight="1" thickBot="1" x14ac:dyDescent="0.25">
      <c r="A93" s="1678" t="s">
        <v>243</v>
      </c>
      <c r="B93" s="1679"/>
      <c r="C93" s="1658">
        <f ca="1">SUM(C84:C92)</f>
        <v>0</v>
      </c>
      <c r="D93" s="468"/>
      <c r="E93" s="468"/>
      <c r="F93" s="468"/>
      <c r="G93" s="468"/>
      <c r="H93" s="468"/>
      <c r="I93" s="468"/>
      <c r="J93" s="468"/>
      <c r="K93" s="468"/>
    </row>
    <row r="94" spans="1:11" ht="15.75" customHeight="1" thickTop="1" x14ac:dyDescent="0.2">
      <c r="A94" s="1562" t="s">
        <v>1137</v>
      </c>
      <c r="B94" s="1564">
        <v>1900</v>
      </c>
      <c r="C94" s="541"/>
      <c r="D94" s="514"/>
      <c r="E94" s="468"/>
      <c r="F94" s="468"/>
      <c r="G94" s="468"/>
      <c r="H94" s="468"/>
      <c r="I94" s="468"/>
      <c r="J94" s="468"/>
      <c r="K94" s="468"/>
    </row>
    <row r="95" spans="1:11" ht="12.75" customHeight="1" x14ac:dyDescent="0.2">
      <c r="A95" s="463" t="s">
        <v>1064</v>
      </c>
      <c r="B95" s="470">
        <v>1910</v>
      </c>
      <c r="C95" s="466">
        <f ca="1">ROUND(SUMIF(INDIRECT(Formulas!$B$1),MID(C$1,2,2)&amp;"-"&amp;LEFT($B95,3)&amp;"*-0*",INDIRECT(Formulas!$B$3)),0)</f>
        <v>0</v>
      </c>
      <c r="D95" s="466">
        <f ca="1">ROUND(SUMIF(INDIRECT(Formulas!$B$1),MID(D$1,2,2)&amp;"-"&amp;LEFT($B95,3)&amp;"*-0*",INDIRECT(Formulas!$B$3)),0)</f>
        <v>1170</v>
      </c>
      <c r="E95" s="514"/>
      <c r="F95" s="514"/>
      <c r="G95" s="514"/>
      <c r="H95" s="514"/>
      <c r="I95" s="514"/>
      <c r="J95" s="514"/>
      <c r="K95" s="514"/>
    </row>
    <row r="96" spans="1:11" ht="12.75" customHeight="1" x14ac:dyDescent="0.2">
      <c r="A96" s="463" t="s">
        <v>391</v>
      </c>
      <c r="B96" s="470">
        <v>1920</v>
      </c>
      <c r="C96" s="466">
        <f ca="1">ROUND(SUMIF(INDIRECT(Formulas!$B$1),MID(C$1,2,2)&amp;"-"&amp;LEFT($B96,3)&amp;"*-0*",INDIRECT(Formulas!$B$3)),0)</f>
        <v>966</v>
      </c>
      <c r="D96" s="466">
        <f ca="1">ROUND(SUMIF(INDIRECT(Formulas!$B$1),MID(D$1,2,2)&amp;"-"&amp;LEFT($B96,3)&amp;"*-0*",INDIRECT(Formulas!$B$3)),0)</f>
        <v>0</v>
      </c>
      <c r="E96" s="466">
        <f ca="1">ROUND(SUMIF(INDIRECT(Formulas!$B$1),MID(E$1,2,2)&amp;"-"&amp;LEFT($B96,3)&amp;"*-0*",INDIRECT(Formulas!$B$3)),0)</f>
        <v>0</v>
      </c>
      <c r="F96" s="466">
        <f ca="1">ROUND(SUMIF(INDIRECT(Formulas!$B$1),MID(F$1,2,2)&amp;"-"&amp;LEFT($B96,3)&amp;"*-0*",INDIRECT(Formulas!$B$3)),0)</f>
        <v>0</v>
      </c>
      <c r="G96" s="466">
        <f ca="1">ROUND(SUMIF(INDIRECT(Formulas!$B$1),MID(G$1,2,2)&amp;"-"&amp;LEFT($B96,3)&amp;"*-0*",INDIRECT(Formulas!$B$3)),0)</f>
        <v>0</v>
      </c>
      <c r="H96" s="466">
        <f ca="1">ROUND(SUMIF(INDIRECT(Formulas!$B$1),MID(H$1,2,2)&amp;"-"&amp;LEFT($B96,3)&amp;"*-0*",INDIRECT(Formulas!$B$3)),0)</f>
        <v>0</v>
      </c>
      <c r="I96" s="466">
        <f ca="1">ROUND(SUMIF(INDIRECT(Formulas!$B$1),MID(I$1,2,2)&amp;"-"&amp;LEFT($B96,3)&amp;"*-0*",INDIRECT(Formulas!$B$3)),0)</f>
        <v>0</v>
      </c>
      <c r="J96" s="466">
        <f ca="1">ROUND(SUMIF(INDIRECT(Formulas!$B$1),MID(J$1,2,2)&amp;"-"&amp;LEFT($B96,3)&amp;"*-0*",INDIRECT(Formulas!$B$3)),0)</f>
        <v>0</v>
      </c>
      <c r="K96" s="466">
        <f ca="1">ROUND(SUMIF(INDIRECT(Formulas!$B$1),MID(K$1,2,2)&amp;"-"&amp;LEFT($B96,3)&amp;"*-0*",INDIRECT(Formulas!$B$3)),0)</f>
        <v>0</v>
      </c>
    </row>
    <row r="97" spans="1:12" ht="12.75" customHeight="1" x14ac:dyDescent="0.2">
      <c r="A97" s="1465" t="s">
        <v>244</v>
      </c>
      <c r="B97" s="547">
        <v>1930</v>
      </c>
      <c r="C97" s="466">
        <f ca="1">ROUND(SUMIF(INDIRECT(Formulas!$B$1),MID(C$1,2,2)&amp;"-"&amp;LEFT($B97,3)&amp;"*-0*",INDIRECT(Formulas!$B$3)),0)</f>
        <v>0</v>
      </c>
      <c r="D97" s="466">
        <f ca="1">ROUND(SUMIF(INDIRECT(Formulas!$B$1),MID(D$1,2,2)&amp;"-"&amp;LEFT($B97,3)&amp;"*-0*",INDIRECT(Formulas!$B$3)),0)</f>
        <v>0</v>
      </c>
      <c r="E97" s="466">
        <f ca="1">ROUND(SUMIF(INDIRECT(Formulas!$B$1),MID(E$1,2,2)&amp;"-"&amp;LEFT($B97,3)&amp;"*-0*",INDIRECT(Formulas!$B$3)),0)</f>
        <v>0</v>
      </c>
      <c r="F97" s="466">
        <f ca="1">ROUND(SUMIF(INDIRECT(Formulas!$B$1),MID(F$1,2,2)&amp;"-"&amp;LEFT($B97,3)&amp;"*-0*",INDIRECT(Formulas!$B$3)),0)</f>
        <v>0</v>
      </c>
      <c r="G97" s="466">
        <f ca="1">ROUND(SUMIF(INDIRECT(Formulas!$B$1),MID(G$1,2,2)&amp;"-"&amp;LEFT($B97,3)&amp;"*-0*",INDIRECT(Formulas!$B$3)),0)</f>
        <v>0</v>
      </c>
      <c r="H97" s="466">
        <f ca="1">ROUND(SUMIF(INDIRECT(Formulas!$B$1),MID(H$1,2,2)&amp;"-"&amp;LEFT($B97,3)&amp;"*-0*",INDIRECT(Formulas!$B$3)),0)</f>
        <v>0</v>
      </c>
      <c r="I97" s="466">
        <f ca="1">ROUND(SUMIF(INDIRECT(Formulas!$B$1),MID(I$1,2,2)&amp;"-"&amp;LEFT($B97,3)&amp;"*-0*",INDIRECT(Formulas!$B$3)),0)</f>
        <v>0</v>
      </c>
      <c r="J97" s="466">
        <f ca="1">ROUND(SUMIF(INDIRECT(Formulas!$B$1),MID(J$1,2,2)&amp;"-"&amp;LEFT($B97,3)&amp;"*-0*",INDIRECT(Formulas!$B$3)),0)</f>
        <v>0</v>
      </c>
      <c r="K97" s="466">
        <f ca="1">ROUND(SUMIF(INDIRECT(Formulas!$B$1),MID(K$1,2,2)&amp;"-"&amp;LEFT($B97,3)&amp;"*-0*",INDIRECT(Formulas!$B$3)),0)</f>
        <v>0</v>
      </c>
    </row>
    <row r="98" spans="1:12" ht="12.75" customHeight="1" x14ac:dyDescent="0.2">
      <c r="A98" s="463" t="s">
        <v>189</v>
      </c>
      <c r="B98" s="470">
        <v>1940</v>
      </c>
      <c r="C98" s="466">
        <f ca="1">ROUND(SUMIF(INDIRECT(Formulas!$B$1),MID(C$1,2,2)&amp;"-"&amp;LEFT($B98,3)&amp;"*-0*",INDIRECT(Formulas!$B$3)),0)</f>
        <v>123135</v>
      </c>
      <c r="D98" s="466">
        <f ca="1">ROUND(SUMIF(INDIRECT(Formulas!$B$1),MID(D$1,2,2)&amp;"-"&amp;LEFT($B98,3)&amp;"*-0*",INDIRECT(Formulas!$B$3)),0)</f>
        <v>0</v>
      </c>
      <c r="E98" s="505"/>
      <c r="F98" s="466">
        <f ca="1">ROUND(SUMIF(INDIRECT(Formulas!$B$1),MID(F$1,2,2)&amp;"-"&amp;LEFT($B98,3)&amp;"*-0*",INDIRECT(Formulas!$B$3)),0)</f>
        <v>0</v>
      </c>
      <c r="G98" s="505"/>
      <c r="H98" s="505"/>
      <c r="I98" s="503"/>
      <c r="J98" s="505"/>
      <c r="K98" s="505"/>
    </row>
    <row r="99" spans="1:12" ht="12.75" customHeight="1" x14ac:dyDescent="0.2">
      <c r="A99" s="463" t="s">
        <v>821</v>
      </c>
      <c r="B99" s="470">
        <v>1950</v>
      </c>
      <c r="C99" s="466">
        <f ca="1">ROUND(SUMIF(INDIRECT(Formulas!$B$1),MID(C$1,2,2)&amp;"-"&amp;LEFT($B99,3)&amp;"*-0*",INDIRECT(Formulas!$B$3)),0)</f>
        <v>7940</v>
      </c>
      <c r="D99" s="466">
        <f ca="1">ROUND(SUMIF(INDIRECT(Formulas!$B$1),MID(D$1,2,2)&amp;"-"&amp;LEFT($B99,3)&amp;"*-0*",INDIRECT(Formulas!$B$3)),0)</f>
        <v>0</v>
      </c>
      <c r="E99" s="466">
        <f ca="1">ROUND(SUMIF(INDIRECT(Formulas!$B$1),MID(E$1,2,2)&amp;"-"&amp;LEFT($B99,3)&amp;"*-0*",INDIRECT(Formulas!$B$3)),0)</f>
        <v>33</v>
      </c>
      <c r="F99" s="466">
        <f ca="1">ROUND(SUMIF(INDIRECT(Formulas!$B$1),MID(F$1,2,2)&amp;"-"&amp;LEFT($B99,3)&amp;"*-0*",INDIRECT(Formulas!$B$3)),0)</f>
        <v>3789</v>
      </c>
      <c r="G99" s="466">
        <f ca="1">ROUND(SUMIF(INDIRECT(Formulas!$B$1),MID(G$1,2,2)&amp;"-"&amp;LEFT($B99,3)&amp;"*-0*",INDIRECT(Formulas!$B$3)),0)</f>
        <v>0</v>
      </c>
      <c r="H99" s="466">
        <f ca="1">ROUND(SUMIF(INDIRECT(Formulas!$B$1),MID(H$1,2,2)&amp;"-"&amp;LEFT($B99,3)&amp;"*-0*",INDIRECT(Formulas!$B$3)),0)</f>
        <v>0</v>
      </c>
      <c r="I99" s="468"/>
      <c r="J99" s="466">
        <f ca="1">ROUND(SUMIF(INDIRECT(Formulas!$B$1),MID(J$1,2,2)&amp;"-"&amp;LEFT($B99,3)&amp;"*-0*",INDIRECT(Formulas!$B$3)),0)</f>
        <v>0</v>
      </c>
      <c r="K99" s="466">
        <f ca="1">ROUND(SUMIF(INDIRECT(Formulas!$B$1),MID(K$1,2,2)&amp;"-"&amp;LEFT($B99,3)&amp;"*-0*",INDIRECT(Formulas!$B$3)),0)</f>
        <v>0</v>
      </c>
    </row>
    <row r="100" spans="1:12" ht="12.75" customHeight="1" x14ac:dyDescent="0.2">
      <c r="A100" s="463" t="s">
        <v>245</v>
      </c>
      <c r="B100" s="470">
        <v>1960</v>
      </c>
      <c r="C100" s="466">
        <f ca="1">ROUND(SUMIF(INDIRECT(Formulas!$B$1),MID(C$1,2,2)&amp;"-"&amp;LEFT($B100,3)&amp;"*-0*",INDIRECT(Formulas!$B$3)),0)</f>
        <v>0</v>
      </c>
      <c r="D100" s="466">
        <f ca="1">ROUND(SUMIF(INDIRECT(Formulas!$B$1),MID(D$1,2,2)&amp;"-"&amp;LEFT($B100,3)&amp;"*-0*",INDIRECT(Formulas!$B$3)),0)</f>
        <v>0</v>
      </c>
      <c r="E100" s="466">
        <f ca="1">ROUND(SUMIF(INDIRECT(Formulas!$B$1),MID(E$1,2,2)&amp;"-"&amp;LEFT($B100,3)&amp;"*-0*",INDIRECT(Formulas!$B$3)),0)</f>
        <v>0</v>
      </c>
      <c r="F100" s="466">
        <f ca="1">ROUND(SUMIF(INDIRECT(Formulas!$B$1),MID(F$1,2,2)&amp;"-"&amp;LEFT($B100,3)&amp;"*-0*",INDIRECT(Formulas!$B$3)),0)</f>
        <v>0</v>
      </c>
      <c r="G100" s="466">
        <f ca="1">ROUND(SUMIF(INDIRECT(Formulas!$B$1),MID(G$1,2,2)&amp;"-"&amp;LEFT($B100,3)&amp;"*-0*",INDIRECT(Formulas!$B$3)),0)</f>
        <v>0</v>
      </c>
      <c r="H100" s="466">
        <f ca="1">ROUND(SUMIF(INDIRECT(Formulas!$B$1),MID(H$1,2,2)&amp;"-"&amp;LEFT($B100,3)&amp;"*-0*",INDIRECT(Formulas!$B$3)),0)</f>
        <v>0</v>
      </c>
      <c r="I100" s="466">
        <f ca="1">ROUND(SUMIF(INDIRECT(Formulas!$B$1),MID(I$1,2,2)&amp;"-"&amp;LEFT($B100,3)&amp;"*-0*",INDIRECT(Formulas!$B$3)),0)</f>
        <v>0</v>
      </c>
      <c r="J100" s="466">
        <f ca="1">ROUND(SUMIF(INDIRECT(Formulas!$B$1),MID(J$1,2,2)&amp;"-"&amp;LEFT($B100,3)&amp;"*-0*",INDIRECT(Formulas!$B$3)),0)</f>
        <v>0</v>
      </c>
      <c r="K100" s="466">
        <f ca="1">ROUND(SUMIF(INDIRECT(Formulas!$B$1),MID(K$1,2,2)&amp;"-"&amp;LEFT($B100,3)&amp;"*-0*",INDIRECT(Formulas!$B$3)),0)</f>
        <v>0</v>
      </c>
    </row>
    <row r="101" spans="1:12" ht="12.75" customHeight="1" x14ac:dyDescent="0.2">
      <c r="A101" s="463" t="s">
        <v>246</v>
      </c>
      <c r="B101" s="470">
        <v>1970</v>
      </c>
      <c r="C101" s="466">
        <f ca="1">ROUND(SUMIF(INDIRECT(Formulas!$B$1),MID(C$1,2,2)&amp;"-"&amp;LEFT($B101,3)&amp;"*-0*",INDIRECT(Formulas!$B$3)),0)</f>
        <v>0</v>
      </c>
      <c r="D101" s="519"/>
      <c r="E101" s="476"/>
      <c r="F101" s="519"/>
      <c r="G101" s="473"/>
      <c r="H101" s="519"/>
      <c r="I101" s="468"/>
      <c r="J101" s="473"/>
      <c r="K101" s="473"/>
    </row>
    <row r="102" spans="1:12" ht="12.75" customHeight="1" x14ac:dyDescent="0.2">
      <c r="A102" s="463" t="s">
        <v>247</v>
      </c>
      <c r="B102" s="470">
        <v>1980</v>
      </c>
      <c r="C102" s="466">
        <f ca="1">ROUND(SUMIF(INDIRECT(Formulas!$B$1),MID(C$1,2,2)&amp;"-"&amp;LEFT($B102,4)&amp;"*-0*",INDIRECT(Formulas!$B$3)),0)</f>
        <v>0</v>
      </c>
      <c r="D102" s="466">
        <f ca="1">ROUND(SUMIF(INDIRECT(Formulas!$B$1),MID(D$1,2,2)&amp;"-"&amp;LEFT($B102,4)&amp;"*-0*",INDIRECT(Formulas!$B$3)),0)</f>
        <v>0</v>
      </c>
      <c r="E102" s="466">
        <f ca="1">ROUND(SUMIF(INDIRECT(Formulas!$B$1),MID(E$1,2,2)&amp;"-"&amp;LEFT($B102,4)&amp;"*-0*",INDIRECT(Formulas!$B$3)),0)</f>
        <v>0</v>
      </c>
      <c r="F102" s="466">
        <f ca="1">ROUND(SUMIF(INDIRECT(Formulas!$B$1),MID(F$1,2,2)&amp;"-"&amp;LEFT($B102,4)&amp;"*-0*",INDIRECT(Formulas!$B$3)),0)</f>
        <v>0</v>
      </c>
      <c r="G102" s="466">
        <f ca="1">ROUND(SUMIF(INDIRECT(Formulas!$B$1),MID(G$1,2,2)&amp;"-"&amp;LEFT($B102,4)&amp;"*-0*",INDIRECT(Formulas!$B$3)),0)</f>
        <v>0</v>
      </c>
      <c r="H102" s="466">
        <f ca="1">ROUND(SUMIF(INDIRECT(Formulas!$B$1),MID(H$1,2,2)&amp;"-"&amp;LEFT($B102,4)&amp;"*-0*",INDIRECT(Formulas!$B$3)),0)</f>
        <v>0</v>
      </c>
      <c r="I102" s="466">
        <f ca="1">ROUND(SUMIF(INDIRECT(Formulas!$B$1),MID(I$1,2,2)&amp;"-"&amp;LEFT($B102,4)&amp;"*-0*",INDIRECT(Formulas!$B$3)),0)</f>
        <v>0</v>
      </c>
      <c r="J102" s="466">
        <f ca="1">ROUND(SUMIF(INDIRECT(Formulas!$B$1),MID(J$1,2,2)&amp;"-"&amp;LEFT($B102,4)&amp;"*-0*",INDIRECT(Formulas!$B$3)),0)</f>
        <v>0</v>
      </c>
      <c r="K102" s="466">
        <f ca="1">ROUND(SUMIF(INDIRECT(Formulas!$B$1),MID(K$1,2,2)&amp;"-"&amp;LEFT($B102,4)&amp;"*-0*",INDIRECT(Formulas!$B$3)),0)</f>
        <v>0</v>
      </c>
    </row>
    <row r="103" spans="1:12" ht="12.75" customHeight="1" x14ac:dyDescent="0.2">
      <c r="A103" s="463" t="s">
        <v>345</v>
      </c>
      <c r="B103" s="470">
        <v>1983</v>
      </c>
      <c r="C103" s="468"/>
      <c r="D103" s="468"/>
      <c r="E103" s="466">
        <f ca="1">ROUND(SUMIF(INDIRECT(Formulas!$B$1),MID(E$1,2,2)&amp;"-"&amp;LEFT($B103,4)&amp;"*-0*",INDIRECT(Formulas!$B$3)),0)</f>
        <v>0</v>
      </c>
      <c r="F103" s="468"/>
      <c r="G103" s="468"/>
      <c r="H103" s="466">
        <f ca="1">ROUND(SUMIF(INDIRECT(Formulas!$B$1),MID(H$1,2,2)&amp;"-"&amp;LEFT($B103,4)&amp;"*-0*",INDIRECT(Formulas!$B$3)),0)</f>
        <v>0</v>
      </c>
      <c r="I103" s="468"/>
      <c r="J103" s="503"/>
      <c r="K103" s="503"/>
    </row>
    <row r="104" spans="1:12" ht="12.75" customHeight="1" x14ac:dyDescent="0.2">
      <c r="A104" s="463" t="s">
        <v>830</v>
      </c>
      <c r="B104" s="470">
        <v>1991</v>
      </c>
      <c r="C104" s="466">
        <f ca="1">ROUND(SUMIF(INDIRECT(Formulas!$B$1),MID(C$1,2,2)&amp;"-"&amp;LEFT($B104,4)&amp;"*-0*",INDIRECT(Formulas!$B$3)),0)</f>
        <v>0</v>
      </c>
      <c r="D104" s="466">
        <f ca="1">ROUND(SUMIF(INDIRECT(Formulas!$B$1),MID(D$1,2,2)&amp;"-"&amp;LEFT($B104,4)&amp;"*-0*",INDIRECT(Formulas!$B$3)),0)</f>
        <v>0</v>
      </c>
      <c r="E104" s="466">
        <f ca="1">ROUND(SUMIF(INDIRECT(Formulas!$B$1),MID(E$1,2,2)&amp;"-"&amp;LEFT($B104,4)&amp;"*-0*",INDIRECT(Formulas!$B$3)),0)</f>
        <v>0</v>
      </c>
      <c r="F104" s="466">
        <f ca="1">ROUND(SUMIF(INDIRECT(Formulas!$B$1),MID(F$1,2,2)&amp;"-"&amp;LEFT($B104,4)&amp;"*-0*",INDIRECT(Formulas!$B$3)),0)</f>
        <v>0</v>
      </c>
      <c r="G104" s="466">
        <f ca="1">ROUND(SUMIF(INDIRECT(Formulas!$B$1),MID(G$1,2,2)&amp;"-"&amp;LEFT($B104,4)&amp;"*-0*",INDIRECT(Formulas!$B$3)),0)</f>
        <v>0</v>
      </c>
      <c r="H104" s="466">
        <f ca="1">ROUND(SUMIF(INDIRECT(Formulas!$B$1),MID(H$1,2,2)&amp;"-"&amp;LEFT($B104,4)&amp;"*-0*",INDIRECT(Formulas!$B$3)),0)</f>
        <v>0</v>
      </c>
      <c r="I104" s="468"/>
      <c r="J104" s="468"/>
      <c r="K104" s="468"/>
    </row>
    <row r="105" spans="1:12" ht="12.75" customHeight="1" x14ac:dyDescent="0.2">
      <c r="A105" s="463" t="s">
        <v>822</v>
      </c>
      <c r="B105" s="470">
        <v>1992</v>
      </c>
      <c r="C105" s="466">
        <f ca="1">ROUND(SUMIF(INDIRECT(Formulas!$B$1),MID(C$1,2,2)&amp;"-"&amp;LEFT($B105,4)&amp;"*-0*",INDIRECT(Formulas!$B$3)),0)</f>
        <v>0</v>
      </c>
      <c r="D105" s="548"/>
      <c r="E105" s="468"/>
      <c r="F105" s="468"/>
      <c r="G105" s="468"/>
      <c r="H105" s="503"/>
      <c r="I105" s="468"/>
      <c r="J105" s="468"/>
      <c r="K105" s="468"/>
    </row>
    <row r="106" spans="1:12" ht="12.75" customHeight="1" x14ac:dyDescent="0.2">
      <c r="A106" s="463" t="s">
        <v>1430</v>
      </c>
      <c r="B106" s="470">
        <v>1993</v>
      </c>
      <c r="C106" s="466">
        <f ca="1">ROUND(SUMIF(INDIRECT(Formulas!$B$1),MID(C$1,2,2)&amp;"-"&amp;LEFT($B106,4)&amp;"*-0*",INDIRECT(Formulas!$B$3)),0)</f>
        <v>0</v>
      </c>
      <c r="D106" s="466">
        <f ca="1">ROUND(SUMIF(INDIRECT(Formulas!$B$1),MID(D$1,2,2)&amp;"-"&amp;LEFT($B106,4)&amp;"*-0*",INDIRECT(Formulas!$B$3)),0)</f>
        <v>0</v>
      </c>
      <c r="E106" s="466">
        <f ca="1">ROUND(SUMIF(INDIRECT(Formulas!$B$1),MID(E$1,2,2)&amp;"-"&amp;LEFT($B106,4)&amp;"*-0*",INDIRECT(Formulas!$B$3)),0)</f>
        <v>0</v>
      </c>
      <c r="F106" s="466">
        <f ca="1">ROUND(SUMIF(INDIRECT(Formulas!$B$1),MID(F$1,2,2)&amp;"-"&amp;LEFT($B106,4)&amp;"*-0*",INDIRECT(Formulas!$B$3)),0)</f>
        <v>0</v>
      </c>
      <c r="G106" s="466">
        <f ca="1">ROUND(SUMIF(INDIRECT(Formulas!$B$1),MID(G$1,2,2)&amp;"-"&amp;LEFT($B106,4)&amp;"*-0*",INDIRECT(Formulas!$B$3)),0)</f>
        <v>0</v>
      </c>
      <c r="H106" s="466">
        <f ca="1">ROUND(SUMIF(INDIRECT(Formulas!$B$1),MID(H$1,2,2)&amp;"-"&amp;LEFT($B106,4)&amp;"*-0*",INDIRECT(Formulas!$B$3)),0)</f>
        <v>0</v>
      </c>
      <c r="I106" s="514"/>
      <c r="J106" s="466">
        <f ca="1">ROUND(SUMIF(INDIRECT(Formulas!$B$1),MID(J$1,2,2)&amp;"-"&amp;LEFT($B106,4)&amp;"*-0*",INDIRECT(Formulas!$B$3)),0)</f>
        <v>0</v>
      </c>
      <c r="K106" s="466">
        <f ca="1">ROUND(SUMIF(INDIRECT(Formulas!$B$1),MID(K$1,2,2)&amp;"-"&amp;LEFT($B106,4)&amp;"*-0*",INDIRECT(Formulas!$B$3)),0)</f>
        <v>0</v>
      </c>
    </row>
    <row r="107" spans="1:12" ht="12.75" customHeight="1" x14ac:dyDescent="0.2">
      <c r="A107" s="463" t="s">
        <v>78</v>
      </c>
      <c r="B107" s="470">
        <v>1999</v>
      </c>
      <c r="C107" s="466">
        <f ca="1">ROUND(SUMIF(INDIRECT(Formulas!$B$1),MID(C$1,2,2)&amp;"-"&amp;LEFT($B107,4)&amp;"*-0*",INDIRECT(Formulas!$B$3)),0)</f>
        <v>3387</v>
      </c>
      <c r="D107" s="466">
        <f ca="1">ROUND(SUMIF(INDIRECT(Formulas!$B$1),MID(D$1,2,2)&amp;"-"&amp;LEFT($B107,4)&amp;"*-0*",INDIRECT(Formulas!$B$3)),0)</f>
        <v>20862</v>
      </c>
      <c r="E107" s="466">
        <f ca="1">ROUND(SUMIF(INDIRECT(Formulas!$B$1),MID(E$1,2,2)&amp;"-"&amp;LEFT($B107,4)&amp;"*-0*",INDIRECT(Formulas!$B$3)),0)</f>
        <v>0</v>
      </c>
      <c r="F107" s="466">
        <f ca="1">ROUND(SUMIF(INDIRECT(Formulas!$B$1),MID(F$1,2,2)&amp;"-"&amp;LEFT($B107,4)&amp;"*-0*",INDIRECT(Formulas!$B$3)),0)</f>
        <v>2167</v>
      </c>
      <c r="G107" s="466">
        <f ca="1">ROUND(SUMIF(INDIRECT(Formulas!$B$1),MID(G$1,2,2)&amp;"-"&amp;LEFT($B107,4)&amp;"*-0*",INDIRECT(Formulas!$B$3)),0)</f>
        <v>0</v>
      </c>
      <c r="H107" s="466">
        <f ca="1">ROUND(SUMIF(INDIRECT(Formulas!$B$1),MID(H$1,2,2)&amp;"-"&amp;LEFT($B107,4)&amp;"*-0*",INDIRECT(Formulas!$B$3)),0)</f>
        <v>0</v>
      </c>
      <c r="I107" s="466">
        <f ca="1">ROUND(SUMIF(INDIRECT(Formulas!$B$1),MID(I$1,2,2)&amp;"-"&amp;LEFT($B107,4)&amp;"*-0*",INDIRECT(Formulas!$B$3)),0)</f>
        <v>0</v>
      </c>
      <c r="J107" s="466">
        <f ca="1">ROUND(SUMIF(INDIRECT(Formulas!$B$1),MID(J$1,2,2)&amp;"-"&amp;LEFT($B107,4)&amp;"*-0*",INDIRECT(Formulas!$B$3)),0)</f>
        <v>56806</v>
      </c>
      <c r="K107" s="466">
        <f ca="1">ROUND(SUMIF(INDIRECT(Formulas!$B$1),MID(K$1,2,2)&amp;"-"&amp;LEFT($B107,4)&amp;"*-0*",INDIRECT(Formulas!$B$3)),0)</f>
        <v>0</v>
      </c>
    </row>
    <row r="108" spans="1:12" ht="12.75" customHeight="1" thickBot="1" x14ac:dyDescent="0.25">
      <c r="A108" s="1678" t="s">
        <v>487</v>
      </c>
      <c r="B108" s="1682"/>
      <c r="C108" s="1677">
        <f ca="1">SUM(C95:C107)</f>
        <v>135428</v>
      </c>
      <c r="D108" s="1677">
        <f t="shared" ref="D108:K108" ca="1" si="3">SUM(D95:D107)</f>
        <v>22032</v>
      </c>
      <c r="E108" s="1677">
        <f t="shared" ca="1" si="3"/>
        <v>33</v>
      </c>
      <c r="F108" s="1677">
        <f t="shared" ca="1" si="3"/>
        <v>5956</v>
      </c>
      <c r="G108" s="1677">
        <f t="shared" ca="1" si="3"/>
        <v>0</v>
      </c>
      <c r="H108" s="1677">
        <f t="shared" ca="1" si="3"/>
        <v>0</v>
      </c>
      <c r="I108" s="1677">
        <f t="shared" ca="1" si="3"/>
        <v>0</v>
      </c>
      <c r="J108" s="1677">
        <f t="shared" ca="1" si="3"/>
        <v>56806</v>
      </c>
      <c r="K108" s="1658">
        <f t="shared" ca="1" si="3"/>
        <v>0</v>
      </c>
    </row>
    <row r="109" spans="1:12" ht="14.25" thickTop="1" thickBot="1" x14ac:dyDescent="0.25">
      <c r="A109" s="1683" t="s">
        <v>248</v>
      </c>
      <c r="B109" s="1684" t="s">
        <v>570</v>
      </c>
      <c r="C109" s="1685">
        <f t="shared" ref="C109:K109" ca="1" si="4">SUM(C12,C18,C40,C63,C67,C75,C82,C93,C108,)</f>
        <v>8329337</v>
      </c>
      <c r="D109" s="1685">
        <f t="shared" ca="1" si="4"/>
        <v>1010637</v>
      </c>
      <c r="E109" s="1685">
        <f t="shared" ca="1" si="4"/>
        <v>2999684</v>
      </c>
      <c r="F109" s="1685">
        <f t="shared" ca="1" si="4"/>
        <v>1226748</v>
      </c>
      <c r="G109" s="1685">
        <f t="shared" ca="1" si="4"/>
        <v>919956</v>
      </c>
      <c r="H109" s="1685">
        <f t="shared" ca="1" si="4"/>
        <v>0</v>
      </c>
      <c r="I109" s="1685">
        <f t="shared" ca="1" si="4"/>
        <v>267385</v>
      </c>
      <c r="J109" s="1685">
        <f t="shared" ca="1" si="4"/>
        <v>554361</v>
      </c>
      <c r="K109" s="1672">
        <f t="shared" ca="1" si="4"/>
        <v>10433</v>
      </c>
    </row>
    <row r="110" spans="1:12" ht="30" customHeight="1" thickTop="1" x14ac:dyDescent="0.2">
      <c r="A110" s="1555" t="s">
        <v>346</v>
      </c>
      <c r="B110" s="1556"/>
      <c r="C110" s="1541"/>
      <c r="D110" s="1541"/>
      <c r="E110" s="1541"/>
      <c r="F110" s="1541"/>
      <c r="G110" s="1541"/>
      <c r="H110" s="1541"/>
      <c r="I110" s="1541"/>
      <c r="J110" s="1541"/>
      <c r="K110" s="1542"/>
    </row>
    <row r="111" spans="1:12" ht="12.75" customHeight="1" x14ac:dyDescent="0.2">
      <c r="A111" s="486" t="s">
        <v>823</v>
      </c>
      <c r="B111" s="485">
        <v>2100</v>
      </c>
      <c r="C111" s="466">
        <f ca="1">ROUND(SUMIF(INDIRECT(Formulas!$B$1),MID(C$1,2,2)&amp;"-"&amp;LEFT($B111,3)&amp;"*-0*",INDIRECT(Formulas!$B$3)),0)</f>
        <v>0</v>
      </c>
      <c r="D111" s="466">
        <f ca="1">ROUND(SUMIF(INDIRECT(Formulas!$B$1),MID(D$1,2,2)&amp;"-"&amp;LEFT($B111,3)&amp;"*-0*",INDIRECT(Formulas!$B$3)),0)</f>
        <v>0</v>
      </c>
      <c r="E111" s="548"/>
      <c r="F111" s="466">
        <f ca="1">ROUND(SUMIF(INDIRECT(Formulas!$B$1),MID(F$1,2,2)&amp;"-"&amp;LEFT($B111,3)&amp;"*-0*",INDIRECT(Formulas!$B$3)),0)</f>
        <v>0</v>
      </c>
      <c r="G111" s="466">
        <f ca="1">ROUND(SUMIF(INDIRECT(Formulas!$B$1),MID(G$1,2,2)&amp;"-"&amp;LEFT($B111,3)&amp;"*-0*",INDIRECT(Formulas!$B$3)),0)</f>
        <v>0</v>
      </c>
      <c r="H111" s="548"/>
      <c r="I111" s="468"/>
      <c r="J111" s="468"/>
      <c r="K111" s="468"/>
    </row>
    <row r="112" spans="1:12" ht="12.75" customHeight="1" x14ac:dyDescent="0.2">
      <c r="A112" s="463" t="s">
        <v>824</v>
      </c>
      <c r="B112" s="470">
        <v>2200</v>
      </c>
      <c r="C112" s="466">
        <f ca="1">ROUND(SUMIF(INDIRECT(Formulas!$B$1),MID(C$1,2,2)&amp;"-"&amp;LEFT($B112,3)&amp;"*-0*",INDIRECT(Formulas!$B$3)),0)</f>
        <v>0</v>
      </c>
      <c r="D112" s="466">
        <f ca="1">ROUND(SUMIF(INDIRECT(Formulas!$B$1),MID(D$1,2,2)&amp;"-"&amp;LEFT($B112,3)&amp;"*-0*",INDIRECT(Formulas!$B$3)),0)</f>
        <v>0</v>
      </c>
      <c r="E112" s="548"/>
      <c r="F112" s="466">
        <f ca="1">ROUND(SUMIF(INDIRECT(Formulas!$B$1),MID(F$1,2,2)&amp;"-"&amp;LEFT($B112,3)&amp;"*-0*",INDIRECT(Formulas!$B$3)),0)</f>
        <v>0</v>
      </c>
      <c r="G112" s="466">
        <f ca="1">ROUND(SUMIF(INDIRECT(Formulas!$B$1),MID(G$1,2,2)&amp;"-"&amp;LEFT($B112,3)&amp;"*-0*",INDIRECT(Formulas!$B$3)),0)</f>
        <v>0</v>
      </c>
      <c r="H112" s="548"/>
      <c r="I112" s="468"/>
      <c r="J112" s="468"/>
      <c r="K112" s="468"/>
      <c r="L112" s="540"/>
    </row>
    <row r="113" spans="1:11" ht="12.75" customHeight="1" x14ac:dyDescent="0.2">
      <c r="A113" s="463" t="s">
        <v>28</v>
      </c>
      <c r="B113" s="470">
        <v>2300</v>
      </c>
      <c r="C113" s="466">
        <f ca="1">ROUND(SUMIF(INDIRECT(Formulas!$B$1),MID(C$1,2,2)&amp;"-"&amp;LEFT($B113,3)&amp;"*-0*",INDIRECT(Formulas!$B$3)),0)</f>
        <v>0</v>
      </c>
      <c r="D113" s="466">
        <f ca="1">ROUND(SUMIF(INDIRECT(Formulas!$B$1),MID(D$1,2,2)&amp;"-"&amp;LEFT($B113,3)&amp;"*-0*",INDIRECT(Formulas!$B$3)),0)</f>
        <v>0</v>
      </c>
      <c r="E113" s="548"/>
      <c r="F113" s="466">
        <f ca="1">ROUND(SUMIF(INDIRECT(Formulas!$B$1),MID(F$1,2,2)&amp;"-"&amp;LEFT($B113,3)&amp;"*-0*",INDIRECT(Formulas!$B$3)),0)</f>
        <v>0</v>
      </c>
      <c r="G113" s="466">
        <f ca="1">ROUND(SUMIF(INDIRECT(Formulas!$B$1),MID(G$1,2,2)&amp;"-"&amp;LEFT($B113,3)&amp;"*-0*",INDIRECT(Formulas!$B$3)),0)</f>
        <v>0</v>
      </c>
      <c r="H113" s="548"/>
      <c r="I113" s="468"/>
      <c r="J113" s="468"/>
      <c r="K113" s="468"/>
    </row>
    <row r="114" spans="1:11" ht="13.5" thickBot="1" x14ac:dyDescent="0.25">
      <c r="A114" s="1686" t="s">
        <v>806</v>
      </c>
      <c r="B114" s="1687" t="s">
        <v>569</v>
      </c>
      <c r="C114" s="1688">
        <f ca="1">SUM(C111:C113)</f>
        <v>0</v>
      </c>
      <c r="D114" s="1688">
        <f ca="1">SUM(D111:D113)</f>
        <v>0</v>
      </c>
      <c r="E114" s="548" t="s">
        <v>1169</v>
      </c>
      <c r="F114" s="1688">
        <f ca="1">SUM(F111:F113)</f>
        <v>0</v>
      </c>
      <c r="G114" s="1688">
        <f ca="1">SUM(G111:G113)</f>
        <v>0</v>
      </c>
      <c r="H114" s="548"/>
      <c r="I114" s="468"/>
      <c r="J114" s="468"/>
      <c r="K114" s="468"/>
    </row>
    <row r="115" spans="1:11" ht="16.7" customHeight="1" thickTop="1" x14ac:dyDescent="0.2">
      <c r="A115" s="1557" t="s">
        <v>803</v>
      </c>
      <c r="B115" s="1558"/>
      <c r="C115" s="1540"/>
      <c r="D115" s="1541"/>
      <c r="E115" s="1541"/>
      <c r="F115" s="1541"/>
      <c r="G115" s="1541"/>
      <c r="H115" s="1541"/>
      <c r="I115" s="1541"/>
      <c r="J115" s="1541"/>
      <c r="K115" s="1542"/>
    </row>
    <row r="116" spans="1:11" ht="18" customHeight="1" x14ac:dyDescent="0.2">
      <c r="A116" s="1565" t="s">
        <v>1491</v>
      </c>
      <c r="B116" s="1566"/>
      <c r="C116" s="515"/>
      <c r="D116" s="514"/>
      <c r="E116" s="548"/>
      <c r="F116" s="514"/>
      <c r="G116" s="514"/>
      <c r="H116" s="548"/>
      <c r="I116" s="468"/>
      <c r="J116" s="514"/>
      <c r="K116" s="514"/>
    </row>
    <row r="117" spans="1:11" ht="12.75" customHeight="1" x14ac:dyDescent="0.2">
      <c r="A117" s="463" t="s">
        <v>1667</v>
      </c>
      <c r="B117" s="549">
        <v>3001</v>
      </c>
      <c r="C117" s="466">
        <f ca="1">ROUND(SUMIF(INDIRECT(Formulas!$B$1),MID(C$1,2,2)&amp;"-"&amp;LEFT($B117,4)&amp;"*-0*",INDIRECT(Formulas!$B$3)),0)</f>
        <v>6452076</v>
      </c>
      <c r="D117" s="466">
        <f ca="1">ROUND(SUMIF(INDIRECT(Formulas!$B$1),MID(D$1,2,2)&amp;"-"&amp;LEFT($B117,4)&amp;"*-0*",INDIRECT(Formulas!$B$3)),0)</f>
        <v>0</v>
      </c>
      <c r="E117" s="466">
        <f ca="1">ROUND(SUMIF(INDIRECT(Formulas!$B$1),MID(E$1,2,2)&amp;"-"&amp;LEFT($B117,4)&amp;"*-0*",INDIRECT(Formulas!$B$3)),0)</f>
        <v>0</v>
      </c>
      <c r="F117" s="466">
        <f ca="1">ROUND(SUMIF(INDIRECT(Formulas!$B$1),MID(F$1,2,2)&amp;"-"&amp;LEFT($B117,4)&amp;"*-0*",INDIRECT(Formulas!$B$3)),0)</f>
        <v>0</v>
      </c>
      <c r="G117" s="466">
        <f ca="1">ROUND(SUMIF(INDIRECT(Formulas!$B$1),MID(G$1,2,2)&amp;"-"&amp;LEFT($B117,4)&amp;"*-0*",INDIRECT(Formulas!$B$3)),0)</f>
        <v>0</v>
      </c>
      <c r="H117" s="466">
        <f ca="1">ROUND(SUMIF(INDIRECT(Formulas!$B$1),MID(H$1,2,2)&amp;"-"&amp;LEFT($B117,4)&amp;"*-0*",INDIRECT(Formulas!$B$3)),0)</f>
        <v>0</v>
      </c>
      <c r="I117" s="468"/>
      <c r="J117" s="466">
        <f ca="1">ROUND(SUMIF(INDIRECT(Formulas!$B$1),MID(J$1,2,2)&amp;"-"&amp;LEFT($B117,4)&amp;"*-0*",INDIRECT(Formulas!$B$3)),0)</f>
        <v>0</v>
      </c>
      <c r="K117" s="466">
        <f ca="1">ROUND(SUMIF(INDIRECT(Formulas!$B$1),MID(K$1,2,2)&amp;"-"&amp;LEFT($B117,4)&amp;"*-0*",INDIRECT(Formulas!$B$3)),0)</f>
        <v>0</v>
      </c>
    </row>
    <row r="118" spans="1:11" ht="12.75" customHeight="1" x14ac:dyDescent="0.2">
      <c r="A118" s="463" t="s">
        <v>1796</v>
      </c>
      <c r="B118" s="549">
        <v>3002</v>
      </c>
      <c r="C118" s="466">
        <f ca="1">ROUND(SUMIF(INDIRECT(Formulas!$B$1),MID(C$1,2,2)&amp;"-"&amp;LEFT($B118,4)&amp;"*-0*",INDIRECT(Formulas!$B$3)),0)</f>
        <v>0</v>
      </c>
      <c r="D118" s="466">
        <f ca="1">ROUND(SUMIF(INDIRECT(Formulas!$B$1),MID(D$1,2,2)&amp;"-"&amp;LEFT($B118,4)&amp;"*-0*",INDIRECT(Formulas!$B$3)),0)</f>
        <v>0</v>
      </c>
      <c r="E118" s="466">
        <f ca="1">ROUND(SUMIF(INDIRECT(Formulas!$B$1),MID(E$1,2,2)&amp;"-"&amp;LEFT($B118,4)&amp;"*-0*",INDIRECT(Formulas!$B$3)),0)</f>
        <v>0</v>
      </c>
      <c r="F118" s="466">
        <f ca="1">ROUND(SUMIF(INDIRECT(Formulas!$B$1),MID(F$1,2,2)&amp;"-"&amp;LEFT($B118,4)&amp;"*-0*",INDIRECT(Formulas!$B$3)),0)</f>
        <v>0</v>
      </c>
      <c r="G118" s="466">
        <f ca="1">ROUND(SUMIF(INDIRECT(Formulas!$B$1),MID(G$1,2,2)&amp;"-"&amp;LEFT($B118,4)&amp;"*-0*",INDIRECT(Formulas!$B$3)),0)</f>
        <v>0</v>
      </c>
      <c r="H118" s="466">
        <f ca="1">ROUND(SUMIF(INDIRECT(Formulas!$B$1),MID(H$1,2,2)&amp;"-"&amp;LEFT($B118,4)&amp;"*-0*",INDIRECT(Formulas!$B$3)),0)</f>
        <v>0</v>
      </c>
      <c r="I118" s="468"/>
      <c r="J118" s="466">
        <f ca="1">ROUND(SUMIF(INDIRECT(Formulas!$B$1),MID(J$1,2,2)&amp;"-"&amp;LEFT($B118,4)&amp;"*-0*",INDIRECT(Formulas!$B$3)),0)</f>
        <v>0</v>
      </c>
      <c r="K118" s="466">
        <f ca="1">ROUND(SUMIF(INDIRECT(Formulas!$B$1),MID(K$1,2,2)&amp;"-"&amp;LEFT($B118,4)&amp;"*-0*",INDIRECT(Formulas!$B$3)),0)</f>
        <v>0</v>
      </c>
    </row>
    <row r="119" spans="1:11" ht="12.75" customHeight="1" x14ac:dyDescent="0.2">
      <c r="A119" s="463" t="s">
        <v>1797</v>
      </c>
      <c r="B119" s="549">
        <v>3005</v>
      </c>
      <c r="C119" s="466">
        <f ca="1">ROUND(SUMIF(INDIRECT(Formulas!$B$1),MID(C$1,2,2)&amp;"-"&amp;LEFT($B119,4)&amp;"*-0*",INDIRECT(Formulas!$B$3)),0)</f>
        <v>0</v>
      </c>
      <c r="D119" s="466">
        <f ca="1">ROUND(SUMIF(INDIRECT(Formulas!$B$1),MID(D$1,2,2)&amp;"-"&amp;LEFT($B119,4)&amp;"*-0*",INDIRECT(Formulas!$B$3)),0)</f>
        <v>0</v>
      </c>
      <c r="E119" s="466">
        <f ca="1">ROUND(SUMIF(INDIRECT(Formulas!$B$1),MID(E$1,2,2)&amp;"-"&amp;LEFT($B119,4)&amp;"*-0*",INDIRECT(Formulas!$B$3)),0)</f>
        <v>0</v>
      </c>
      <c r="F119" s="466">
        <f ca="1">ROUND(SUMIF(INDIRECT(Formulas!$B$1),MID(F$1,2,2)&amp;"-"&amp;LEFT($B119,4)&amp;"*-0*",INDIRECT(Formulas!$B$3)),0)</f>
        <v>0</v>
      </c>
      <c r="G119" s="466">
        <f ca="1">ROUND(SUMIF(INDIRECT(Formulas!$B$1),MID(G$1,2,2)&amp;"-"&amp;LEFT($B119,4)&amp;"*-0*",INDIRECT(Formulas!$B$3)),0)</f>
        <v>0</v>
      </c>
      <c r="H119" s="466">
        <f ca="1">ROUND(SUMIF(INDIRECT(Formulas!$B$1),MID(H$1,2,2)&amp;"-"&amp;LEFT($B119,4)&amp;"*-0*",INDIRECT(Formulas!$B$3)),0)</f>
        <v>0</v>
      </c>
      <c r="I119" s="468"/>
      <c r="J119" s="466">
        <f ca="1">ROUND(SUMIF(INDIRECT(Formulas!$B$1),MID(J$1,2,2)&amp;"-"&amp;LEFT($B119,4)&amp;"*-0*",INDIRECT(Formulas!$B$3)),0)</f>
        <v>0</v>
      </c>
      <c r="K119" s="466">
        <f ca="1">ROUND(SUMIF(INDIRECT(Formulas!$B$1),MID(K$1,2,2)&amp;"-"&amp;LEFT($B119,4)&amp;"*-0*",INDIRECT(Formulas!$B$3)),0)</f>
        <v>0</v>
      </c>
    </row>
    <row r="120" spans="1:11" ht="12.75" customHeight="1" x14ac:dyDescent="0.2">
      <c r="A120" s="1896" t="s">
        <v>1933</v>
      </c>
      <c r="B120" s="549">
        <v>3030</v>
      </c>
      <c r="C120" s="466">
        <f ca="1">ROUND(SUMIF(INDIRECT(Formulas!$B$1),MID(C$1,2,2)&amp;"-"&amp;LEFT($B120,4)&amp;"*-0*",INDIRECT(Formulas!$B$3)),0)</f>
        <v>0</v>
      </c>
      <c r="D120" s="466">
        <f ca="1">ROUND(SUMIF(INDIRECT(Formulas!$B$1),MID(D$1,2,2)&amp;"-"&amp;LEFT($B120,4)&amp;"*-0*",INDIRECT(Formulas!$B$3)),0)</f>
        <v>0</v>
      </c>
      <c r="E120" s="466">
        <f ca="1">ROUND(SUMIF(INDIRECT(Formulas!$B$1),MID(E$1,2,2)&amp;"-"&amp;LEFT($B120,4)&amp;"*-0*",INDIRECT(Formulas!$B$3)),0)</f>
        <v>0</v>
      </c>
      <c r="F120" s="466">
        <f ca="1">ROUND(SUMIF(INDIRECT(Formulas!$B$1),MID(F$1,2,2)&amp;"-"&amp;LEFT($B120,4)&amp;"*-0*",INDIRECT(Formulas!$B$3)),0)</f>
        <v>0</v>
      </c>
      <c r="G120" s="466">
        <f ca="1">ROUND(SUMIF(INDIRECT(Formulas!$B$1),MID(G$1,2,2)&amp;"-"&amp;LEFT($B120,4)&amp;"*-0*",INDIRECT(Formulas!$B$3)),0)</f>
        <v>0</v>
      </c>
      <c r="H120" s="466">
        <f ca="1">ROUND(SUMIF(INDIRECT(Formulas!$B$1),MID(H$1,2,2)&amp;"-"&amp;LEFT($B120,4)&amp;"*-0*",INDIRECT(Formulas!$B$3)),0)</f>
        <v>0</v>
      </c>
      <c r="I120" s="468"/>
      <c r="J120" s="466">
        <f ca="1">ROUND(SUMIF(INDIRECT(Formulas!$B$1),MID(J$1,2,2)&amp;"-"&amp;LEFT($B120,4)&amp;"*-0*",INDIRECT(Formulas!$B$3)),0)</f>
        <v>0</v>
      </c>
      <c r="K120" s="466">
        <f ca="1">ROUND(SUMIF(INDIRECT(Formulas!$B$1),MID(K$1,2,2)&amp;"-"&amp;LEFT($B120,4)&amp;"*-0*",INDIRECT(Formulas!$B$3)),0)</f>
        <v>0</v>
      </c>
    </row>
    <row r="121" spans="1:11" x14ac:dyDescent="0.2">
      <c r="A121" s="1466" t="s">
        <v>1798</v>
      </c>
      <c r="B121" s="551">
        <v>3099</v>
      </c>
      <c r="C121" s="466">
        <f ca="1">ROUND(SUMIF(INDIRECT(Formulas!$B$1),MID(C$1,2,2)&amp;"-"&amp;LEFT($B121,4)&amp;"*-0*",INDIRECT(Formulas!$B$3)),0)</f>
        <v>0</v>
      </c>
      <c r="D121" s="466">
        <f ca="1">ROUND(SUMIF(INDIRECT(Formulas!$B$1),MID(D$1,2,2)&amp;"-"&amp;LEFT($B121,4)&amp;"*-0*",INDIRECT(Formulas!$B$3)),0)</f>
        <v>0</v>
      </c>
      <c r="E121" s="466">
        <f ca="1">ROUND(SUMIF(INDIRECT(Formulas!$B$1),MID(E$1,2,2)&amp;"-"&amp;LEFT($B121,4)&amp;"*-0*",INDIRECT(Formulas!$B$3)),0)</f>
        <v>0</v>
      </c>
      <c r="F121" s="466">
        <f ca="1">ROUND(SUMIF(INDIRECT(Formulas!$B$1),MID(F$1,2,2)&amp;"-"&amp;LEFT($B121,4)&amp;"*-0*",INDIRECT(Formulas!$B$3)),0)</f>
        <v>0</v>
      </c>
      <c r="G121" s="466">
        <f ca="1">ROUND(SUMIF(INDIRECT(Formulas!$B$1),MID(G$1,2,2)&amp;"-"&amp;LEFT($B121,4)&amp;"*-0*",INDIRECT(Formulas!$B$3)),0)</f>
        <v>0</v>
      </c>
      <c r="H121" s="466">
        <f ca="1">ROUND(SUMIF(INDIRECT(Formulas!$B$1),MID(H$1,2,2)&amp;"-"&amp;LEFT($B121,4)&amp;"*-0*",INDIRECT(Formulas!$B$3)),0)</f>
        <v>0</v>
      </c>
      <c r="I121" s="468"/>
      <c r="J121" s="466">
        <f ca="1">ROUND(SUMIF(INDIRECT(Formulas!$B$1),MID(J$1,2,2)&amp;"-"&amp;LEFT($B121,4)&amp;"*-0*",INDIRECT(Formulas!$B$3)),0)</f>
        <v>0</v>
      </c>
      <c r="K121" s="466">
        <f ca="1">ROUND(SUMIF(INDIRECT(Formulas!$B$1),MID(K$1,2,2)&amp;"-"&amp;LEFT($B121,4)&amp;"*-0*",INDIRECT(Formulas!$B$3)),0)</f>
        <v>0</v>
      </c>
    </row>
    <row r="122" spans="1:11" ht="12.6" customHeight="1" thickBot="1" x14ac:dyDescent="0.25">
      <c r="A122" s="1678" t="s">
        <v>488</v>
      </c>
      <c r="B122" s="1689"/>
      <c r="C122" s="1677">
        <f t="shared" ref="C122:H122" ca="1" si="5">SUM(C117:C121)</f>
        <v>6452076</v>
      </c>
      <c r="D122" s="1677">
        <f t="shared" ca="1" si="5"/>
        <v>0</v>
      </c>
      <c r="E122" s="1677">
        <f t="shared" ca="1" si="5"/>
        <v>0</v>
      </c>
      <c r="F122" s="1677">
        <f t="shared" ca="1" si="5"/>
        <v>0</v>
      </c>
      <c r="G122" s="1677">
        <f t="shared" ca="1" si="5"/>
        <v>0</v>
      </c>
      <c r="H122" s="1677">
        <f t="shared" ca="1" si="5"/>
        <v>0</v>
      </c>
      <c r="I122" s="468"/>
      <c r="J122" s="1677">
        <f ca="1">SUM(J117:J121)</f>
        <v>0</v>
      </c>
      <c r="K122" s="1658">
        <f ca="1">SUM(K117:K121)</f>
        <v>0</v>
      </c>
    </row>
    <row r="123" spans="1:11" ht="15.75" customHeight="1" thickTop="1" x14ac:dyDescent="0.2">
      <c r="A123" s="1562" t="s">
        <v>1490</v>
      </c>
      <c r="B123" s="1567"/>
      <c r="C123" s="552"/>
      <c r="D123" s="502"/>
      <c r="E123" s="468"/>
      <c r="F123" s="553"/>
      <c r="G123" s="468"/>
      <c r="H123" s="468"/>
      <c r="I123" s="468"/>
      <c r="J123" s="468"/>
      <c r="K123" s="468"/>
    </row>
    <row r="124" spans="1:11" ht="15" customHeight="1" x14ac:dyDescent="0.2">
      <c r="A124" s="1568" t="s">
        <v>667</v>
      </c>
      <c r="B124" s="1569"/>
      <c r="C124" s="514"/>
      <c r="D124" s="502"/>
      <c r="E124" s="468"/>
      <c r="F124" s="514"/>
      <c r="G124" s="468"/>
      <c r="H124" s="468"/>
      <c r="I124" s="468"/>
      <c r="J124" s="468"/>
      <c r="K124" s="468"/>
    </row>
    <row r="125" spans="1:11" ht="12.75" customHeight="1" x14ac:dyDescent="0.2">
      <c r="A125" s="463" t="s">
        <v>866</v>
      </c>
      <c r="B125" s="554">
        <v>3100</v>
      </c>
      <c r="C125" s="466">
        <f ca="1">ROUND(SUMIF(INDIRECT(Formulas!$B$1),MID(C$1,2,2)&amp;"-"&amp;LEFT($B125,4)&amp;"*-0*",INDIRECT(Formulas!$B$3)),0)</f>
        <v>166879</v>
      </c>
      <c r="D125" s="548"/>
      <c r="E125" s="468"/>
      <c r="F125" s="466">
        <f ca="1">ROUND(SUMIF(INDIRECT(Formulas!$B$1),MID(F$1,2,2)&amp;"-"&amp;LEFT($B125,4)&amp;"*-0*",INDIRECT(Formulas!$B$3)),0)</f>
        <v>0</v>
      </c>
      <c r="G125" s="468"/>
      <c r="H125" s="468"/>
      <c r="I125" s="468"/>
      <c r="J125" s="468"/>
      <c r="K125" s="468"/>
    </row>
    <row r="126" spans="1:11" ht="12.75" customHeight="1" x14ac:dyDescent="0.2">
      <c r="A126" s="463" t="s">
        <v>1446</v>
      </c>
      <c r="B126" s="549">
        <v>3105</v>
      </c>
      <c r="C126" s="466">
        <f ca="1">ROUND(SUMIF(INDIRECT(Formulas!$B$1),MID(C$1,2,2)&amp;"-"&amp;LEFT($B126,4)&amp;"*-0*",INDIRECT(Formulas!$B$3)),0)</f>
        <v>0</v>
      </c>
      <c r="D126" s="548"/>
      <c r="E126" s="468"/>
      <c r="F126" s="466">
        <f ca="1">ROUND(SUMIF(INDIRECT(Formulas!$B$1),MID(F$1,2,2)&amp;"-"&amp;LEFT($B126,4)&amp;"*-0*",INDIRECT(Formulas!$B$3)),0)</f>
        <v>0</v>
      </c>
      <c r="G126" s="468"/>
      <c r="H126" s="468"/>
      <c r="I126" s="468"/>
      <c r="J126" s="468"/>
      <c r="K126" s="468"/>
    </row>
    <row r="127" spans="1:11" ht="12.75" customHeight="1" x14ac:dyDescent="0.2">
      <c r="A127" s="463" t="s">
        <v>867</v>
      </c>
      <c r="B127" s="549">
        <v>3110</v>
      </c>
      <c r="C127" s="466">
        <f ca="1">ROUND(SUMIF(INDIRECT(Formulas!$B$1),MID(C$1,2,2)&amp;"-"&amp;LEFT($B127,4)&amp;"*-0*",INDIRECT(Formulas!$B$3)),0)</f>
        <v>0</v>
      </c>
      <c r="D127" s="466">
        <f ca="1">ROUND(SUMIF(INDIRECT(Formulas!$B$1),MID(D$1,2,2)&amp;"-"&amp;LEFT($B127,4)&amp;"*-0*",INDIRECT(Formulas!$B$3)),0)</f>
        <v>0</v>
      </c>
      <c r="E127" s="468"/>
      <c r="F127" s="466">
        <f ca="1">ROUND(SUMIF(INDIRECT(Formulas!$B$1),MID(F$1,2,2)&amp;"-"&amp;LEFT($B127,4)&amp;"*-0*",INDIRECT(Formulas!$B$3)),0)</f>
        <v>0</v>
      </c>
      <c r="G127" s="468"/>
      <c r="H127" s="468"/>
      <c r="I127" s="468"/>
      <c r="J127" s="468"/>
      <c r="K127" s="468"/>
    </row>
    <row r="128" spans="1:11" ht="12.75" customHeight="1" x14ac:dyDescent="0.2">
      <c r="A128" s="463" t="s">
        <v>105</v>
      </c>
      <c r="B128" s="549">
        <v>3120</v>
      </c>
      <c r="C128" s="466">
        <f ca="1">ROUND(SUMIF(INDIRECT(Formulas!$B$1),MID(C$1,2,2)&amp;"-"&amp;LEFT($B128,4)&amp;"*-0*",INDIRECT(Formulas!$B$3)),0)</f>
        <v>0</v>
      </c>
      <c r="D128" s="548"/>
      <c r="E128" s="468"/>
      <c r="F128" s="466">
        <f ca="1">ROUND(SUMIF(INDIRECT(Formulas!$B$1),MID(F$1,2,2)&amp;"-"&amp;LEFT($B128,4)&amp;"*-0*",INDIRECT(Formulas!$B$3)),0)</f>
        <v>0</v>
      </c>
      <c r="G128" s="468"/>
      <c r="H128" s="468"/>
      <c r="I128" s="468"/>
      <c r="J128" s="468"/>
      <c r="K128" s="468"/>
    </row>
    <row r="129" spans="1:11" ht="12.75" customHeight="1" x14ac:dyDescent="0.2">
      <c r="A129" s="463" t="s">
        <v>1447</v>
      </c>
      <c r="B129" s="549">
        <v>3130</v>
      </c>
      <c r="C129" s="466">
        <f ca="1">ROUND(SUMIF(INDIRECT(Formulas!$B$1),MID(C$1,2,2)&amp;"-"&amp;LEFT($B129,4)&amp;"*-0*",INDIRECT(Formulas!$B$3)),0)</f>
        <v>0</v>
      </c>
      <c r="D129" s="548"/>
      <c r="E129" s="468"/>
      <c r="F129" s="466">
        <f ca="1">ROUND(SUMIF(INDIRECT(Formulas!$B$1),MID(F$1,2,2)&amp;"-"&amp;LEFT($B129,4)&amp;"*-0*",INDIRECT(Formulas!$B$3)),0)</f>
        <v>0</v>
      </c>
      <c r="G129" s="468"/>
      <c r="H129" s="468"/>
      <c r="I129" s="468"/>
      <c r="J129" s="468"/>
      <c r="K129" s="468"/>
    </row>
    <row r="130" spans="1:11" ht="12.75" customHeight="1" x14ac:dyDescent="0.2">
      <c r="A130" s="463" t="s">
        <v>137</v>
      </c>
      <c r="B130" s="549">
        <v>3145</v>
      </c>
      <c r="C130" s="466">
        <f ca="1">ROUND(SUMIF(INDIRECT(Formulas!$B$1),MID(C$1,2,2)&amp;"-"&amp;LEFT($B130,4)&amp;"*-0*",INDIRECT(Formulas!$B$3)),0)</f>
        <v>0</v>
      </c>
      <c r="D130" s="548"/>
      <c r="E130" s="468"/>
      <c r="F130" s="466">
        <f ca="1">ROUND(SUMIF(INDIRECT(Formulas!$B$1),MID(F$1,2,2)&amp;"-"&amp;LEFT($B130,4)&amp;"*-0*",INDIRECT(Formulas!$B$3)),0)</f>
        <v>0</v>
      </c>
      <c r="G130" s="468"/>
      <c r="H130" s="468"/>
      <c r="I130" s="468"/>
      <c r="J130" s="468"/>
      <c r="K130" s="468"/>
    </row>
    <row r="131" spans="1:11" ht="12.75" customHeight="1" x14ac:dyDescent="0.2">
      <c r="A131" s="463" t="s">
        <v>66</v>
      </c>
      <c r="B131" s="549">
        <v>3199</v>
      </c>
      <c r="C131" s="466">
        <f ca="1">ROUND(SUMIF(INDIRECT(Formulas!$B$1),MID(C$1,2,2)&amp;"-"&amp;LEFT($B131,4)&amp;"*-0*",INDIRECT(Formulas!$B$3)),0)</f>
        <v>0</v>
      </c>
      <c r="D131" s="466">
        <f ca="1">ROUND(SUMIF(INDIRECT(Formulas!$B$1),MID(D$1,2,2)&amp;"-"&amp;LEFT($B131,4)&amp;"*-0*",INDIRECT(Formulas!$B$3)),0)</f>
        <v>0</v>
      </c>
      <c r="E131" s="468"/>
      <c r="F131" s="466">
        <f ca="1">ROUND(SUMIF(INDIRECT(Formulas!$B$1),MID(F$1,2,2)&amp;"-"&amp;LEFT($B131,4)&amp;"*-0*",INDIRECT(Formulas!$B$3)),0)</f>
        <v>0</v>
      </c>
      <c r="G131" s="468"/>
      <c r="H131" s="468"/>
      <c r="I131" s="468"/>
      <c r="J131" s="468"/>
      <c r="K131" s="468"/>
    </row>
    <row r="132" spans="1:11" ht="12.75" customHeight="1" thickBot="1" x14ac:dyDescent="0.25">
      <c r="A132" s="1678" t="s">
        <v>1032</v>
      </c>
      <c r="B132" s="1690"/>
      <c r="C132" s="1677">
        <f ca="1">SUM(C125:C131)</f>
        <v>166879</v>
      </c>
      <c r="D132" s="1677">
        <f ca="1">SUM(D125:D131)</f>
        <v>0</v>
      </c>
      <c r="E132" s="469" t="s">
        <v>1169</v>
      </c>
      <c r="F132" s="1677">
        <f ca="1">SUM(F125:F131)</f>
        <v>0</v>
      </c>
      <c r="G132" s="468" t="s">
        <v>1169</v>
      </c>
      <c r="H132" s="468" t="s">
        <v>1169</v>
      </c>
      <c r="I132" s="468" t="s">
        <v>1169</v>
      </c>
      <c r="J132" s="468" t="s">
        <v>1169</v>
      </c>
      <c r="K132" s="468" t="s">
        <v>1169</v>
      </c>
    </row>
    <row r="133" spans="1:11" ht="15.75" customHeight="1" thickTop="1" x14ac:dyDescent="0.2">
      <c r="A133" s="1570" t="s">
        <v>250</v>
      </c>
      <c r="B133" s="1571"/>
      <c r="C133" s="541"/>
      <c r="D133" s="541"/>
      <c r="E133" s="502"/>
      <c r="F133" s="541"/>
      <c r="G133" s="468"/>
      <c r="H133" s="468"/>
      <c r="I133" s="468"/>
      <c r="J133" s="468"/>
      <c r="K133" s="468"/>
    </row>
    <row r="134" spans="1:11" x14ac:dyDescent="0.2">
      <c r="A134" s="463" t="s">
        <v>599</v>
      </c>
      <c r="B134" s="549">
        <v>3200</v>
      </c>
      <c r="C134" s="466">
        <f ca="1">ROUND(SUMIF(INDIRECT(Formulas!$B$1),MID(C$1,2,2)&amp;"-"&amp;LEFT($B134,4)&amp;"*-0*",INDIRECT(Formulas!$B$3)),0)</f>
        <v>0</v>
      </c>
      <c r="D134" s="466">
        <f ca="1">ROUND(SUMIF(INDIRECT(Formulas!$B$1),MID(D$1,2,2)&amp;"-"&amp;LEFT($B134,4)&amp;"*-0*",INDIRECT(Formulas!$B$3)),0)</f>
        <v>0</v>
      </c>
      <c r="E134" s="548"/>
      <c r="F134" s="468"/>
      <c r="G134" s="466">
        <f ca="1">ROUND(SUMIF(INDIRECT(Formulas!$B$1),MID(G$1,2,2)&amp;"-"&amp;LEFT($B134,4)&amp;"*-0*",INDIRECT(Formulas!$B$3)),0)</f>
        <v>0</v>
      </c>
      <c r="H134" s="468"/>
      <c r="I134" s="468"/>
      <c r="J134" s="468"/>
      <c r="K134" s="468"/>
    </row>
    <row r="135" spans="1:11" ht="12.75" customHeight="1" x14ac:dyDescent="0.2">
      <c r="A135" s="463" t="s">
        <v>669</v>
      </c>
      <c r="B135" s="549">
        <v>3220</v>
      </c>
      <c r="C135" s="466">
        <f ca="1">ROUND(SUMIF(INDIRECT(Formulas!$B$1),MID(C$1,2,2)&amp;"-"&amp;LEFT($B135,4)&amp;"*-0*",INDIRECT(Formulas!$B$3)),0)</f>
        <v>0</v>
      </c>
      <c r="D135" s="466">
        <f ca="1">ROUND(SUMIF(INDIRECT(Formulas!$B$1),MID(D$1,2,2)&amp;"-"&amp;LEFT($B135,4)&amp;"*-0*",INDIRECT(Formulas!$B$3)),0)</f>
        <v>0</v>
      </c>
      <c r="E135" s="548"/>
      <c r="F135" s="468"/>
      <c r="G135" s="466">
        <f ca="1">ROUND(SUMIF(INDIRECT(Formulas!$B$1),MID(G$1,2,2)&amp;"-"&amp;LEFT($B135,4)&amp;"*-0*",INDIRECT(Formulas!$B$3)),0)</f>
        <v>0</v>
      </c>
      <c r="H135" s="468"/>
      <c r="I135" s="468"/>
      <c r="J135" s="468"/>
      <c r="K135" s="468"/>
    </row>
    <row r="136" spans="1:11" ht="12.75" customHeight="1" x14ac:dyDescent="0.2">
      <c r="A136" s="463" t="s">
        <v>249</v>
      </c>
      <c r="B136" s="549">
        <v>3225</v>
      </c>
      <c r="C136" s="466">
        <f ca="1">ROUND(SUMIF(INDIRECT(Formulas!$B$1),MID(C$1,2,2)&amp;"-"&amp;LEFT($B136,4)&amp;"*-0*",INDIRECT(Formulas!$B$3)),0)</f>
        <v>0</v>
      </c>
      <c r="D136" s="466">
        <f ca="1">ROUND(SUMIF(INDIRECT(Formulas!$B$1),MID(D$1,2,2)&amp;"-"&amp;LEFT($B136,4)&amp;"*-0*",INDIRECT(Formulas!$B$3)),0)</f>
        <v>0</v>
      </c>
      <c r="E136" s="548"/>
      <c r="F136" s="468"/>
      <c r="G136" s="466">
        <f ca="1">ROUND(SUMIF(INDIRECT(Formulas!$B$1),MID(G$1,2,2)&amp;"-"&amp;LEFT($B136,4)&amp;"*-0*",INDIRECT(Formulas!$B$3)),0)</f>
        <v>0</v>
      </c>
      <c r="H136" s="468"/>
      <c r="I136" s="468"/>
      <c r="J136" s="468"/>
      <c r="K136" s="468"/>
    </row>
    <row r="137" spans="1:11" ht="12.75" customHeight="1" x14ac:dyDescent="0.2">
      <c r="A137" s="463" t="s">
        <v>600</v>
      </c>
      <c r="B137" s="549">
        <v>3235</v>
      </c>
      <c r="C137" s="466">
        <f ca="1">ROUND(SUMIF(INDIRECT(Formulas!$B$1),MID(C$1,2,2)&amp;"-"&amp;LEFT($B137,4)&amp;"*-0*",INDIRECT(Formulas!$B$3)),0)</f>
        <v>0</v>
      </c>
      <c r="D137" s="466">
        <f ca="1">ROUND(SUMIF(INDIRECT(Formulas!$B$1),MID(D$1,2,2)&amp;"-"&amp;LEFT($B137,4)&amp;"*-0*",INDIRECT(Formulas!$B$3)),0)</f>
        <v>0</v>
      </c>
      <c r="E137" s="548"/>
      <c r="F137" s="468"/>
      <c r="G137" s="466">
        <f ca="1">ROUND(SUMIF(INDIRECT(Formulas!$B$1),MID(G$1,2,2)&amp;"-"&amp;LEFT($B137,4)&amp;"*-0*",INDIRECT(Formulas!$B$3)),0)</f>
        <v>0</v>
      </c>
      <c r="H137" s="468"/>
      <c r="I137" s="468"/>
      <c r="J137" s="468"/>
      <c r="K137" s="468"/>
    </row>
    <row r="138" spans="1:11" ht="12.75" customHeight="1" x14ac:dyDescent="0.2">
      <c r="A138" s="463" t="s">
        <v>601</v>
      </c>
      <c r="B138" s="549">
        <v>3240</v>
      </c>
      <c r="C138" s="466">
        <f ca="1">ROUND(SUMIF(INDIRECT(Formulas!$B$1),MID(C$1,2,2)&amp;"-"&amp;LEFT($B138,4)&amp;"*-0*",INDIRECT(Formulas!$B$3)),0)</f>
        <v>0</v>
      </c>
      <c r="D138" s="466">
        <f ca="1">ROUND(SUMIF(INDIRECT(Formulas!$B$1),MID(D$1,2,2)&amp;"-"&amp;LEFT($B138,4)&amp;"*-0*",INDIRECT(Formulas!$B$3)),0)</f>
        <v>0</v>
      </c>
      <c r="E138" s="548"/>
      <c r="F138" s="468"/>
      <c r="G138" s="466">
        <f ca="1">ROUND(SUMIF(INDIRECT(Formulas!$B$1),MID(G$1,2,2)&amp;"-"&amp;LEFT($B138,4)&amp;"*-0*",INDIRECT(Formulas!$B$3)),0)</f>
        <v>0</v>
      </c>
      <c r="H138" s="468"/>
      <c r="I138" s="468"/>
      <c r="J138" s="468"/>
      <c r="K138" s="468"/>
    </row>
    <row r="139" spans="1:11" ht="12.75" customHeight="1" x14ac:dyDescent="0.2">
      <c r="A139" s="463" t="s">
        <v>602</v>
      </c>
      <c r="B139" s="549">
        <v>3270</v>
      </c>
      <c r="C139" s="466">
        <f ca="1">ROUND(SUMIF(INDIRECT(Formulas!$B$1),MID(C$1,2,2)&amp;"-"&amp;LEFT($B139,4)&amp;"*-0*",INDIRECT(Formulas!$B$3)),0)</f>
        <v>0</v>
      </c>
      <c r="D139" s="466">
        <f ca="1">ROUND(SUMIF(INDIRECT(Formulas!$B$1),MID(D$1,2,2)&amp;"-"&amp;LEFT($B139,4)&amp;"*-0*",INDIRECT(Formulas!$B$3)),0)</f>
        <v>0</v>
      </c>
      <c r="E139" s="548"/>
      <c r="F139" s="468"/>
      <c r="G139" s="466">
        <f ca="1">ROUND(SUMIF(INDIRECT(Formulas!$B$1),MID(G$1,2,2)&amp;"-"&amp;LEFT($B139,4)&amp;"*-0*",INDIRECT(Formulas!$B$3)),0)</f>
        <v>0</v>
      </c>
      <c r="H139" s="468"/>
      <c r="I139" s="468"/>
      <c r="J139" s="468"/>
      <c r="K139" s="468"/>
    </row>
    <row r="140" spans="1:11" ht="12.75" customHeight="1" x14ac:dyDescent="0.2">
      <c r="A140" s="463" t="s">
        <v>67</v>
      </c>
      <c r="B140" s="549">
        <v>3299</v>
      </c>
      <c r="C140" s="466">
        <f ca="1">ROUND(SUMIF(INDIRECT(Formulas!$B$1),MID(C$1,2,2)&amp;"-"&amp;LEFT($B140,4)&amp;"*-0*",INDIRECT(Formulas!$B$3)),0)</f>
        <v>0</v>
      </c>
      <c r="D140" s="466">
        <f ca="1">ROUND(SUMIF(INDIRECT(Formulas!$B$1),MID(D$1,2,2)&amp;"-"&amp;LEFT($B140,4)&amp;"*-0*",INDIRECT(Formulas!$B$3)),0)</f>
        <v>0</v>
      </c>
      <c r="E140" s="548"/>
      <c r="F140" s="474"/>
      <c r="G140" s="466">
        <f ca="1">ROUND(SUMIF(INDIRECT(Formulas!$B$1),MID(G$1,2,2)&amp;"-"&amp;LEFT($B140,4)&amp;"*-0*",INDIRECT(Formulas!$B$3)),0)</f>
        <v>0</v>
      </c>
      <c r="H140" s="468"/>
      <c r="I140" s="468"/>
      <c r="J140" s="468"/>
      <c r="K140" s="468"/>
    </row>
    <row r="141" spans="1:11" ht="12.75" customHeight="1" thickBot="1" x14ac:dyDescent="0.25">
      <c r="A141" s="1678" t="s">
        <v>603</v>
      </c>
      <c r="B141" s="1690"/>
      <c r="C141" s="1677">
        <f ca="1">SUM(C134:C140)</f>
        <v>0</v>
      </c>
      <c r="D141" s="1677">
        <f ca="1">SUM(D134:D140)</f>
        <v>0</v>
      </c>
      <c r="E141" s="548" t="s">
        <v>1169</v>
      </c>
      <c r="F141" s="474"/>
      <c r="G141" s="1677">
        <f ca="1">SUM(G134:G140)</f>
        <v>0</v>
      </c>
      <c r="H141" s="468" t="s">
        <v>1169</v>
      </c>
      <c r="I141" s="468" t="s">
        <v>1169</v>
      </c>
      <c r="J141" s="468" t="s">
        <v>1169</v>
      </c>
      <c r="K141" s="468" t="s">
        <v>1169</v>
      </c>
    </row>
    <row r="142" spans="1:11" ht="15.75" customHeight="1" thickTop="1" x14ac:dyDescent="0.2">
      <c r="A142" s="1570" t="s">
        <v>670</v>
      </c>
      <c r="B142" s="1571"/>
      <c r="C142" s="541"/>
      <c r="D142" s="553"/>
      <c r="E142" s="548"/>
      <c r="F142" s="541"/>
      <c r="G142" s="541"/>
      <c r="H142" s="468"/>
      <c r="I142" s="468"/>
      <c r="J142" s="468"/>
      <c r="K142" s="468"/>
    </row>
    <row r="143" spans="1:11" ht="12.75" customHeight="1" x14ac:dyDescent="0.2">
      <c r="A143" s="463" t="s">
        <v>604</v>
      </c>
      <c r="B143" s="549">
        <v>3305</v>
      </c>
      <c r="C143" s="466">
        <f ca="1">ROUND(SUMIF(INDIRECT(Formulas!$B$1),MID(C$1,2,2)&amp;"-"&amp;LEFT($B143,4)&amp;"*-0*",INDIRECT(Formulas!$B$3)),0)</f>
        <v>0</v>
      </c>
      <c r="D143" s="468"/>
      <c r="E143" s="548"/>
      <c r="F143" s="468"/>
      <c r="G143" s="466">
        <f ca="1">ROUND(SUMIF(INDIRECT(Formulas!$B$1),MID(G$1,2,2)&amp;"-"&amp;LEFT($B143,4)&amp;"*-0*",INDIRECT(Formulas!$B$3)),0)</f>
        <v>0</v>
      </c>
      <c r="H143" s="468"/>
      <c r="I143" s="468"/>
      <c r="J143" s="468"/>
      <c r="K143" s="468"/>
    </row>
    <row r="144" spans="1:11" ht="12.75" customHeight="1" x14ac:dyDescent="0.2">
      <c r="A144" s="463" t="s">
        <v>347</v>
      </c>
      <c r="B144" s="549">
        <v>3310</v>
      </c>
      <c r="C144" s="466">
        <f ca="1">ROUND(SUMIF(INDIRECT(Formulas!$B$1),MID(C$1,2,2)&amp;"-"&amp;LEFT($B144,4)&amp;"*-0*",INDIRECT(Formulas!$B$3)),0)</f>
        <v>0</v>
      </c>
      <c r="D144" s="468"/>
      <c r="E144" s="548"/>
      <c r="F144" s="468"/>
      <c r="G144" s="466">
        <f ca="1">ROUND(SUMIF(INDIRECT(Formulas!$B$1),MID(G$1,2,2)&amp;"-"&amp;LEFT($B144,4)&amp;"*-0*",INDIRECT(Formulas!$B$3)),0)</f>
        <v>0</v>
      </c>
      <c r="H144" s="468"/>
      <c r="I144" s="468"/>
      <c r="J144" s="468"/>
      <c r="K144" s="468"/>
    </row>
    <row r="145" spans="1:11" s="202" customFormat="1" ht="13.5" thickBot="1" x14ac:dyDescent="0.25">
      <c r="A145" s="1678" t="s">
        <v>396</v>
      </c>
      <c r="B145" s="1690"/>
      <c r="C145" s="1658">
        <f ca="1">SUM(C143:C144)</f>
        <v>0</v>
      </c>
      <c r="D145" s="468"/>
      <c r="E145" s="502"/>
      <c r="F145" s="468"/>
      <c r="G145" s="1691">
        <f ca="1">SUM(G143:G144)</f>
        <v>0</v>
      </c>
      <c r="H145" s="468"/>
      <c r="I145" s="468"/>
      <c r="J145" s="468"/>
      <c r="K145" s="468"/>
    </row>
    <row r="146" spans="1:11" s="202" customFormat="1" ht="12.75" customHeight="1" thickTop="1" x14ac:dyDescent="0.2">
      <c r="A146" s="1468" t="s">
        <v>1056</v>
      </c>
      <c r="B146" s="555">
        <v>3360</v>
      </c>
      <c r="C146" s="466">
        <f ca="1">ROUND(SUMIF(INDIRECT(Formulas!$B$1),MID(C$1,2,2)&amp;"-"&amp;LEFT($B146,4)&amp;"*-0*",INDIRECT(Formulas!$B$3)),0)</f>
        <v>9092</v>
      </c>
      <c r="D146" s="556"/>
      <c r="E146" s="502"/>
      <c r="F146" s="468"/>
      <c r="G146" s="557"/>
      <c r="H146" s="468"/>
      <c r="I146" s="468"/>
      <c r="J146" s="468"/>
      <c r="K146" s="468"/>
    </row>
    <row r="147" spans="1:11" ht="12.75" customHeight="1" thickBot="1" x14ac:dyDescent="0.25">
      <c r="A147" s="1469" t="s">
        <v>922</v>
      </c>
      <c r="B147" s="558">
        <v>3365</v>
      </c>
      <c r="C147" s="466">
        <f ca="1">ROUND(SUMIF(INDIRECT(Formulas!$B$1),MID(C$1,2,2)&amp;"-"&amp;LEFT($B147,4)&amp;"*-0*",INDIRECT(Formulas!$B$3)),0)</f>
        <v>0</v>
      </c>
      <c r="D147" s="466">
        <f ca="1">ROUND(SUMIF(INDIRECT(Formulas!$B$1),MID(D$1,2,2)&amp;"-"&amp;LEFT($B147,4)&amp;"*-0*",INDIRECT(Formulas!$B$3)),0)</f>
        <v>0</v>
      </c>
      <c r="E147" s="548"/>
      <c r="F147" s="468"/>
      <c r="G147" s="466">
        <f ca="1">ROUND(SUMIF(INDIRECT(Formulas!$B$1),MID(G$1,2,2)&amp;"-"&amp;LEFT($B147,4)&amp;"*-0*",INDIRECT(Formulas!$B$3)),0)</f>
        <v>0</v>
      </c>
      <c r="H147" s="468"/>
      <c r="I147" s="468"/>
      <c r="J147" s="468"/>
      <c r="K147" s="468"/>
    </row>
    <row r="148" spans="1:11" ht="12.75" customHeight="1" thickTop="1" thickBot="1" x14ac:dyDescent="0.25">
      <c r="A148" s="1470" t="s">
        <v>138</v>
      </c>
      <c r="B148" s="559">
        <v>3370</v>
      </c>
      <c r="C148" s="466">
        <f ca="1">ROUND(SUMIF(INDIRECT(Formulas!$B$1),MID(C$1,2,2)&amp;"-"&amp;LEFT($B148,4)&amp;"*-0*",INDIRECT(Formulas!$B$3)),0)</f>
        <v>0</v>
      </c>
      <c r="D148" s="466">
        <f ca="1">ROUND(SUMIF(INDIRECT(Formulas!$B$1),MID(D$1,2,2)&amp;"-"&amp;LEFT($B148,4)&amp;"*-0*",INDIRECT(Formulas!$B$3)),0)</f>
        <v>0</v>
      </c>
      <c r="E148" s="502"/>
      <c r="F148" s="468"/>
      <c r="G148" s="468"/>
      <c r="H148" s="468"/>
      <c r="I148" s="468"/>
      <c r="J148" s="468"/>
      <c r="K148" s="468"/>
    </row>
    <row r="149" spans="1:11" ht="12.75" customHeight="1" thickTop="1" thickBot="1" x14ac:dyDescent="0.25">
      <c r="A149" s="1470" t="s">
        <v>767</v>
      </c>
      <c r="B149" s="559">
        <v>3410</v>
      </c>
      <c r="C149" s="466">
        <f ca="1">ROUND(SUMIF(INDIRECT(Formulas!$B$1),MID(C$1,2,2)&amp;"-"&amp;LEFT($B149,4)&amp;"*-0*",INDIRECT(Formulas!$B$3)),0)</f>
        <v>0</v>
      </c>
      <c r="D149" s="466">
        <f ca="1">ROUND(SUMIF(INDIRECT(Formulas!$B$1),MID(D$1,2,2)&amp;"-"&amp;LEFT($B149,4)&amp;"*-0*",INDIRECT(Formulas!$B$3)),0)</f>
        <v>0</v>
      </c>
      <c r="E149" s="466">
        <f ca="1">ROUND(SUMIF(INDIRECT(Formulas!$B$1),MID(E$1,2,2)&amp;"-"&amp;LEFT($B149,4)&amp;"*-0*",INDIRECT(Formulas!$B$3)),0)</f>
        <v>0</v>
      </c>
      <c r="F149" s="466">
        <f ca="1">ROUND(SUMIF(INDIRECT(Formulas!$B$1),MID(F$1,2,2)&amp;"-"&amp;LEFT($B149,4)&amp;"*-0*",INDIRECT(Formulas!$B$3)),0)</f>
        <v>0</v>
      </c>
      <c r="G149" s="466">
        <f ca="1">ROUND(SUMIF(INDIRECT(Formulas!$B$1),MID(G$1,2,2)&amp;"-"&amp;LEFT($B149,4)&amp;"*-0*",INDIRECT(Formulas!$B$3)),0)</f>
        <v>0</v>
      </c>
      <c r="H149" s="466">
        <f ca="1">ROUND(SUMIF(INDIRECT(Formulas!$B$1),MID(H$1,2,2)&amp;"-"&amp;LEFT($B149,4)&amp;"*-0*",INDIRECT(Formulas!$B$3)),0)</f>
        <v>0</v>
      </c>
      <c r="I149" s="466">
        <f ca="1">ROUND(SUMIF(INDIRECT(Formulas!$B$1),MID(I$1,2,2)&amp;"-"&amp;LEFT($B149,4)&amp;"*-0*",INDIRECT(Formulas!$B$3)),0)</f>
        <v>0</v>
      </c>
      <c r="J149" s="466">
        <f ca="1">ROUND(SUMIF(INDIRECT(Formulas!$B$1),MID(J$1,2,2)&amp;"-"&amp;LEFT($B149,4)&amp;"*-0*",INDIRECT(Formulas!$B$3)),0)</f>
        <v>0</v>
      </c>
      <c r="K149" s="466">
        <f ca="1">ROUND(SUMIF(INDIRECT(Formulas!$B$1),MID(K$1,2,2)&amp;"-"&amp;LEFT($B149,4)&amp;"*-0*",INDIRECT(Formulas!$B$3)),0)</f>
        <v>0</v>
      </c>
    </row>
    <row r="150" spans="1:11" ht="12.75" customHeight="1" thickTop="1" thickBot="1" x14ac:dyDescent="0.25">
      <c r="A150" s="1470" t="s">
        <v>68</v>
      </c>
      <c r="B150" s="559">
        <v>3499</v>
      </c>
      <c r="C150" s="466">
        <f ca="1">ROUND(SUMIF(INDIRECT(Formulas!$B$1),MID(C$1,2,2)&amp;"-"&amp;LEFT($B150,4)&amp;"*-0*",INDIRECT(Formulas!$B$3)),0)</f>
        <v>0</v>
      </c>
      <c r="D150" s="466">
        <f ca="1">ROUND(SUMIF(INDIRECT(Formulas!$B$1),MID(D$1,2,2)&amp;"-"&amp;LEFT($B150,4)&amp;"*-0*",INDIRECT(Formulas!$B$3)),0)</f>
        <v>0</v>
      </c>
      <c r="E150" s="466">
        <f ca="1">ROUND(SUMIF(INDIRECT(Formulas!$B$1),MID(E$1,2,2)&amp;"-"&amp;LEFT($B150,4)&amp;"*-0*",INDIRECT(Formulas!$B$3)),0)</f>
        <v>0</v>
      </c>
      <c r="F150" s="466">
        <f ca="1">ROUND(SUMIF(INDIRECT(Formulas!$B$1),MID(F$1,2,2)&amp;"-"&amp;LEFT($B150,4)&amp;"*-0*",INDIRECT(Formulas!$B$3)),0)</f>
        <v>0</v>
      </c>
      <c r="G150" s="466">
        <f ca="1">ROUND(SUMIF(INDIRECT(Formulas!$B$1),MID(G$1,2,2)&amp;"-"&amp;LEFT($B150,4)&amp;"*-0*",INDIRECT(Formulas!$B$3)),0)</f>
        <v>0</v>
      </c>
      <c r="H150" s="466">
        <f ca="1">ROUND(SUMIF(INDIRECT(Formulas!$B$1),MID(H$1,2,2)&amp;"-"&amp;LEFT($B150,4)&amp;"*-0*",INDIRECT(Formulas!$B$3)),0)</f>
        <v>0</v>
      </c>
      <c r="I150" s="466">
        <f ca="1">ROUND(SUMIF(INDIRECT(Formulas!$B$1),MID(I$1,2,2)&amp;"-"&amp;LEFT($B150,4)&amp;"*-0*",INDIRECT(Formulas!$B$3)),0)</f>
        <v>0</v>
      </c>
      <c r="J150" s="466">
        <f ca="1">ROUND(SUMIF(INDIRECT(Formulas!$B$1),MID(J$1,2,2)&amp;"-"&amp;LEFT($B150,4)&amp;"*-0*",INDIRECT(Formulas!$B$3)),0)</f>
        <v>0</v>
      </c>
      <c r="K150" s="466">
        <f ca="1">ROUND(SUMIF(INDIRECT(Formulas!$B$1),MID(K$1,2,2)&amp;"-"&amp;LEFT($B150,4)&amp;"*-0*",INDIRECT(Formulas!$B$3)),0)</f>
        <v>0</v>
      </c>
    </row>
    <row r="151" spans="1:11" ht="15.75" customHeight="1" thickTop="1" x14ac:dyDescent="0.2">
      <c r="A151" s="1570" t="s">
        <v>453</v>
      </c>
      <c r="B151" s="1572"/>
      <c r="C151" s="541"/>
      <c r="D151" s="468"/>
      <c r="E151" s="548"/>
      <c r="F151" s="468"/>
      <c r="G151" s="468"/>
      <c r="H151" s="468"/>
      <c r="I151" s="468"/>
      <c r="J151" s="468"/>
      <c r="K151" s="468"/>
    </row>
    <row r="152" spans="1:11" ht="12.75" customHeight="1" x14ac:dyDescent="0.2">
      <c r="A152" s="463" t="s">
        <v>1448</v>
      </c>
      <c r="B152" s="549">
        <v>3500</v>
      </c>
      <c r="C152" s="466">
        <f ca="1">ROUND(SUMIF(INDIRECT(Formulas!$B$1),MID(C$1,2,2)&amp;"-"&amp;LEFT($B152,4)&amp;"*-0*",INDIRECT(Formulas!$B$3)),0)</f>
        <v>0</v>
      </c>
      <c r="D152" s="466">
        <f ca="1">ROUND(SUMIF(INDIRECT(Formulas!$B$1),MID(D$1,2,2)&amp;"-"&amp;LEFT($B152,4)&amp;"*-0*",INDIRECT(Formulas!$B$3)),0)</f>
        <v>0</v>
      </c>
      <c r="E152" s="548"/>
      <c r="F152" s="466">
        <f ca="1">ROUND(SUMIF(INDIRECT(Formulas!$B$1),MID(F$1,2,2)&amp;"-"&amp;LEFT($B152,4)&amp;"*-0*",INDIRECT(Formulas!$B$3)),0)</f>
        <v>152146</v>
      </c>
      <c r="G152" s="466">
        <f ca="1">ROUND(SUMIF(INDIRECT(Formulas!$B$1),MID(G$1,2,2)&amp;"-"&amp;LEFT($B152,4)&amp;"*-0*",INDIRECT(Formulas!$B$3)),0)</f>
        <v>0</v>
      </c>
      <c r="H152" s="468"/>
      <c r="I152" s="468"/>
      <c r="J152" s="468"/>
      <c r="K152" s="468"/>
    </row>
    <row r="153" spans="1:11" ht="12.75" customHeight="1" x14ac:dyDescent="0.2">
      <c r="A153" s="463" t="s">
        <v>1057</v>
      </c>
      <c r="B153" s="549">
        <v>3510</v>
      </c>
      <c r="C153" s="466">
        <f ca="1">ROUND(SUMIF(INDIRECT(Formulas!$B$1),MID(C$1,2,2)&amp;"-"&amp;LEFT($B153,4)&amp;"*-0*",INDIRECT(Formulas!$B$3)),0)</f>
        <v>0</v>
      </c>
      <c r="D153" s="466">
        <f ca="1">ROUND(SUMIF(INDIRECT(Formulas!$B$1),MID(D$1,2,2)&amp;"-"&amp;LEFT($B153,4)&amp;"*-0*",INDIRECT(Formulas!$B$3)),0)</f>
        <v>0</v>
      </c>
      <c r="E153" s="548"/>
      <c r="F153" s="466">
        <f ca="1">ROUND(SUMIF(INDIRECT(Formulas!$B$1),MID(F$1,2,2)&amp;"-"&amp;LEFT($B153,4)&amp;"*-0*",INDIRECT(Formulas!$B$3)),0)</f>
        <v>150984</v>
      </c>
      <c r="G153" s="466">
        <f ca="1">ROUND(SUMIF(INDIRECT(Formulas!$B$1),MID(G$1,2,2)&amp;"-"&amp;LEFT($B153,4)&amp;"*-0*",INDIRECT(Formulas!$B$3)),0)</f>
        <v>0</v>
      </c>
      <c r="H153" s="468"/>
      <c r="I153" s="468"/>
      <c r="J153" s="468"/>
      <c r="K153" s="468"/>
    </row>
    <row r="154" spans="1:11" ht="12.75" customHeight="1" x14ac:dyDescent="0.2">
      <c r="A154" s="463" t="s">
        <v>69</v>
      </c>
      <c r="B154" s="549">
        <v>3599</v>
      </c>
      <c r="C154" s="466">
        <f ca="1">ROUND(SUMIF(INDIRECT(Formulas!$B$1),MID(C$1,2,2)&amp;"-"&amp;LEFT($B154,4)&amp;"*-0*",INDIRECT(Formulas!$B$3)),0)</f>
        <v>0</v>
      </c>
      <c r="D154" s="466">
        <f ca="1">ROUND(SUMIF(INDIRECT(Formulas!$B$1),MID(D$1,2,2)&amp;"-"&amp;LEFT($B154,4)&amp;"*-0*",INDIRECT(Formulas!$B$3)),0)</f>
        <v>0</v>
      </c>
      <c r="E154" s="548"/>
      <c r="F154" s="466">
        <f ca="1">ROUND(SUMIF(INDIRECT(Formulas!$B$1),MID(F$1,2,2)&amp;"-"&amp;LEFT($B154,4)&amp;"*-0*",INDIRECT(Formulas!$B$3)),0)</f>
        <v>0</v>
      </c>
      <c r="G154" s="466">
        <f ca="1">ROUND(SUMIF(INDIRECT(Formulas!$B$1),MID(G$1,2,2)&amp;"-"&amp;LEFT($B154,4)&amp;"*-0*",INDIRECT(Formulas!$B$3)),0)</f>
        <v>0</v>
      </c>
      <c r="H154" s="468"/>
      <c r="I154" s="468"/>
      <c r="J154" s="468"/>
      <c r="K154" s="468"/>
    </row>
    <row r="155" spans="1:11" ht="12.75" customHeight="1" thickBot="1" x14ac:dyDescent="0.25">
      <c r="A155" s="1678" t="s">
        <v>94</v>
      </c>
      <c r="B155" s="1690"/>
      <c r="C155" s="1677">
        <f ca="1">SUM(C152:C154)</f>
        <v>0</v>
      </c>
      <c r="D155" s="1677">
        <f ca="1">SUM(D152:D154)</f>
        <v>0</v>
      </c>
      <c r="E155" s="548"/>
      <c r="F155" s="1677">
        <f ca="1">SUM(F152:F154)</f>
        <v>303130</v>
      </c>
      <c r="G155" s="1677">
        <f ca="1">SUM(G152:G154)</f>
        <v>0</v>
      </c>
      <c r="H155" s="468"/>
      <c r="I155" s="468"/>
      <c r="J155" s="468"/>
      <c r="K155" s="468"/>
    </row>
    <row r="156" spans="1:11" ht="12.75" customHeight="1" thickTop="1" thickBot="1" x14ac:dyDescent="0.25">
      <c r="A156" s="1470" t="s">
        <v>380</v>
      </c>
      <c r="B156" s="559">
        <v>3610</v>
      </c>
      <c r="C156" s="466">
        <f ca="1">ROUND(SUMIF(INDIRECT(Formulas!$B$1),MID(C$1,2,2)&amp;"-"&amp;LEFT($B156,4)&amp;"*-0*",INDIRECT(Formulas!$B$3)),0)</f>
        <v>0</v>
      </c>
      <c r="D156" s="468"/>
      <c r="E156" s="502"/>
      <c r="F156" s="468"/>
      <c r="G156" s="468"/>
      <c r="H156" s="468"/>
      <c r="I156" s="468"/>
      <c r="J156" s="468"/>
      <c r="K156" s="468"/>
    </row>
    <row r="157" spans="1:11" ht="12.75" customHeight="1" thickTop="1" thickBot="1" x14ac:dyDescent="0.25">
      <c r="A157" s="1470" t="s">
        <v>50</v>
      </c>
      <c r="B157" s="559">
        <v>3660</v>
      </c>
      <c r="C157" s="466">
        <f ca="1">ROUND(SUMIF(INDIRECT(Formulas!$B$1),MID(C$1,2,2)&amp;"-"&amp;LEFT($B157,4)&amp;"*-0*",INDIRECT(Formulas!$B$3)),0)</f>
        <v>0</v>
      </c>
      <c r="D157" s="466">
        <f ca="1">ROUND(SUMIF(INDIRECT(Formulas!$B$1),MID(D$1,2,2)&amp;"-"&amp;LEFT($B157,4)&amp;"*-0*",INDIRECT(Formulas!$B$3)),0)</f>
        <v>0</v>
      </c>
      <c r="E157" s="548"/>
      <c r="F157" s="466">
        <f ca="1">ROUND(SUMIF(INDIRECT(Formulas!$B$1),MID(F$1,2,2)&amp;"-"&amp;LEFT($B157,4)&amp;"*-0*",INDIRECT(Formulas!$B$3)),0)</f>
        <v>0</v>
      </c>
      <c r="G157" s="466">
        <f ca="1">ROUND(SUMIF(INDIRECT(Formulas!$B$1),MID(G$1,2,2)&amp;"-"&amp;LEFT($B157,4)&amp;"*-0*",INDIRECT(Formulas!$B$3)),0)</f>
        <v>0</v>
      </c>
      <c r="H157" s="468"/>
      <c r="I157" s="468"/>
      <c r="J157" s="468"/>
      <c r="K157" s="468"/>
    </row>
    <row r="158" spans="1:11" ht="12.75" customHeight="1" thickTop="1" thickBot="1" x14ac:dyDescent="0.25">
      <c r="A158" s="1470" t="s">
        <v>1000</v>
      </c>
      <c r="B158" s="559">
        <v>3695</v>
      </c>
      <c r="C158" s="466">
        <f ca="1">ROUND(SUMIF(INDIRECT(Formulas!$B$1),MID(C$1,2,2)&amp;"-"&amp;LEFT($B158,4)&amp;"*-0*",INDIRECT(Formulas!$B$3)),0)</f>
        <v>0</v>
      </c>
      <c r="D158" s="468"/>
      <c r="E158" s="548"/>
      <c r="F158" s="466">
        <f ca="1">ROUND(SUMIF(INDIRECT(Formulas!$B$1),MID(F$1,2,2)&amp;"-"&amp;LEFT($B158,4)&amp;"*-0*",INDIRECT(Formulas!$B$3)),0)</f>
        <v>0</v>
      </c>
      <c r="G158" s="466">
        <f ca="1">ROUND(SUMIF(INDIRECT(Formulas!$B$1),MID(G$1,2,2)&amp;"-"&amp;LEFT($B158,4)&amp;"*-0*",INDIRECT(Formulas!$B$3)),0)</f>
        <v>0</v>
      </c>
      <c r="H158" s="468"/>
      <c r="I158" s="468"/>
      <c r="J158" s="468"/>
      <c r="K158" s="468"/>
    </row>
    <row r="159" spans="1:11" ht="12.75" customHeight="1" thickTop="1" thickBot="1" x14ac:dyDescent="0.25">
      <c r="A159" s="1470" t="s">
        <v>1051</v>
      </c>
      <c r="B159" s="559">
        <v>3705</v>
      </c>
      <c r="C159" s="466">
        <f ca="1">ROUND(SUMIF(INDIRECT(Formulas!$B$1),MID(C$1,2,2)&amp;"-"&amp;LEFT($B159,4)&amp;"*-0*",INDIRECT(Formulas!$B$3)),0)</f>
        <v>776501</v>
      </c>
      <c r="D159" s="466">
        <f ca="1">ROUND(SUMIF(INDIRECT(Formulas!$B$1),MID(D$1,2,2)&amp;"-"&amp;LEFT($B159,4)&amp;"*-0*",INDIRECT(Formulas!$B$3)),0)</f>
        <v>0</v>
      </c>
      <c r="E159" s="548"/>
      <c r="F159" s="466">
        <f ca="1">ROUND(SUMIF(INDIRECT(Formulas!$B$1),MID(F$1,2,2)&amp;"-"&amp;LEFT($B159,4)&amp;"*-0*",INDIRECT(Formulas!$B$3)),0)</f>
        <v>0</v>
      </c>
      <c r="G159" s="466">
        <f ca="1">ROUND(SUMIF(INDIRECT(Formulas!$B$1),MID(G$1,2,2)&amp;"-"&amp;LEFT($B159,4)&amp;"*-0*",INDIRECT(Formulas!$B$3)),0)</f>
        <v>0</v>
      </c>
      <c r="H159" s="468"/>
      <c r="I159" s="468"/>
      <c r="J159" s="468"/>
      <c r="K159" s="468"/>
    </row>
    <row r="160" spans="1:11" ht="12.75" customHeight="1" thickTop="1" thickBot="1" x14ac:dyDescent="0.25">
      <c r="A160" s="1470" t="s">
        <v>39</v>
      </c>
      <c r="B160" s="559">
        <v>3766</v>
      </c>
      <c r="C160" s="466">
        <f ca="1">ROUND(SUMIF(INDIRECT(Formulas!$B$1),MID(C$1,2,2)&amp;"-"&amp;LEFT($B160,4)&amp;"*-0*",INDIRECT(Formulas!$B$3)),0)</f>
        <v>0</v>
      </c>
      <c r="D160" s="466">
        <f ca="1">ROUND(SUMIF(INDIRECT(Formulas!$B$1),MID(D$1,2,2)&amp;"-"&amp;LEFT($B160,4)&amp;"*-0*",INDIRECT(Formulas!$B$3)),0)</f>
        <v>0</v>
      </c>
      <c r="E160" s="548"/>
      <c r="F160" s="466">
        <f ca="1">ROUND(SUMIF(INDIRECT(Formulas!$B$1),MID(F$1,2,2)&amp;"-"&amp;LEFT($B160,4)&amp;"*-0*",INDIRECT(Formulas!$B$3)),0)</f>
        <v>0</v>
      </c>
      <c r="G160" s="466">
        <f ca="1">ROUND(SUMIF(INDIRECT(Formulas!$B$1),MID(G$1,2,2)&amp;"-"&amp;LEFT($B160,4)&amp;"*-0*",INDIRECT(Formulas!$B$3)),0)</f>
        <v>0</v>
      </c>
      <c r="H160" s="468"/>
      <c r="I160" s="468"/>
      <c r="J160" s="468"/>
      <c r="K160" s="468"/>
    </row>
    <row r="161" spans="1:11" ht="12.75" customHeight="1" thickTop="1" thickBot="1" x14ac:dyDescent="0.25">
      <c r="A161" s="1470" t="s">
        <v>985</v>
      </c>
      <c r="B161" s="559">
        <v>3767</v>
      </c>
      <c r="C161" s="466">
        <f ca="1">ROUND(SUMIF(INDIRECT(Formulas!$B$1),MID(C$1,2,2)&amp;"-"&amp;LEFT($B161,4)&amp;"*-0*",INDIRECT(Formulas!$B$3)),0)</f>
        <v>0</v>
      </c>
      <c r="D161" s="466">
        <f ca="1">ROUND(SUMIF(INDIRECT(Formulas!$B$1),MID(D$1,2,2)&amp;"-"&amp;LEFT($B161,4)&amp;"*-0*",INDIRECT(Formulas!$B$3)),0)</f>
        <v>0</v>
      </c>
      <c r="E161" s="548"/>
      <c r="F161" s="466">
        <f ca="1">ROUND(SUMIF(INDIRECT(Formulas!$B$1),MID(F$1,2,2)&amp;"-"&amp;LEFT($B161,4)&amp;"*-0*",INDIRECT(Formulas!$B$3)),0)</f>
        <v>0</v>
      </c>
      <c r="G161" s="466">
        <f ca="1">ROUND(SUMIF(INDIRECT(Formulas!$B$1),MID(G$1,2,2)&amp;"-"&amp;LEFT($B161,4)&amp;"*-0*",INDIRECT(Formulas!$B$3)),0)</f>
        <v>0</v>
      </c>
      <c r="H161" s="468"/>
      <c r="I161" s="468"/>
      <c r="J161" s="468"/>
      <c r="K161" s="468"/>
    </row>
    <row r="162" spans="1:11" ht="12.75" customHeight="1" thickTop="1" thickBot="1" x14ac:dyDescent="0.25">
      <c r="A162" s="1470" t="s">
        <v>986</v>
      </c>
      <c r="B162" s="559">
        <v>3775</v>
      </c>
      <c r="C162" s="466">
        <f ca="1">ROUND(SUMIF(INDIRECT(Formulas!$B$1),MID(C$1,2,2)&amp;"-"&amp;LEFT($B162,4)&amp;"*-0*",INDIRECT(Formulas!$B$3)),0)</f>
        <v>0</v>
      </c>
      <c r="D162" s="466">
        <f ca="1">ROUND(SUMIF(INDIRECT(Formulas!$B$1),MID(D$1,2,2)&amp;"-"&amp;LEFT($B162,4)&amp;"*-0*",INDIRECT(Formulas!$B$3)),0)</f>
        <v>0</v>
      </c>
      <c r="E162" s="466">
        <f ca="1">ROUND(SUMIF(INDIRECT(Formulas!$B$1),MID(E$1,2,2)&amp;"-"&amp;LEFT($B162,4)&amp;"*-0*",INDIRECT(Formulas!$B$3)),0)</f>
        <v>0</v>
      </c>
      <c r="F162" s="466">
        <f ca="1">ROUND(SUMIF(INDIRECT(Formulas!$B$1),MID(F$1,2,2)&amp;"-"&amp;LEFT($B162,4)&amp;"*-0*",INDIRECT(Formulas!$B$3)),0)</f>
        <v>0</v>
      </c>
      <c r="G162" s="466">
        <f ca="1">ROUND(SUMIF(INDIRECT(Formulas!$B$1),MID(G$1,2,2)&amp;"-"&amp;LEFT($B162,4)&amp;"*-0*",INDIRECT(Formulas!$B$3)),0)</f>
        <v>0</v>
      </c>
      <c r="H162" s="466">
        <f ca="1">ROUND(SUMIF(INDIRECT(Formulas!$B$1),MID(H$1,2,2)&amp;"-"&amp;LEFT($B162,4)&amp;"*-0*",INDIRECT(Formulas!$B$3)),0)</f>
        <v>0</v>
      </c>
      <c r="I162" s="468"/>
      <c r="J162" s="468"/>
      <c r="K162" s="466">
        <f ca="1">ROUND(SUMIF(INDIRECT(Formulas!$B$1),MID(K$1,2,2)&amp;"-"&amp;LEFT($B162,4)&amp;"*-0*",INDIRECT(Formulas!$B$3)),0)</f>
        <v>0</v>
      </c>
    </row>
    <row r="163" spans="1:11" ht="12.75" customHeight="1" thickTop="1" thickBot="1" x14ac:dyDescent="0.25">
      <c r="A163" s="1470" t="s">
        <v>1449</v>
      </c>
      <c r="B163" s="559">
        <v>3780</v>
      </c>
      <c r="C163" s="466">
        <f ca="1">ROUND(SUMIF(INDIRECT(Formulas!$B$1),MID(C$1,2,2)&amp;"-"&amp;LEFT($B163,4)&amp;"*-0*",INDIRECT(Formulas!$B$3)),0)</f>
        <v>0</v>
      </c>
      <c r="D163" s="466">
        <f ca="1">ROUND(SUMIF(INDIRECT(Formulas!$B$1),MID(D$1,2,2)&amp;"-"&amp;LEFT($B163,4)&amp;"*-0*",INDIRECT(Formulas!$B$3)),0)</f>
        <v>0</v>
      </c>
      <c r="E163" s="466">
        <f ca="1">ROUND(SUMIF(INDIRECT(Formulas!$B$1),MID(E$1,2,2)&amp;"-"&amp;LEFT($B163,4)&amp;"*-0*",INDIRECT(Formulas!$B$3)),0)</f>
        <v>0</v>
      </c>
      <c r="F163" s="466">
        <f ca="1">ROUND(SUMIF(INDIRECT(Formulas!$B$1),MID(F$1,2,2)&amp;"-"&amp;LEFT($B163,4)&amp;"*-0*",INDIRECT(Formulas!$B$3)),0)</f>
        <v>0</v>
      </c>
      <c r="G163" s="466">
        <f ca="1">ROUND(SUMIF(INDIRECT(Formulas!$B$1),MID(G$1,2,2)&amp;"-"&amp;LEFT($B163,4)&amp;"*-0*",INDIRECT(Formulas!$B$3)),0)</f>
        <v>0</v>
      </c>
      <c r="H163" s="466">
        <f ca="1">ROUND(SUMIF(INDIRECT(Formulas!$B$1),MID(H$1,2,2)&amp;"-"&amp;LEFT($B163,4)&amp;"*-0*",INDIRECT(Formulas!$B$3)),0)</f>
        <v>0</v>
      </c>
      <c r="I163" s="468"/>
      <c r="J163" s="468"/>
      <c r="K163" s="466">
        <f ca="1">ROUND(SUMIF(INDIRECT(Formulas!$B$1),MID(K$1,2,2)&amp;"-"&amp;LEFT($B163,4)&amp;"*-0*",INDIRECT(Formulas!$B$3)),0)</f>
        <v>0</v>
      </c>
    </row>
    <row r="164" spans="1:11" ht="12.75" customHeight="1" thickTop="1" thickBot="1" x14ac:dyDescent="0.25">
      <c r="A164" s="1470" t="s">
        <v>858</v>
      </c>
      <c r="B164" s="559">
        <v>3815</v>
      </c>
      <c r="C164" s="466">
        <f ca="1">ROUND(SUMIF(INDIRECT(Formulas!$B$1),MID(C$1,2,2)&amp;"-"&amp;LEFT($B164,4)&amp;"*-0*",INDIRECT(Formulas!$B$3)),0)</f>
        <v>0</v>
      </c>
      <c r="D164" s="468"/>
      <c r="E164" s="548"/>
      <c r="F164" s="466">
        <f ca="1">ROUND(SUMIF(INDIRECT(Formulas!$B$1),MID(F$1,2,2)&amp;"-"&amp;LEFT($B164,4)&amp;"*-0*",INDIRECT(Formulas!$B$3)),0)</f>
        <v>0</v>
      </c>
      <c r="G164" s="468"/>
      <c r="H164" s="468"/>
      <c r="I164" s="468"/>
      <c r="J164" s="468"/>
      <c r="K164" s="468"/>
    </row>
    <row r="165" spans="1:11" ht="12.75" customHeight="1" thickTop="1" thickBot="1" x14ac:dyDescent="0.25">
      <c r="A165" s="1470" t="s">
        <v>397</v>
      </c>
      <c r="B165" s="559">
        <v>3825</v>
      </c>
      <c r="C165" s="466">
        <f ca="1">ROUND(SUMIF(INDIRECT(Formulas!$B$1),MID(C$1,2,2)&amp;"-"&amp;LEFT($B165,4)&amp;"*-0*",INDIRECT(Formulas!$B$3)),0)</f>
        <v>0</v>
      </c>
      <c r="D165" s="468"/>
      <c r="E165" s="548"/>
      <c r="F165" s="466">
        <f ca="1">ROUND(SUMIF(INDIRECT(Formulas!$B$1),MID(F$1,2,2)&amp;"-"&amp;LEFT($B165,4)&amp;"*-0*",INDIRECT(Formulas!$B$3)),0)</f>
        <v>0</v>
      </c>
      <c r="G165" s="468"/>
      <c r="H165" s="468"/>
      <c r="I165" s="468"/>
      <c r="J165" s="468"/>
      <c r="K165" s="468"/>
    </row>
    <row r="166" spans="1:11" ht="12.75" customHeight="1" thickTop="1" thickBot="1" x14ac:dyDescent="0.25">
      <c r="A166" s="1470" t="s">
        <v>348</v>
      </c>
      <c r="B166" s="559">
        <v>3920</v>
      </c>
      <c r="C166" s="553"/>
      <c r="D166" s="466">
        <f ca="1">ROUND(SUMIF(INDIRECT(Formulas!$B$1),MID(D$1,2,2)&amp;"-"&amp;LEFT($B166,4)&amp;"*-0*",INDIRECT(Formulas!$B$3)),0)</f>
        <v>0</v>
      </c>
      <c r="E166" s="468"/>
      <c r="F166" s="553"/>
      <c r="G166" s="468"/>
      <c r="H166" s="466">
        <f ca="1">ROUND(SUMIF(INDIRECT(Formulas!$B$1),MID(H$1,2,2)&amp;"-"&amp;LEFT($B166,4)&amp;"*-0*",INDIRECT(Formulas!$B$3)),0)</f>
        <v>0</v>
      </c>
      <c r="I166" s="468"/>
      <c r="J166" s="468"/>
      <c r="K166" s="468"/>
    </row>
    <row r="167" spans="1:11" ht="12.75" customHeight="1" thickTop="1" thickBot="1" x14ac:dyDescent="0.25">
      <c r="A167" s="1470" t="s">
        <v>349</v>
      </c>
      <c r="B167" s="559">
        <v>3925</v>
      </c>
      <c r="C167" s="514"/>
      <c r="D167" s="466">
        <f ca="1">ROUND(SUMIF(INDIRECT(Formulas!$B$1),MID(D$1,2,2)&amp;"-"&amp;LEFT($B167,4)&amp;"*-0*",INDIRECT(Formulas!$B$3)),0)</f>
        <v>0</v>
      </c>
      <c r="E167" s="514"/>
      <c r="F167" s="514"/>
      <c r="G167" s="468"/>
      <c r="H167" s="466">
        <f ca="1">ROUND(SUMIF(INDIRECT(Formulas!$B$1),MID(H$1,2,2)&amp;"-"&amp;LEFT($B167,4)&amp;"*-0*",INDIRECT(Formulas!$B$3)),0)</f>
        <v>0</v>
      </c>
      <c r="I167" s="468"/>
      <c r="J167" s="468"/>
      <c r="K167" s="466">
        <f ca="1">ROUND(SUMIF(INDIRECT(Formulas!$B$1),MID(K$1,2,2)&amp;"-"&amp;LEFT($B167,4)&amp;"*-0*",INDIRECT(Formulas!$B$3)),0)</f>
        <v>0</v>
      </c>
    </row>
    <row r="168" spans="1:11" ht="14.25" thickTop="1" thickBot="1" x14ac:dyDescent="0.25">
      <c r="A168" s="1470" t="s">
        <v>70</v>
      </c>
      <c r="B168" s="559">
        <v>3999</v>
      </c>
      <c r="C168" s="466">
        <f ca="1">ROUND(SUMIF(INDIRECT(Formulas!$B$1),MID(C$1,2,2)&amp;"-"&amp;LEFT($B168,4)&amp;"*-0*",INDIRECT(Formulas!$B$3)),0)</f>
        <v>1379</v>
      </c>
      <c r="D168" s="466">
        <f ca="1">ROUND(SUMIF(INDIRECT(Formulas!$B$1),MID(D$1,2,2)&amp;"-"&amp;LEFT($B168,4)&amp;"*-0*",INDIRECT(Formulas!$B$3)),0)</f>
        <v>0</v>
      </c>
      <c r="E168" s="466">
        <f ca="1">ROUND(SUMIF(INDIRECT(Formulas!$B$1),MID(E$1,2,2)&amp;"-"&amp;LEFT($B168,4)&amp;"*-0*",INDIRECT(Formulas!$B$3)),0)</f>
        <v>0</v>
      </c>
      <c r="F168" s="466">
        <f ca="1">ROUND(SUMIF(INDIRECT(Formulas!$B$1),MID(F$1,2,2)&amp;"-"&amp;LEFT($B168,4)&amp;"*-0*",INDIRECT(Formulas!$B$3)),0)</f>
        <v>0</v>
      </c>
      <c r="G168" s="466">
        <f ca="1">ROUND(SUMIF(INDIRECT(Formulas!$B$1),MID(G$1,2,2)&amp;"-"&amp;LEFT($B168,4)&amp;"*-0*",INDIRECT(Formulas!$B$3)),0)</f>
        <v>0</v>
      </c>
      <c r="H168" s="466">
        <f ca="1">ROUND(SUMIF(INDIRECT(Formulas!$B$1),MID(H$1,2,2)&amp;"-"&amp;LEFT($B168,4)&amp;"*-0*",INDIRECT(Formulas!$B$3)),0)</f>
        <v>0</v>
      </c>
      <c r="I168" s="466">
        <f ca="1">ROUND(SUMIF(INDIRECT(Formulas!$B$1),MID(I$1,2,2)&amp;"-"&amp;LEFT($B168,4)&amp;"*-0*",INDIRECT(Formulas!$B$3)),0)</f>
        <v>0</v>
      </c>
      <c r="J168" s="466">
        <f ca="1">ROUND(SUMIF(INDIRECT(Formulas!$B$1),MID(J$1,2,2)&amp;"-"&amp;LEFT($B168,4)&amp;"*-0*",INDIRECT(Formulas!$B$3)),0)</f>
        <v>0</v>
      </c>
      <c r="K168" s="466">
        <f ca="1">ROUND(SUMIF(INDIRECT(Formulas!$B$1),MID(K$1,2,2)&amp;"-"&amp;LEFT($B168,4)&amp;"*-0*",INDIRECT(Formulas!$B$3)),0)</f>
        <v>0</v>
      </c>
    </row>
    <row r="169" spans="1:11" ht="12.75" customHeight="1" thickTop="1" thickBot="1" x14ac:dyDescent="0.25">
      <c r="A169" s="2195" t="s">
        <v>398</v>
      </c>
      <c r="B169" s="2196"/>
      <c r="C169" s="1692">
        <f t="shared" ref="C169:K169" ca="1" si="6">SUM(C132,C141,C145,C146:C150,C155,C156:C167,C168)</f>
        <v>953851</v>
      </c>
      <c r="D169" s="1692">
        <f t="shared" ca="1" si="6"/>
        <v>0</v>
      </c>
      <c r="E169" s="1692">
        <f t="shared" ca="1" si="6"/>
        <v>0</v>
      </c>
      <c r="F169" s="1692">
        <f t="shared" ca="1" si="6"/>
        <v>303130</v>
      </c>
      <c r="G169" s="1692">
        <f t="shared" ca="1" si="6"/>
        <v>0</v>
      </c>
      <c r="H169" s="1692">
        <f t="shared" ca="1" si="6"/>
        <v>0</v>
      </c>
      <c r="I169" s="1692">
        <f t="shared" ca="1" si="6"/>
        <v>0</v>
      </c>
      <c r="J169" s="1692">
        <f t="shared" ca="1" si="6"/>
        <v>0</v>
      </c>
      <c r="K169" s="1673">
        <f t="shared" ca="1" si="6"/>
        <v>0</v>
      </c>
    </row>
    <row r="170" spans="1:11" ht="12.75" customHeight="1" thickTop="1" thickBot="1" x14ac:dyDescent="0.25">
      <c r="A170" s="1678" t="s">
        <v>399</v>
      </c>
      <c r="B170" s="1684" t="s">
        <v>575</v>
      </c>
      <c r="C170" s="1685">
        <f t="shared" ref="C170:K170" ca="1" si="7">SUM(C122,C169)</f>
        <v>7405927</v>
      </c>
      <c r="D170" s="1685">
        <f t="shared" ca="1" si="7"/>
        <v>0</v>
      </c>
      <c r="E170" s="1685">
        <f t="shared" ca="1" si="7"/>
        <v>0</v>
      </c>
      <c r="F170" s="1685">
        <f t="shared" ca="1" si="7"/>
        <v>303130</v>
      </c>
      <c r="G170" s="1685">
        <f t="shared" ca="1" si="7"/>
        <v>0</v>
      </c>
      <c r="H170" s="1685">
        <f t="shared" ca="1" si="7"/>
        <v>0</v>
      </c>
      <c r="I170" s="1685">
        <f t="shared" ca="1" si="7"/>
        <v>0</v>
      </c>
      <c r="J170" s="1685">
        <f t="shared" ca="1" si="7"/>
        <v>0</v>
      </c>
      <c r="K170" s="1672">
        <f t="shared" ca="1" si="7"/>
        <v>0</v>
      </c>
    </row>
    <row r="171" spans="1:11" ht="16.7" customHeight="1" thickTop="1" x14ac:dyDescent="0.2">
      <c r="A171" s="1559" t="s">
        <v>804</v>
      </c>
      <c r="B171" s="1537"/>
      <c r="C171" s="1540"/>
      <c r="D171" s="1541"/>
      <c r="E171" s="1541"/>
      <c r="F171" s="1541"/>
      <c r="G171" s="1541"/>
      <c r="H171" s="1541"/>
      <c r="I171" s="1541"/>
      <c r="J171" s="1541"/>
      <c r="K171" s="1542"/>
    </row>
    <row r="172" spans="1:11" ht="15.75" customHeight="1" x14ac:dyDescent="0.2">
      <c r="A172" s="2197" t="s">
        <v>1492</v>
      </c>
      <c r="B172" s="2198"/>
      <c r="C172" s="513"/>
      <c r="D172" s="513"/>
      <c r="E172" s="502"/>
      <c r="F172" s="468"/>
      <c r="G172" s="468"/>
      <c r="H172" s="468"/>
      <c r="I172" s="468"/>
      <c r="J172" s="468"/>
      <c r="K172" s="468"/>
    </row>
    <row r="173" spans="1:11" ht="12.6" customHeight="1" x14ac:dyDescent="0.2">
      <c r="A173" s="486" t="s">
        <v>1044</v>
      </c>
      <c r="B173" s="485">
        <v>4001</v>
      </c>
      <c r="C173" s="466">
        <f ca="1">ROUND(SUMIF(INDIRECT(Formulas!$B$1),MID(C$1,2,2)&amp;"-"&amp;LEFT($B173,4)&amp;"*-0*",INDIRECT(Formulas!$B$3)),0)</f>
        <v>0</v>
      </c>
      <c r="D173" s="466">
        <f ca="1">ROUND(SUMIF(INDIRECT(Formulas!$B$1),MID(D$1,2,2)&amp;"-"&amp;LEFT($B173,4)&amp;"*-0*",INDIRECT(Formulas!$B$3)),0)</f>
        <v>0</v>
      </c>
      <c r="E173" s="466">
        <f ca="1">ROUND(SUMIF(INDIRECT(Formulas!$B$1),MID(E$1,2,2)&amp;"-"&amp;LEFT($B173,4)&amp;"*-0*",INDIRECT(Formulas!$B$3)),0)</f>
        <v>0</v>
      </c>
      <c r="F173" s="466">
        <f ca="1">ROUND(SUMIF(INDIRECT(Formulas!$B$1),MID(F$1,2,2)&amp;"-"&amp;LEFT($B173,4)&amp;"*-0*",INDIRECT(Formulas!$B$3)),0)</f>
        <v>0</v>
      </c>
      <c r="G173" s="466">
        <f ca="1">ROUND(SUMIF(INDIRECT(Formulas!$B$1),MID(G$1,2,2)&amp;"-"&amp;LEFT($B173,4)&amp;"*-0*",INDIRECT(Formulas!$B$3)),0)</f>
        <v>0</v>
      </c>
      <c r="H173" s="466">
        <f ca="1">ROUND(SUMIF(INDIRECT(Formulas!$B$1),MID(H$1,2,2)&amp;"-"&amp;LEFT($B173,4)&amp;"*-0*",INDIRECT(Formulas!$B$3)),0)</f>
        <v>0</v>
      </c>
      <c r="I173" s="466">
        <f ca="1">ROUND(SUMIF(INDIRECT(Formulas!$B$1),MID(I$1,2,2)&amp;"-"&amp;LEFT($B173,4)&amp;"*-0*",INDIRECT(Formulas!$B$3)),0)</f>
        <v>0</v>
      </c>
      <c r="J173" s="466">
        <f ca="1">ROUND(SUMIF(INDIRECT(Formulas!$B$1),MID(J$1,2,2)&amp;"-"&amp;LEFT($B173,4)&amp;"*-0*",INDIRECT(Formulas!$B$3)),0)</f>
        <v>0</v>
      </c>
      <c r="K173" s="466">
        <f ca="1">ROUND(SUMIF(INDIRECT(Formulas!$B$1),MID(K$1,2,2)&amp;"-"&amp;LEFT($B173,4)&amp;"*-0*",INDIRECT(Formulas!$B$3)),0)</f>
        <v>0</v>
      </c>
    </row>
    <row r="174" spans="1:11" ht="22.5" x14ac:dyDescent="0.2">
      <c r="A174" s="550" t="s">
        <v>805</v>
      </c>
      <c r="B174" s="562">
        <v>4009</v>
      </c>
      <c r="C174" s="466">
        <f ca="1">ROUND(SUMIF(INDIRECT(Formulas!$B$1),MID(C$1,2,2)&amp;"-"&amp;LEFT($B174,4)&amp;"*-0*",INDIRECT(Formulas!$B$3)),0)</f>
        <v>0</v>
      </c>
      <c r="D174" s="466">
        <f ca="1">ROUND(SUMIF(INDIRECT(Formulas!$B$1),MID(D$1,2,2)&amp;"-"&amp;LEFT($B174,4)&amp;"*-0*",INDIRECT(Formulas!$B$3)),0)</f>
        <v>0</v>
      </c>
      <c r="E174" s="466">
        <f ca="1">ROUND(SUMIF(INDIRECT(Formulas!$B$1),MID(E$1,2,2)&amp;"-"&amp;LEFT($B174,4)&amp;"*-0*",INDIRECT(Formulas!$B$3)),0)</f>
        <v>0</v>
      </c>
      <c r="F174" s="466">
        <f ca="1">ROUND(SUMIF(INDIRECT(Formulas!$B$1),MID(F$1,2,2)&amp;"-"&amp;LEFT($B174,4)&amp;"*-0*",INDIRECT(Formulas!$B$3)),0)</f>
        <v>0</v>
      </c>
      <c r="G174" s="466">
        <f ca="1">ROUND(SUMIF(INDIRECT(Formulas!$B$1),MID(G$1,2,2)&amp;"-"&amp;LEFT($B174,4)&amp;"*-0*",INDIRECT(Formulas!$B$3)),0)</f>
        <v>0</v>
      </c>
      <c r="H174" s="466">
        <f ca="1">ROUND(SUMIF(INDIRECT(Formulas!$B$1),MID(H$1,2,2)&amp;"-"&amp;LEFT($B174,4)&amp;"*-0*",INDIRECT(Formulas!$B$3)),0)</f>
        <v>0</v>
      </c>
      <c r="I174" s="466">
        <f ca="1">ROUND(SUMIF(INDIRECT(Formulas!$B$1),MID(I$1,2,2)&amp;"-"&amp;LEFT($B174,4)&amp;"*-0*",INDIRECT(Formulas!$B$3)),0)</f>
        <v>0</v>
      </c>
      <c r="J174" s="466">
        <f ca="1">ROUND(SUMIF(INDIRECT(Formulas!$B$1),MID(J$1,2,2)&amp;"-"&amp;LEFT($B174,4)&amp;"*-0*",INDIRECT(Formulas!$B$3)),0)</f>
        <v>0</v>
      </c>
      <c r="K174" s="466">
        <f ca="1">ROUND(SUMIF(INDIRECT(Formulas!$B$1),MID(K$1,2,2)&amp;"-"&amp;LEFT($B174,4)&amp;"*-0*",INDIRECT(Formulas!$B$3)),0)</f>
        <v>0</v>
      </c>
    </row>
    <row r="175" spans="1:11" ht="13.5" thickBot="1" x14ac:dyDescent="0.25">
      <c r="A175" s="2201" t="s">
        <v>1665</v>
      </c>
      <c r="B175" s="2202"/>
      <c r="C175" s="1677">
        <f ca="1">SUM(C173:C174)</f>
        <v>0</v>
      </c>
      <c r="D175" s="1677">
        <f t="shared" ref="D175:K175" ca="1" si="8">SUM(D173:D174)</f>
        <v>0</v>
      </c>
      <c r="E175" s="1677">
        <f t="shared" ca="1" si="8"/>
        <v>0</v>
      </c>
      <c r="F175" s="1677">
        <f t="shared" ca="1" si="8"/>
        <v>0</v>
      </c>
      <c r="G175" s="1677">
        <f t="shared" ca="1" si="8"/>
        <v>0</v>
      </c>
      <c r="H175" s="1677">
        <f t="shared" ca="1" si="8"/>
        <v>0</v>
      </c>
      <c r="I175" s="1677">
        <f t="shared" ca="1" si="8"/>
        <v>0</v>
      </c>
      <c r="J175" s="1677">
        <f t="shared" ca="1" si="8"/>
        <v>0</v>
      </c>
      <c r="K175" s="1658">
        <f t="shared" ca="1" si="8"/>
        <v>0</v>
      </c>
    </row>
    <row r="176" spans="1:11" s="457" customFormat="1" ht="15.75" customHeight="1" thickTop="1" x14ac:dyDescent="0.2">
      <c r="A176" s="2205" t="s">
        <v>1664</v>
      </c>
      <c r="B176" s="2206"/>
      <c r="C176" s="574"/>
      <c r="D176" s="575"/>
      <c r="E176" s="576"/>
      <c r="F176" s="577"/>
      <c r="G176" s="577"/>
      <c r="H176" s="577"/>
      <c r="I176" s="577"/>
      <c r="J176" s="577"/>
      <c r="K176" s="577"/>
    </row>
    <row r="177" spans="1:11" ht="12.75" customHeight="1" x14ac:dyDescent="0.2">
      <c r="A177" s="463" t="s">
        <v>1045</v>
      </c>
      <c r="B177" s="470">
        <v>4045</v>
      </c>
      <c r="C177" s="466">
        <f ca="1">ROUND(SUMIF(INDIRECT(Formulas!$B$1),MID(C$1,2,2)&amp;"-"&amp;LEFT($B177,4)&amp;"*-0*",INDIRECT(Formulas!$B$3)),0)</f>
        <v>0</v>
      </c>
      <c r="D177" s="468"/>
      <c r="E177" s="548"/>
      <c r="F177" s="468"/>
      <c r="G177" s="468"/>
      <c r="H177" s="468"/>
      <c r="I177" s="468"/>
      <c r="J177" s="468"/>
      <c r="K177" s="468"/>
    </row>
    <row r="178" spans="1:11" ht="12.75" customHeight="1" x14ac:dyDescent="0.2">
      <c r="A178" s="463" t="s">
        <v>1046</v>
      </c>
      <c r="B178" s="470">
        <v>4050</v>
      </c>
      <c r="C178" s="466">
        <f ca="1">ROUND(SUMIF(INDIRECT(Formulas!$B$1),MID(C$1,2,2)&amp;"-"&amp;LEFT($B178,4)&amp;"*-0*",INDIRECT(Formulas!$B$3)),0)</f>
        <v>0</v>
      </c>
      <c r="D178" s="466">
        <f ca="1">ROUND(SUMIF(INDIRECT(Formulas!$B$1),MID(D$1,2,2)&amp;"-"&amp;LEFT($B178,4)&amp;"*-0*",INDIRECT(Formulas!$B$3)),0)</f>
        <v>0</v>
      </c>
      <c r="E178" s="548"/>
      <c r="F178" s="468"/>
      <c r="G178" s="468"/>
      <c r="H178" s="466">
        <f ca="1">ROUND(SUMIF(INDIRECT(Formulas!$B$1),MID(H$1,2,2)&amp;"-"&amp;LEFT($B178,4)&amp;"*-0*",INDIRECT(Formulas!$B$3)),0)</f>
        <v>0</v>
      </c>
      <c r="I178" s="468"/>
      <c r="J178" s="468"/>
      <c r="K178" s="468"/>
    </row>
    <row r="179" spans="1:11" ht="12.75" customHeight="1" x14ac:dyDescent="0.2">
      <c r="A179" s="463" t="s">
        <v>260</v>
      </c>
      <c r="B179" s="470">
        <v>4060</v>
      </c>
      <c r="C179" s="466">
        <f ca="1">ROUND(SUMIF(INDIRECT(Formulas!$B$1),MID(C$1,2,2)&amp;"-"&amp;LEFT($B179,4)&amp;"*-0*",INDIRECT(Formulas!$B$3)),0)</f>
        <v>0</v>
      </c>
      <c r="D179" s="466">
        <f ca="1">ROUND(SUMIF(INDIRECT(Formulas!$B$1),MID(D$1,2,2)&amp;"-"&amp;LEFT($B179,4)&amp;"*-0*",INDIRECT(Formulas!$B$3)),0)</f>
        <v>0</v>
      </c>
      <c r="E179" s="468"/>
      <c r="F179" s="466">
        <f ca="1">ROUND(SUMIF(INDIRECT(Formulas!$B$1),MID(F$1,2,2)&amp;"-"&amp;LEFT($B179,4)&amp;"*-0*",INDIRECT(Formulas!$B$3)),0)</f>
        <v>0</v>
      </c>
      <c r="G179" s="466">
        <f ca="1">ROUND(SUMIF(INDIRECT(Formulas!$B$1),MID(G$1,2,2)&amp;"-"&amp;LEFT($B179,4)&amp;"*-0*",INDIRECT(Formulas!$B$3)),0)</f>
        <v>0</v>
      </c>
      <c r="H179" s="466">
        <f ca="1">ROUND(SUMIF(INDIRECT(Formulas!$B$1),MID(H$1,2,2)&amp;"-"&amp;LEFT($B179,4)&amp;"*-0*",INDIRECT(Formulas!$B$3)),0)</f>
        <v>0</v>
      </c>
      <c r="I179" s="468"/>
      <c r="J179" s="468"/>
      <c r="K179" s="514"/>
    </row>
    <row r="180" spans="1:11" ht="22.5" x14ac:dyDescent="0.2">
      <c r="A180" s="550" t="s">
        <v>786</v>
      </c>
      <c r="B180" s="562">
        <v>4090</v>
      </c>
      <c r="C180" s="466">
        <f ca="1">ROUND(SUMIF(INDIRECT(Formulas!$B$1),MID(C$1,2,2)&amp;"-"&amp;LEFT($B180,4)&amp;"*-0*",INDIRECT(Formulas!$B$3)),0)</f>
        <v>0</v>
      </c>
      <c r="D180" s="466">
        <f ca="1">ROUND(SUMIF(INDIRECT(Formulas!$B$1),MID(D$1,2,2)&amp;"-"&amp;LEFT($B180,4)&amp;"*-0*",INDIRECT(Formulas!$B$3)),0)</f>
        <v>0</v>
      </c>
      <c r="E180" s="468"/>
      <c r="F180" s="466">
        <f ca="1">ROUND(SUMIF(INDIRECT(Formulas!$B$1),MID(F$1,2,2)&amp;"-"&amp;LEFT($B180,4)&amp;"*-0*",INDIRECT(Formulas!$B$3)),0)</f>
        <v>0</v>
      </c>
      <c r="G180" s="466">
        <f ca="1">ROUND(SUMIF(INDIRECT(Formulas!$B$1),MID(G$1,2,2)&amp;"-"&amp;LEFT($B180,4)&amp;"*-0*",INDIRECT(Formulas!$B$3)),0)</f>
        <v>0</v>
      </c>
      <c r="H180" s="466">
        <f ca="1">ROUND(SUMIF(INDIRECT(Formulas!$B$1),MID(H$1,2,2)&amp;"-"&amp;LEFT($B180,4)&amp;"*-0*",INDIRECT(Formulas!$B$3)),0)</f>
        <v>0</v>
      </c>
      <c r="I180" s="468"/>
      <c r="J180" s="468"/>
      <c r="K180" s="466">
        <f ca="1">ROUND(SUMIF(INDIRECT(Formulas!$B$1),MID(K$1,2,2)&amp;"-"&amp;LEFT($B180,4)&amp;"*-0*",INDIRECT(Formulas!$B$3)),0)</f>
        <v>0</v>
      </c>
    </row>
    <row r="181" spans="1:11" ht="13.5" thickBot="1" x14ac:dyDescent="0.25">
      <c r="A181" s="2203" t="s">
        <v>785</v>
      </c>
      <c r="B181" s="2204"/>
      <c r="C181" s="1677">
        <f ca="1">SUM(C177:C180)</f>
        <v>0</v>
      </c>
      <c r="D181" s="1677">
        <f ca="1">SUM(D177:D180)</f>
        <v>0</v>
      </c>
      <c r="E181" s="468"/>
      <c r="F181" s="1677">
        <f ca="1">SUM(F177:F180)</f>
        <v>0</v>
      </c>
      <c r="G181" s="1677">
        <f ca="1">SUM(G177:G180)</f>
        <v>0</v>
      </c>
      <c r="H181" s="1677">
        <f ca="1">SUM(H177:H180)</f>
        <v>0</v>
      </c>
      <c r="I181" s="468"/>
      <c r="J181" s="468"/>
      <c r="K181" s="1658">
        <f ca="1">SUM(K177:K180)</f>
        <v>0</v>
      </c>
    </row>
    <row r="182" spans="1:11" ht="22.5" customHeight="1" thickTop="1" x14ac:dyDescent="0.2">
      <c r="A182" s="2199" t="s">
        <v>1800</v>
      </c>
      <c r="B182" s="2200"/>
      <c r="C182" s="563"/>
      <c r="D182" s="553"/>
      <c r="E182" s="502"/>
      <c r="F182" s="553"/>
      <c r="G182" s="553"/>
      <c r="H182" s="468"/>
      <c r="I182" s="468"/>
      <c r="J182" s="468"/>
      <c r="K182" s="468"/>
    </row>
    <row r="183" spans="1:11" ht="15.75" customHeight="1" x14ac:dyDescent="0.2">
      <c r="A183" s="1573" t="s">
        <v>1602</v>
      </c>
      <c r="B183" s="1574"/>
      <c r="C183" s="515"/>
      <c r="D183" s="514"/>
      <c r="E183" s="502"/>
      <c r="F183" s="514"/>
      <c r="G183" s="514"/>
      <c r="H183" s="468"/>
      <c r="I183" s="468"/>
      <c r="J183" s="468"/>
      <c r="K183" s="468"/>
    </row>
    <row r="184" spans="1:11" ht="12.75" customHeight="1" x14ac:dyDescent="0.2">
      <c r="A184" s="463" t="s">
        <v>1603</v>
      </c>
      <c r="B184" s="470">
        <v>4100</v>
      </c>
      <c r="C184" s="466">
        <f ca="1">ROUND(SUMIF(INDIRECT(Formulas!$B$1),MID(C$1,2,2)&amp;"-"&amp;LEFT($B184,4)&amp;"*-0*",INDIRECT(Formulas!$B$3)),0)</f>
        <v>0</v>
      </c>
      <c r="D184" s="466">
        <f ca="1">ROUND(SUMIF(INDIRECT(Formulas!$B$1),MID(D$1,2,2)&amp;"-"&amp;LEFT($B184,4)&amp;"*-0*",INDIRECT(Formulas!$B$3)),0)</f>
        <v>0</v>
      </c>
      <c r="E184" s="548"/>
      <c r="F184" s="466">
        <f ca="1">ROUND(SUMIF(INDIRECT(Formulas!$B$1),MID(F$1,2,2)&amp;"-"&amp;LEFT($B184,4)&amp;"*-0*",INDIRECT(Formulas!$B$3)),0)</f>
        <v>0</v>
      </c>
      <c r="G184" s="466">
        <f ca="1">ROUND(SUMIF(INDIRECT(Formulas!$B$1),MID(G$1,2,2)&amp;"-"&amp;LEFT($B184,4)&amp;"*-0*",INDIRECT(Formulas!$B$3)),0)</f>
        <v>0</v>
      </c>
      <c r="H184" s="468"/>
      <c r="I184" s="468"/>
      <c r="J184" s="468"/>
      <c r="K184" s="468"/>
    </row>
    <row r="185" spans="1:11" ht="12.75" customHeight="1" x14ac:dyDescent="0.2">
      <c r="A185" s="463" t="s">
        <v>1604</v>
      </c>
      <c r="B185" s="470">
        <v>4105</v>
      </c>
      <c r="C185" s="466">
        <f ca="1">ROUND(SUMIF(INDIRECT(Formulas!$B$1),MID(C$1,2,2)&amp;"-"&amp;LEFT($B185,4)&amp;"*-0*",INDIRECT(Formulas!$B$3)),0)</f>
        <v>0</v>
      </c>
      <c r="D185" s="466">
        <f ca="1">ROUND(SUMIF(INDIRECT(Formulas!$B$1),MID(D$1,2,2)&amp;"-"&amp;LEFT($B185,4)&amp;"*-0*",INDIRECT(Formulas!$B$3)),0)</f>
        <v>0</v>
      </c>
      <c r="E185" s="548"/>
      <c r="F185" s="466">
        <f ca="1">ROUND(SUMIF(INDIRECT(Formulas!$B$1),MID(F$1,2,2)&amp;"-"&amp;LEFT($B185,4)&amp;"*-0*",INDIRECT(Formulas!$B$3)),0)</f>
        <v>0</v>
      </c>
      <c r="G185" s="466">
        <f ca="1">ROUND(SUMIF(INDIRECT(Formulas!$B$1),MID(G$1,2,2)&amp;"-"&amp;LEFT($B185,4)&amp;"*-0*",INDIRECT(Formulas!$B$3)),0)</f>
        <v>0</v>
      </c>
      <c r="H185" s="468"/>
      <c r="I185" s="468"/>
      <c r="J185" s="468"/>
      <c r="K185" s="468"/>
    </row>
    <row r="186" spans="1:11" ht="12.75" customHeight="1" x14ac:dyDescent="0.2">
      <c r="A186" s="463" t="s">
        <v>1606</v>
      </c>
      <c r="B186" s="470">
        <v>4107</v>
      </c>
      <c r="C186" s="466">
        <f ca="1">ROUND(SUMIF(INDIRECT(Formulas!$B$1),MID(C$1,2,2)&amp;"-"&amp;LEFT($B186,4)&amp;"*-0*",INDIRECT(Formulas!$B$3)),0)</f>
        <v>35842</v>
      </c>
      <c r="D186" s="466">
        <f ca="1">ROUND(SUMIF(INDIRECT(Formulas!$B$1),MID(D$1,2,2)&amp;"-"&amp;LEFT($B186,4)&amp;"*-0*",INDIRECT(Formulas!$B$3)),0)</f>
        <v>0</v>
      </c>
      <c r="E186" s="548"/>
      <c r="F186" s="466">
        <f ca="1">ROUND(SUMIF(INDIRECT(Formulas!$B$1),MID(F$1,2,2)&amp;"-"&amp;LEFT($B186,4)&amp;"*-0*",INDIRECT(Formulas!$B$3)),0)</f>
        <v>0</v>
      </c>
      <c r="G186" s="466">
        <f ca="1">ROUND(SUMIF(INDIRECT(Formulas!$B$1),MID(G$1,2,2)&amp;"-"&amp;LEFT($B186,4)&amp;"*-0*",INDIRECT(Formulas!$B$3)),0)</f>
        <v>0</v>
      </c>
      <c r="H186" s="468"/>
      <c r="I186" s="468"/>
      <c r="J186" s="468"/>
      <c r="K186" s="468"/>
    </row>
    <row r="187" spans="1:11" ht="12.75" customHeight="1" x14ac:dyDescent="0.2">
      <c r="A187" s="463" t="s">
        <v>1605</v>
      </c>
      <c r="B187" s="470">
        <v>4199</v>
      </c>
      <c r="C187" s="466">
        <f ca="1">ROUND(SUMIF(INDIRECT(Formulas!$B$1),MID(C$1,2,2)&amp;"-"&amp;LEFT($B187,4)&amp;"*-0*",INDIRECT(Formulas!$B$3)),0)</f>
        <v>0</v>
      </c>
      <c r="D187" s="466">
        <f ca="1">ROUND(SUMIF(INDIRECT(Formulas!$B$1),MID(D$1,2,2)&amp;"-"&amp;LEFT($B187,4)&amp;"*-0*",INDIRECT(Formulas!$B$3)),0)</f>
        <v>0</v>
      </c>
      <c r="E187" s="548"/>
      <c r="F187" s="466">
        <f ca="1">ROUND(SUMIF(INDIRECT(Formulas!$B$1),MID(F$1,2,2)&amp;"-"&amp;LEFT($B187,4)&amp;"*-0*",INDIRECT(Formulas!$B$3)),0)</f>
        <v>0</v>
      </c>
      <c r="G187" s="466">
        <f ca="1">ROUND(SUMIF(INDIRECT(Formulas!$B$1),MID(G$1,2,2)&amp;"-"&amp;LEFT($B187,4)&amp;"*-0*",INDIRECT(Formulas!$B$3)),0)</f>
        <v>0</v>
      </c>
      <c r="H187" s="468"/>
      <c r="I187" s="468"/>
      <c r="J187" s="468"/>
      <c r="K187" s="468"/>
    </row>
    <row r="188" spans="1:11" ht="12.75" customHeight="1" thickBot="1" x14ac:dyDescent="0.25">
      <c r="A188" s="1678" t="s">
        <v>1607</v>
      </c>
      <c r="B188" s="1679"/>
      <c r="C188" s="1677">
        <f ca="1">SUM(C184:C187)</f>
        <v>35842</v>
      </c>
      <c r="D188" s="1677">
        <f ca="1">SUM(D184:D187)</f>
        <v>0</v>
      </c>
      <c r="E188" s="548"/>
      <c r="F188" s="1677">
        <f ca="1">SUM(F184:F187)</f>
        <v>0</v>
      </c>
      <c r="G188" s="1677">
        <f ca="1">SUM(G184:G187)</f>
        <v>0</v>
      </c>
      <c r="H188" s="468"/>
      <c r="I188" s="468"/>
      <c r="J188" s="468"/>
      <c r="K188" s="468"/>
    </row>
    <row r="189" spans="1:11" ht="15.75" customHeight="1" thickTop="1" x14ac:dyDescent="0.2">
      <c r="A189" s="1570" t="s">
        <v>455</v>
      </c>
      <c r="B189" s="1575"/>
      <c r="C189" s="541"/>
      <c r="D189" s="553"/>
      <c r="E189" s="548"/>
      <c r="F189" s="541"/>
      <c r="G189" s="541"/>
      <c r="H189" s="468"/>
      <c r="I189" s="468"/>
      <c r="J189" s="468"/>
      <c r="K189" s="468"/>
    </row>
    <row r="190" spans="1:11" x14ac:dyDescent="0.2">
      <c r="A190" s="463" t="s">
        <v>1450</v>
      </c>
      <c r="B190" s="470">
        <v>4200</v>
      </c>
      <c r="C190" s="466">
        <f ca="1">ROUND(SUMIF(INDIRECT(Formulas!$B$1),MID(C$1,2,2)&amp;"-"&amp;LEFT($B190,4)&amp;"*-0*",INDIRECT(Formulas!$B$3)),0)</f>
        <v>0</v>
      </c>
      <c r="D190" s="468"/>
      <c r="E190" s="548"/>
      <c r="F190" s="541"/>
      <c r="G190" s="466">
        <f ca="1">ROUND(SUMIF(INDIRECT(Formulas!$B$1),MID(G$1,2,2)&amp;"-"&amp;LEFT($B190,4)&amp;"*-0*",INDIRECT(Formulas!$B$3)),0)</f>
        <v>0</v>
      </c>
      <c r="H190" s="468"/>
      <c r="I190" s="468"/>
      <c r="J190" s="468"/>
      <c r="K190" s="468"/>
    </row>
    <row r="191" spans="1:11" ht="12.75" customHeight="1" x14ac:dyDescent="0.2">
      <c r="A191" s="463" t="s">
        <v>1058</v>
      </c>
      <c r="B191" s="470">
        <v>4210</v>
      </c>
      <c r="C191" s="466">
        <f ca="1">ROUND(SUMIF(INDIRECT(Formulas!$B$1),MID(C$1,2,2)&amp;"-"&amp;LEFT($B191,4)&amp;"*-0*",INDIRECT(Formulas!$B$3)),0)</f>
        <v>395714</v>
      </c>
      <c r="D191" s="468"/>
      <c r="E191" s="548"/>
      <c r="F191" s="468"/>
      <c r="G191" s="466">
        <f ca="1">ROUND(SUMIF(INDIRECT(Formulas!$B$1),MID(G$1,2,2)&amp;"-"&amp;LEFT($B191,4)&amp;"*-0*",INDIRECT(Formulas!$B$3)),0)</f>
        <v>0</v>
      </c>
      <c r="H191" s="468"/>
      <c r="I191" s="468"/>
      <c r="J191" s="468"/>
      <c r="K191" s="468"/>
    </row>
    <row r="192" spans="1:11" ht="12.75" customHeight="1" x14ac:dyDescent="0.2">
      <c r="A192" s="463" t="s">
        <v>1047</v>
      </c>
      <c r="B192" s="470">
        <v>4215</v>
      </c>
      <c r="C192" s="466">
        <f ca="1">ROUND(SUMIF(INDIRECT(Formulas!$B$1),MID(C$1,2,2)&amp;"-"&amp;LEFT($B192,4)&amp;"*-0*",INDIRECT(Formulas!$B$3)),0)</f>
        <v>0</v>
      </c>
      <c r="D192" s="468"/>
      <c r="E192" s="548"/>
      <c r="F192" s="468"/>
      <c r="G192" s="466">
        <f ca="1">ROUND(SUMIF(INDIRECT(Formulas!$B$1),MID(G$1,2,2)&amp;"-"&amp;LEFT($B192,4)&amp;"*-0*",INDIRECT(Formulas!$B$3)),0)</f>
        <v>0</v>
      </c>
      <c r="H192" s="468"/>
      <c r="I192" s="468"/>
      <c r="J192" s="468"/>
      <c r="K192" s="468"/>
    </row>
    <row r="193" spans="1:11" ht="12.75" customHeight="1" x14ac:dyDescent="0.2">
      <c r="A193" s="463" t="s">
        <v>1059</v>
      </c>
      <c r="B193" s="470">
        <v>4220</v>
      </c>
      <c r="C193" s="466">
        <f ca="1">ROUND(SUMIF(INDIRECT(Formulas!$B$1),MID(C$1,2,2)&amp;"-"&amp;LEFT($B193,4)&amp;"*-0*",INDIRECT(Formulas!$B$3)),0)</f>
        <v>94748</v>
      </c>
      <c r="D193" s="468"/>
      <c r="E193" s="548"/>
      <c r="F193" s="468"/>
      <c r="G193" s="466">
        <f ca="1">ROUND(SUMIF(INDIRECT(Formulas!$B$1),MID(G$1,2,2)&amp;"-"&amp;LEFT($B193,4)&amp;"*-0*",INDIRECT(Formulas!$B$3)),0)</f>
        <v>0</v>
      </c>
      <c r="H193" s="468"/>
      <c r="I193" s="468"/>
      <c r="J193" s="468"/>
      <c r="K193" s="468"/>
    </row>
    <row r="194" spans="1:11" ht="12.75" customHeight="1" x14ac:dyDescent="0.2">
      <c r="A194" s="463" t="s">
        <v>1451</v>
      </c>
      <c r="B194" s="470">
        <v>4225</v>
      </c>
      <c r="C194" s="466">
        <f ca="1">ROUND(SUMIF(INDIRECT(Formulas!$B$1),MID(C$1,2,2)&amp;"-"&amp;LEFT($B194,4)&amp;"*-0*",INDIRECT(Formulas!$B$3)),0)</f>
        <v>0</v>
      </c>
      <c r="D194" s="468"/>
      <c r="E194" s="548"/>
      <c r="F194" s="468"/>
      <c r="G194" s="466">
        <f ca="1">ROUND(SUMIF(INDIRECT(Formulas!$B$1),MID(G$1,2,2)&amp;"-"&amp;LEFT($B194,4)&amp;"*-0*",INDIRECT(Formulas!$B$3)),0)</f>
        <v>0</v>
      </c>
      <c r="H194" s="468"/>
      <c r="I194" s="468"/>
      <c r="J194" s="468"/>
      <c r="K194" s="468"/>
    </row>
    <row r="195" spans="1:11" ht="12.75" customHeight="1" x14ac:dyDescent="0.2">
      <c r="A195" s="463" t="s">
        <v>1452</v>
      </c>
      <c r="B195" s="470">
        <v>4226</v>
      </c>
      <c r="C195" s="466">
        <f ca="1">ROUND(SUMIF(INDIRECT(Formulas!$B$1),MID(C$1,2,2)&amp;"-"&amp;LEFT($B195,4)&amp;"*-0*",INDIRECT(Formulas!$B$3)),0)</f>
        <v>0</v>
      </c>
      <c r="D195" s="468"/>
      <c r="E195" s="548"/>
      <c r="F195" s="468"/>
      <c r="G195" s="466">
        <f ca="1">ROUND(SUMIF(INDIRECT(Formulas!$B$1),MID(G$1,2,2)&amp;"-"&amp;LEFT($B195,4)&amp;"*-0*",INDIRECT(Formulas!$B$3)),0)</f>
        <v>0</v>
      </c>
      <c r="H195" s="468"/>
      <c r="I195" s="468"/>
      <c r="J195" s="468"/>
      <c r="K195" s="468"/>
    </row>
    <row r="196" spans="1:11" ht="12.75" customHeight="1" x14ac:dyDescent="0.2">
      <c r="A196" s="463" t="s">
        <v>792</v>
      </c>
      <c r="B196" s="470">
        <v>4240</v>
      </c>
      <c r="C196" s="466">
        <f ca="1">ROUND(SUMIF(INDIRECT(Formulas!$B$1),MID(C$1,2,2)&amp;"-"&amp;LEFT($B196,4)&amp;"*-0*",INDIRECT(Formulas!$B$3)),0)</f>
        <v>0</v>
      </c>
      <c r="D196" s="468"/>
      <c r="E196" s="548"/>
      <c r="F196" s="468"/>
      <c r="G196" s="565"/>
      <c r="H196" s="468"/>
      <c r="I196" s="468"/>
      <c r="J196" s="468"/>
      <c r="K196" s="468"/>
    </row>
    <row r="197" spans="1:11" ht="12.75" customHeight="1" x14ac:dyDescent="0.2">
      <c r="A197" s="463" t="s">
        <v>71</v>
      </c>
      <c r="B197" s="470">
        <v>4299</v>
      </c>
      <c r="C197" s="466">
        <f ca="1">ROUND(SUMIF(INDIRECT(Formulas!$B$1),MID(C$1,2,2)&amp;"-"&amp;LEFT($B197,4)&amp;"*-0*",INDIRECT(Formulas!$B$3)),0)</f>
        <v>0</v>
      </c>
      <c r="D197" s="468"/>
      <c r="E197" s="548"/>
      <c r="F197" s="468"/>
      <c r="G197" s="466">
        <f ca="1">ROUND(SUMIF(INDIRECT(Formulas!$B$1),MID(G$1,2,2)&amp;"-"&amp;LEFT($B197,4)&amp;"*-0*",INDIRECT(Formulas!$B$3)),0)</f>
        <v>0</v>
      </c>
      <c r="H197" s="468"/>
      <c r="I197" s="468"/>
      <c r="J197" s="468"/>
      <c r="K197" s="468"/>
    </row>
    <row r="198" spans="1:11" ht="12.75" customHeight="1" thickBot="1" x14ac:dyDescent="0.25">
      <c r="A198" s="1678" t="s">
        <v>548</v>
      </c>
      <c r="B198" s="1679"/>
      <c r="C198" s="1658">
        <f ca="1">SUM(C190:C197)</f>
        <v>490462</v>
      </c>
      <c r="D198" s="468"/>
      <c r="E198" s="468"/>
      <c r="F198" s="468"/>
      <c r="G198" s="1658">
        <f ca="1">SUM(G190:G197)</f>
        <v>0</v>
      </c>
      <c r="H198" s="468"/>
      <c r="I198" s="468"/>
      <c r="J198" s="468"/>
      <c r="K198" s="468"/>
    </row>
    <row r="199" spans="1:11" ht="15.75" customHeight="1" thickTop="1" x14ac:dyDescent="0.2">
      <c r="A199" s="1570" t="s">
        <v>1138</v>
      </c>
      <c r="B199" s="1575"/>
      <c r="C199" s="541"/>
      <c r="D199" s="468"/>
      <c r="E199" s="468"/>
      <c r="F199" s="468"/>
      <c r="G199" s="468"/>
      <c r="H199" s="468"/>
      <c r="I199" s="468"/>
      <c r="J199" s="468"/>
      <c r="K199" s="468"/>
    </row>
    <row r="200" spans="1:11" ht="12.75" customHeight="1" x14ac:dyDescent="0.2">
      <c r="A200" s="463" t="s">
        <v>918</v>
      </c>
      <c r="B200" s="470">
        <v>4300</v>
      </c>
      <c r="C200" s="466">
        <f ca="1">ROUND(SUMIF(INDIRECT(Formulas!$B$1),MID(C$1,2,2)&amp;"-"&amp;LEFT($B200,4)&amp;"*-0*",INDIRECT(Formulas!$B$3)),0)</f>
        <v>465529</v>
      </c>
      <c r="D200" s="466">
        <f ca="1">ROUND(SUMIF(INDIRECT(Formulas!$B$1),MID(D$1,2,2)&amp;"-"&amp;LEFT($B200,4)&amp;"*-0*",INDIRECT(Formulas!$B$3)),0)</f>
        <v>0</v>
      </c>
      <c r="E200" s="468"/>
      <c r="F200" s="466">
        <f ca="1">ROUND(SUMIF(INDIRECT(Formulas!$B$1),MID(F$1,2,2)&amp;"-"&amp;LEFT($B200,4)&amp;"*-0*",INDIRECT(Formulas!$B$3)),0)</f>
        <v>0</v>
      </c>
      <c r="G200" s="466">
        <f ca="1">ROUND(SUMIF(INDIRECT(Formulas!$B$1),MID(G$1,2,2)&amp;"-"&amp;LEFT($B200,4)&amp;"*-0*",INDIRECT(Formulas!$B$3)),0)</f>
        <v>0</v>
      </c>
      <c r="H200" s="468"/>
      <c r="I200" s="468"/>
      <c r="J200" s="468"/>
      <c r="K200" s="468"/>
    </row>
    <row r="201" spans="1:11" ht="12.75" customHeight="1" x14ac:dyDescent="0.2">
      <c r="A201" s="463" t="s">
        <v>919</v>
      </c>
      <c r="B201" s="470">
        <v>4305</v>
      </c>
      <c r="C201" s="466">
        <f ca="1">ROUND(SUMIF(INDIRECT(Formulas!$B$1),MID(C$1,2,2)&amp;"-"&amp;LEFT($B201,4)&amp;"*-0*",INDIRECT(Formulas!$B$3)),0)</f>
        <v>0</v>
      </c>
      <c r="D201" s="466">
        <f ca="1">ROUND(SUMIF(INDIRECT(Formulas!$B$1),MID(D$1,2,2)&amp;"-"&amp;LEFT($B201,4)&amp;"*-0*",INDIRECT(Formulas!$B$3)),0)</f>
        <v>0</v>
      </c>
      <c r="E201" s="468"/>
      <c r="F201" s="466">
        <f ca="1">ROUND(SUMIF(INDIRECT(Formulas!$B$1),MID(F$1,2,2)&amp;"-"&amp;LEFT($B201,4)&amp;"*-0*",INDIRECT(Formulas!$B$3)),0)</f>
        <v>0</v>
      </c>
      <c r="G201" s="466">
        <f ca="1">ROUND(SUMIF(INDIRECT(Formulas!$B$1),MID(G$1,2,2)&amp;"-"&amp;LEFT($B201,4)&amp;"*-0*",INDIRECT(Formulas!$B$3)),0)</f>
        <v>0</v>
      </c>
      <c r="H201" s="468"/>
      <c r="I201" s="468"/>
      <c r="J201" s="468"/>
      <c r="K201" s="468"/>
    </row>
    <row r="202" spans="1:11" ht="12.75" customHeight="1" x14ac:dyDescent="0.2">
      <c r="A202" s="463" t="s">
        <v>1031</v>
      </c>
      <c r="B202" s="470">
        <v>4340</v>
      </c>
      <c r="C202" s="466">
        <f ca="1">ROUND(SUMIF(INDIRECT(Formulas!$B$1),MID(C$1,2,2)&amp;"-"&amp;LEFT($B202,4)&amp;"*-0*",INDIRECT(Formulas!$B$3)),0)</f>
        <v>0</v>
      </c>
      <c r="D202" s="466">
        <f ca="1">ROUND(SUMIF(INDIRECT(Formulas!$B$1),MID(D$1,2,2)&amp;"-"&amp;LEFT($B202,4)&amp;"*-0*",INDIRECT(Formulas!$B$3)),0)</f>
        <v>0</v>
      </c>
      <c r="E202" s="468"/>
      <c r="F202" s="466">
        <f ca="1">ROUND(SUMIF(INDIRECT(Formulas!$B$1),MID(F$1,2,2)&amp;"-"&amp;LEFT($B202,4)&amp;"*-0*",INDIRECT(Formulas!$B$3)),0)</f>
        <v>0</v>
      </c>
      <c r="G202" s="466">
        <f ca="1">ROUND(SUMIF(INDIRECT(Formulas!$B$1),MID(G$1,2,2)&amp;"-"&amp;LEFT($B202,4)&amp;"*-0*",INDIRECT(Formulas!$B$3)),0)</f>
        <v>0</v>
      </c>
      <c r="H202" s="468"/>
      <c r="I202" s="468"/>
      <c r="J202" s="468"/>
      <c r="K202" s="468"/>
    </row>
    <row r="203" spans="1:11" ht="12.75" customHeight="1" x14ac:dyDescent="0.2">
      <c r="A203" s="463" t="s">
        <v>72</v>
      </c>
      <c r="B203" s="470">
        <v>4399</v>
      </c>
      <c r="C203" s="466">
        <f ca="1">ROUND(SUMIF(INDIRECT(Formulas!$B$1),MID(C$1,2,2)&amp;"-"&amp;LEFT($B203,4)&amp;"*-0*",INDIRECT(Formulas!$B$3)),0)</f>
        <v>61110</v>
      </c>
      <c r="D203" s="466">
        <f ca="1">ROUND(SUMIF(INDIRECT(Formulas!$B$1),MID(D$1,2,2)&amp;"-"&amp;LEFT($B203,4)&amp;"*-0*",INDIRECT(Formulas!$B$3)),0)</f>
        <v>0</v>
      </c>
      <c r="E203" s="468"/>
      <c r="F203" s="466">
        <f ca="1">ROUND(SUMIF(INDIRECT(Formulas!$B$1),MID(F$1,2,2)&amp;"-"&amp;LEFT($B203,4)&amp;"*-0*",INDIRECT(Formulas!$B$3)),0)</f>
        <v>0</v>
      </c>
      <c r="G203" s="466">
        <f ca="1">ROUND(SUMIF(INDIRECT(Formulas!$B$1),MID(G$1,2,2)&amp;"-"&amp;LEFT($B203,4)&amp;"*-0*",INDIRECT(Formulas!$B$3)),0)</f>
        <v>0</v>
      </c>
      <c r="H203" s="468"/>
      <c r="I203" s="468"/>
      <c r="J203" s="468"/>
      <c r="K203" s="468"/>
    </row>
    <row r="204" spans="1:11" ht="12.75" customHeight="1" thickBot="1" x14ac:dyDescent="0.25">
      <c r="A204" s="1678" t="s">
        <v>400</v>
      </c>
      <c r="B204" s="1679"/>
      <c r="C204" s="1677">
        <f ca="1">SUM(C200:C203)</f>
        <v>526639</v>
      </c>
      <c r="D204" s="1677">
        <f ca="1">SUM(D200:D203)</f>
        <v>0</v>
      </c>
      <c r="E204" s="468"/>
      <c r="F204" s="1677">
        <f ca="1">SUM(F200:F203)</f>
        <v>0</v>
      </c>
      <c r="G204" s="1677">
        <f ca="1">SUM(G200:G203)</f>
        <v>0</v>
      </c>
      <c r="H204" s="468"/>
      <c r="I204" s="468"/>
      <c r="J204" s="468"/>
      <c r="K204" s="468"/>
    </row>
    <row r="205" spans="1:11" ht="15.75" customHeight="1" thickTop="1" x14ac:dyDescent="0.2">
      <c r="A205" s="1570" t="s">
        <v>1139</v>
      </c>
      <c r="B205" s="1575"/>
      <c r="C205" s="541"/>
      <c r="D205" s="541"/>
      <c r="E205" s="468"/>
      <c r="F205" s="541"/>
      <c r="G205" s="541"/>
      <c r="H205" s="468"/>
      <c r="I205" s="468"/>
      <c r="J205" s="468"/>
      <c r="K205" s="468"/>
    </row>
    <row r="206" spans="1:11" ht="12.75" customHeight="1" x14ac:dyDescent="0.2">
      <c r="A206" s="463" t="s">
        <v>759</v>
      </c>
      <c r="B206" s="470">
        <v>4400</v>
      </c>
      <c r="C206" s="466">
        <f ca="1">ROUND(SUMIF(INDIRECT(Formulas!$B$1),MID(C$1,2,2)&amp;"-"&amp;LEFT($B206,4)&amp;"*-0*",INDIRECT(Formulas!$B$3)),0)</f>
        <v>21385</v>
      </c>
      <c r="D206" s="466">
        <f ca="1">ROUND(SUMIF(INDIRECT(Formulas!$B$1),MID(D$1,2,2)&amp;"-"&amp;LEFT($B206,4)&amp;"*-0*",INDIRECT(Formulas!$B$3)),0)</f>
        <v>0</v>
      </c>
      <c r="E206" s="468"/>
      <c r="F206" s="466">
        <f ca="1">ROUND(SUMIF(INDIRECT(Formulas!$B$1),MID(F$1,2,2)&amp;"-"&amp;LEFT($B206,4)&amp;"*-0*",INDIRECT(Formulas!$B$3)),0)</f>
        <v>0</v>
      </c>
      <c r="G206" s="466">
        <f ca="1">ROUND(SUMIF(INDIRECT(Formulas!$B$1),MID(G$1,2,2)&amp;"-"&amp;LEFT($B206,4)&amp;"*-0*",INDIRECT(Formulas!$B$3)),0)</f>
        <v>0</v>
      </c>
      <c r="H206" s="468"/>
      <c r="I206" s="468"/>
      <c r="J206" s="468"/>
      <c r="K206" s="468"/>
    </row>
    <row r="207" spans="1:11" ht="12.75" customHeight="1" x14ac:dyDescent="0.2">
      <c r="A207" s="463" t="s">
        <v>1453</v>
      </c>
      <c r="B207" s="470">
        <v>4421</v>
      </c>
      <c r="C207" s="466">
        <f ca="1">ROUND(SUMIF(INDIRECT(Formulas!$B$1),MID(C$1,2,2)&amp;"-"&amp;LEFT($B207,4)&amp;"*-0*",INDIRECT(Formulas!$B$3)),0)</f>
        <v>0</v>
      </c>
      <c r="D207" s="466">
        <f ca="1">ROUND(SUMIF(INDIRECT(Formulas!$B$1),MID(D$1,2,2)&amp;"-"&amp;LEFT($B207,4)&amp;"*-0*",INDIRECT(Formulas!$B$3)),0)</f>
        <v>0</v>
      </c>
      <c r="E207" s="468"/>
      <c r="F207" s="466">
        <f ca="1">ROUND(SUMIF(INDIRECT(Formulas!$B$1),MID(F$1,2,2)&amp;"-"&amp;LEFT($B207,4)&amp;"*-0*",INDIRECT(Formulas!$B$3)),0)</f>
        <v>0</v>
      </c>
      <c r="G207" s="466">
        <f ca="1">ROUND(SUMIF(INDIRECT(Formulas!$B$1),MID(G$1,2,2)&amp;"-"&amp;LEFT($B207,4)&amp;"*-0*",INDIRECT(Formulas!$B$3)),0)</f>
        <v>0</v>
      </c>
      <c r="H207" s="468"/>
      <c r="I207" s="468"/>
      <c r="J207" s="468"/>
      <c r="K207" s="468"/>
    </row>
    <row r="208" spans="1:11" ht="12.75" customHeight="1" x14ac:dyDescent="0.2">
      <c r="A208" s="463" t="s">
        <v>73</v>
      </c>
      <c r="B208" s="470">
        <v>4499</v>
      </c>
      <c r="C208" s="466">
        <f ca="1">ROUND(SUMIF(INDIRECT(Formulas!$B$1),MID(C$1,2,2)&amp;"-"&amp;LEFT($B208,4)&amp;"*-0*",INDIRECT(Formulas!$B$3)),0)</f>
        <v>0</v>
      </c>
      <c r="D208" s="466">
        <f ca="1">ROUND(SUMIF(INDIRECT(Formulas!$B$1),MID(D$1,2,2)&amp;"-"&amp;LEFT($B208,4)&amp;"*-0*",INDIRECT(Formulas!$B$3)),0)</f>
        <v>0</v>
      </c>
      <c r="E208" s="468"/>
      <c r="F208" s="466">
        <f ca="1">ROUND(SUMIF(INDIRECT(Formulas!$B$1),MID(F$1,2,2)&amp;"-"&amp;LEFT($B208,4)&amp;"*-0*",INDIRECT(Formulas!$B$3)),0)</f>
        <v>0</v>
      </c>
      <c r="G208" s="466">
        <f ca="1">ROUND(SUMIF(INDIRECT(Formulas!$B$1),MID(G$1,2,2)&amp;"-"&amp;LEFT($B208,4)&amp;"*-0*",INDIRECT(Formulas!$B$3)),0)</f>
        <v>0</v>
      </c>
      <c r="H208" s="468"/>
      <c r="I208" s="468"/>
      <c r="J208" s="468"/>
      <c r="K208" s="468"/>
    </row>
    <row r="209" spans="1:11" ht="12.75" customHeight="1" thickBot="1" x14ac:dyDescent="0.25">
      <c r="A209" s="1678" t="s">
        <v>889</v>
      </c>
      <c r="B209" s="1679"/>
      <c r="C209" s="1677">
        <f ca="1">SUM(C206:C208)</f>
        <v>21385</v>
      </c>
      <c r="D209" s="1677">
        <f ca="1">SUM(D206:D208)</f>
        <v>0</v>
      </c>
      <c r="E209" s="468" t="s">
        <v>1169</v>
      </c>
      <c r="F209" s="1677">
        <f ca="1">SUM(F206:F208)</f>
        <v>0</v>
      </c>
      <c r="G209" s="1677">
        <f ca="1">SUM(G206:G208)</f>
        <v>0</v>
      </c>
      <c r="H209" s="468"/>
      <c r="I209" s="468"/>
      <c r="J209" s="468"/>
      <c r="K209" s="468"/>
    </row>
    <row r="210" spans="1:11" ht="15.75" customHeight="1" thickTop="1" x14ac:dyDescent="0.2">
      <c r="A210" s="1570" t="s">
        <v>1092</v>
      </c>
      <c r="B210" s="1575"/>
      <c r="C210" s="541"/>
      <c r="D210" s="541"/>
      <c r="E210" s="468"/>
      <c r="F210" s="541"/>
      <c r="G210" s="541"/>
      <c r="H210" s="468"/>
      <c r="I210" s="468"/>
      <c r="J210" s="468"/>
      <c r="K210" s="468"/>
    </row>
    <row r="211" spans="1:11" ht="12.75" customHeight="1" x14ac:dyDescent="0.2">
      <c r="A211" s="463" t="s">
        <v>1052</v>
      </c>
      <c r="B211" s="470">
        <v>4600</v>
      </c>
      <c r="C211" s="466">
        <f ca="1">ROUND(SUMIF(INDIRECT(Formulas!$B$1),MID(C$1,2,2)&amp;"-"&amp;LEFT($B211,4)&amp;"*-0*",INDIRECT(Formulas!$B$3)),0)</f>
        <v>1072</v>
      </c>
      <c r="D211" s="466">
        <f ca="1">ROUND(SUMIF(INDIRECT(Formulas!$B$1),MID(D$1,2,2)&amp;"-"&amp;LEFT($B211,4)&amp;"*-0*",INDIRECT(Formulas!$B$3)),0)</f>
        <v>0</v>
      </c>
      <c r="E211" s="468"/>
      <c r="F211" s="466">
        <f ca="1">ROUND(SUMIF(INDIRECT(Formulas!$B$1),MID(F$1,2,2)&amp;"-"&amp;LEFT($B211,4)&amp;"*-0*",INDIRECT(Formulas!$B$3)),0)</f>
        <v>0</v>
      </c>
      <c r="G211" s="466">
        <f ca="1">ROUND(SUMIF(INDIRECT(Formulas!$B$1),MID(G$1,2,2)&amp;"-"&amp;LEFT($B211,4)&amp;"*-0*",INDIRECT(Formulas!$B$3)),0)</f>
        <v>0</v>
      </c>
      <c r="H211" s="468"/>
      <c r="I211" s="468"/>
      <c r="J211" s="468"/>
      <c r="K211" s="468"/>
    </row>
    <row r="212" spans="1:11" ht="12.75" customHeight="1" x14ac:dyDescent="0.2">
      <c r="A212" s="463" t="s">
        <v>1053</v>
      </c>
      <c r="B212" s="470">
        <v>4605</v>
      </c>
      <c r="C212" s="466">
        <f ca="1">ROUND(SUMIF(INDIRECT(Formulas!$B$1),MID(C$1,2,2)&amp;"-"&amp;LEFT($B212,4)&amp;"*-0*",INDIRECT(Formulas!$B$3)),0)</f>
        <v>0</v>
      </c>
      <c r="D212" s="466">
        <f ca="1">ROUND(SUMIF(INDIRECT(Formulas!$B$1),MID(D$1,2,2)&amp;"-"&amp;LEFT($B212,4)&amp;"*-0*",INDIRECT(Formulas!$B$3)),0)</f>
        <v>0</v>
      </c>
      <c r="E212" s="468"/>
      <c r="F212" s="466">
        <f ca="1">ROUND(SUMIF(INDIRECT(Formulas!$B$1),MID(F$1,2,2)&amp;"-"&amp;LEFT($B212,4)&amp;"*-0*",INDIRECT(Formulas!$B$3)),0)</f>
        <v>0</v>
      </c>
      <c r="G212" s="466">
        <f ca="1">ROUND(SUMIF(INDIRECT(Formulas!$B$1),MID(G$1,2,2)&amp;"-"&amp;LEFT($B212,4)&amp;"*-0*",INDIRECT(Formulas!$B$3)),0)</f>
        <v>0</v>
      </c>
      <c r="H212" s="468"/>
      <c r="I212" s="468"/>
      <c r="J212" s="468"/>
      <c r="K212" s="468"/>
    </row>
    <row r="213" spans="1:11" ht="12.75" customHeight="1" x14ac:dyDescent="0.2">
      <c r="A213" s="463" t="s">
        <v>1454</v>
      </c>
      <c r="B213" s="545">
        <v>4620</v>
      </c>
      <c r="C213" s="466">
        <f ca="1">ROUND(SUMIF(INDIRECT(Formulas!$B$1),MID(C$1,2,2)&amp;"-"&amp;LEFT($B213,4)&amp;"*-0*",INDIRECT(Formulas!$B$3)),0)</f>
        <v>419194</v>
      </c>
      <c r="D213" s="466">
        <f ca="1">ROUND(SUMIF(INDIRECT(Formulas!$B$1),MID(D$1,2,2)&amp;"-"&amp;LEFT($B213,4)&amp;"*-0*",INDIRECT(Formulas!$B$3)),0)</f>
        <v>0</v>
      </c>
      <c r="E213" s="468"/>
      <c r="F213" s="466">
        <f ca="1">ROUND(SUMIF(INDIRECT(Formulas!$B$1),MID(F$1,2,2)&amp;"-"&amp;LEFT($B213,4)&amp;"*-0*",INDIRECT(Formulas!$B$3)),0)</f>
        <v>0</v>
      </c>
      <c r="G213" s="466">
        <f ca="1">ROUND(SUMIF(INDIRECT(Formulas!$B$1),MID(G$1,2,2)&amp;"-"&amp;LEFT($B213,4)&amp;"*-0*",INDIRECT(Formulas!$B$3)),0)</f>
        <v>0</v>
      </c>
      <c r="H213" s="468"/>
      <c r="I213" s="468"/>
      <c r="J213" s="468"/>
      <c r="K213" s="468"/>
    </row>
    <row r="214" spans="1:11" ht="12.75" customHeight="1" x14ac:dyDescent="0.2">
      <c r="A214" s="463" t="s">
        <v>1054</v>
      </c>
      <c r="B214" s="470">
        <v>4625</v>
      </c>
      <c r="C214" s="466">
        <f ca="1">ROUND(SUMIF(INDIRECT(Formulas!$B$1),MID(C$1,2,2)&amp;"-"&amp;LEFT($B214,4)&amp;"*-0*",INDIRECT(Formulas!$B$3)),0)</f>
        <v>2589</v>
      </c>
      <c r="D214" s="466">
        <f ca="1">ROUND(SUMIF(INDIRECT(Formulas!$B$1),MID(D$1,2,2)&amp;"-"&amp;LEFT($B214,4)&amp;"*-0*",INDIRECT(Formulas!$B$3)),0)</f>
        <v>0</v>
      </c>
      <c r="E214" s="468"/>
      <c r="F214" s="466">
        <f ca="1">ROUND(SUMIF(INDIRECT(Formulas!$B$1),MID(F$1,2,2)&amp;"-"&amp;LEFT($B214,4)&amp;"*-0*",INDIRECT(Formulas!$B$3)),0)</f>
        <v>0</v>
      </c>
      <c r="G214" s="466">
        <f ca="1">ROUND(SUMIF(INDIRECT(Formulas!$B$1),MID(G$1,2,2)&amp;"-"&amp;LEFT($B214,4)&amp;"*-0*",INDIRECT(Formulas!$B$3)),0)</f>
        <v>0</v>
      </c>
      <c r="H214" s="468"/>
      <c r="I214" s="468"/>
      <c r="J214" s="468"/>
      <c r="K214" s="468"/>
    </row>
    <row r="215" spans="1:11" ht="12.75" customHeight="1" x14ac:dyDescent="0.2">
      <c r="A215" s="463" t="s">
        <v>1055</v>
      </c>
      <c r="B215" s="470">
        <v>4630</v>
      </c>
      <c r="C215" s="466">
        <f ca="1">ROUND(SUMIF(INDIRECT(Formulas!$B$1),MID(C$1,2,2)&amp;"-"&amp;LEFT($B215,4)&amp;"*-0*",INDIRECT(Formulas!$B$3)),0)</f>
        <v>0</v>
      </c>
      <c r="D215" s="466">
        <f ca="1">ROUND(SUMIF(INDIRECT(Formulas!$B$1),MID(D$1,2,2)&amp;"-"&amp;LEFT($B215,4)&amp;"*-0*",INDIRECT(Formulas!$B$3)),0)</f>
        <v>0</v>
      </c>
      <c r="E215" s="468"/>
      <c r="F215" s="466">
        <f ca="1">ROUND(SUMIF(INDIRECT(Formulas!$B$1),MID(F$1,2,2)&amp;"-"&amp;LEFT($B215,4)&amp;"*-0*",INDIRECT(Formulas!$B$3)),0)</f>
        <v>0</v>
      </c>
      <c r="G215" s="466">
        <f ca="1">ROUND(SUMIF(INDIRECT(Formulas!$B$1),MID(G$1,2,2)&amp;"-"&amp;LEFT($B215,4)&amp;"*-0*",INDIRECT(Formulas!$B$3)),0)</f>
        <v>0</v>
      </c>
      <c r="H215" s="468"/>
      <c r="I215" s="468"/>
      <c r="J215" s="468"/>
      <c r="K215" s="468"/>
    </row>
    <row r="216" spans="1:11" ht="12.75" customHeight="1" x14ac:dyDescent="0.2">
      <c r="A216" s="1471" t="s">
        <v>74</v>
      </c>
      <c r="B216" s="545">
        <v>4699</v>
      </c>
      <c r="C216" s="466">
        <f ca="1">ROUND(SUMIF(INDIRECT(Formulas!$B$1),MID(C$1,2,2)&amp;"-"&amp;LEFT($B216,4)&amp;"*-0*",INDIRECT(Formulas!$B$3)),0)</f>
        <v>0</v>
      </c>
      <c r="D216" s="466">
        <f ca="1">ROUND(SUMIF(INDIRECT(Formulas!$B$1),MID(D$1,2,2)&amp;"-"&amp;LEFT($B216,4)&amp;"*-0*",INDIRECT(Formulas!$B$3)),0)</f>
        <v>0</v>
      </c>
      <c r="E216" s="468"/>
      <c r="F216" s="466">
        <f ca="1">ROUND(SUMIF(INDIRECT(Formulas!$B$1),MID(F$1,2,2)&amp;"-"&amp;LEFT($B216,4)&amp;"*-0*",INDIRECT(Formulas!$B$3)),0)</f>
        <v>0</v>
      </c>
      <c r="G216" s="466">
        <f ca="1">ROUND(SUMIF(INDIRECT(Formulas!$B$1),MID(G$1,2,2)&amp;"-"&amp;LEFT($B216,4)&amp;"*-0*",INDIRECT(Formulas!$B$3)),0)</f>
        <v>0</v>
      </c>
      <c r="H216" s="468"/>
      <c r="I216" s="468"/>
      <c r="J216" s="468"/>
      <c r="K216" s="468"/>
    </row>
    <row r="217" spans="1:11" ht="12.75" customHeight="1" thickBot="1" x14ac:dyDescent="0.25">
      <c r="A217" s="1678" t="s">
        <v>447</v>
      </c>
      <c r="B217" s="1679"/>
      <c r="C217" s="1677">
        <f ca="1">SUM(C211:C216)</f>
        <v>422855</v>
      </c>
      <c r="D217" s="1677">
        <f ca="1">SUM(D211:D216)</f>
        <v>0</v>
      </c>
      <c r="E217" s="468"/>
      <c r="F217" s="1677">
        <f ca="1">SUM(F211:F216)</f>
        <v>0</v>
      </c>
      <c r="G217" s="1677">
        <f ca="1">SUM(G211:G216)</f>
        <v>0</v>
      </c>
      <c r="H217" s="468"/>
      <c r="I217" s="468"/>
      <c r="J217" s="468"/>
      <c r="K217" s="468"/>
    </row>
    <row r="218" spans="1:11" ht="15.75" customHeight="1" thickTop="1" x14ac:dyDescent="0.2">
      <c r="A218" s="1570" t="s">
        <v>1093</v>
      </c>
      <c r="B218" s="1575"/>
      <c r="C218" s="541"/>
      <c r="D218" s="541"/>
      <c r="E218" s="468"/>
      <c r="F218" s="541"/>
      <c r="G218" s="541"/>
      <c r="H218" s="468"/>
      <c r="I218" s="468"/>
      <c r="J218" s="468"/>
      <c r="K218" s="468"/>
    </row>
    <row r="219" spans="1:11" ht="12.75" customHeight="1" x14ac:dyDescent="0.2">
      <c r="A219" s="463" t="s">
        <v>787</v>
      </c>
      <c r="B219" s="470">
        <v>4770</v>
      </c>
      <c r="C219" s="466">
        <f ca="1">ROUND(SUMIF(INDIRECT(Formulas!$B$1),MID(C$1,2,2)&amp;"-"&amp;LEFT($B219,4)&amp;"*-0*",INDIRECT(Formulas!$B$3)),0)</f>
        <v>0</v>
      </c>
      <c r="D219" s="466">
        <f ca="1">ROUND(SUMIF(INDIRECT(Formulas!$B$1),MID(D$1,2,2)&amp;"-"&amp;LEFT($B219,4)&amp;"*-0*",INDIRECT(Formulas!$B$3)),0)</f>
        <v>0</v>
      </c>
      <c r="E219" s="468"/>
      <c r="F219" s="468"/>
      <c r="G219" s="466">
        <f ca="1">ROUND(SUMIF(INDIRECT(Formulas!$B$1),MID(G$1,2,2)&amp;"-"&amp;LEFT($B219,4)&amp;"*-0*",INDIRECT(Formulas!$B$3)),0)</f>
        <v>0</v>
      </c>
      <c r="H219" s="468"/>
      <c r="I219" s="468"/>
      <c r="J219" s="468"/>
      <c r="K219" s="468"/>
    </row>
    <row r="220" spans="1:11" ht="12.75" customHeight="1" x14ac:dyDescent="0.2">
      <c r="A220" s="463" t="s">
        <v>67</v>
      </c>
      <c r="B220" s="470">
        <v>4799</v>
      </c>
      <c r="C220" s="466">
        <f ca="1">ROUND(SUMIF(INDIRECT(Formulas!$B$1),MID(C$1,2,2)&amp;"-"&amp;LEFT($B220,4)&amp;"*-0*",INDIRECT(Formulas!$B$3)),0)</f>
        <v>0</v>
      </c>
      <c r="D220" s="466">
        <f ca="1">ROUND(SUMIF(INDIRECT(Formulas!$B$1),MID(D$1,2,2)&amp;"-"&amp;LEFT($B220,4)&amp;"*-0*",INDIRECT(Formulas!$B$3)),0)</f>
        <v>0</v>
      </c>
      <c r="E220" s="468"/>
      <c r="F220" s="468"/>
      <c r="G220" s="466">
        <f ca="1">ROUND(SUMIF(INDIRECT(Formulas!$B$1),MID(G$1,2,2)&amp;"-"&amp;LEFT($B220,4)&amp;"*-0*",INDIRECT(Formulas!$B$3)),0)</f>
        <v>0</v>
      </c>
      <c r="H220" s="468"/>
      <c r="I220" s="468"/>
      <c r="J220" s="468"/>
      <c r="K220" s="468"/>
    </row>
    <row r="221" spans="1:11" ht="12.75" customHeight="1" thickBot="1" x14ac:dyDescent="0.25">
      <c r="A221" s="1693" t="s">
        <v>1085</v>
      </c>
      <c r="B221" s="1694"/>
      <c r="C221" s="1677">
        <f ca="1">SUM(C219:C220)</f>
        <v>0</v>
      </c>
      <c r="D221" s="1677">
        <f ca="1">SUM(D219:D220)</f>
        <v>0</v>
      </c>
      <c r="E221" s="468"/>
      <c r="F221" s="468"/>
      <c r="G221" s="1677">
        <f ca="1">SUM(G219:G220)</f>
        <v>0</v>
      </c>
      <c r="H221" s="468"/>
      <c r="I221" s="468"/>
      <c r="J221" s="468"/>
      <c r="K221" s="468"/>
    </row>
    <row r="222" spans="1:11" ht="12.75" customHeight="1" thickTop="1" x14ac:dyDescent="0.2">
      <c r="A222" s="486" t="s">
        <v>757</v>
      </c>
      <c r="B222" s="485">
        <v>4810</v>
      </c>
      <c r="C222" s="466">
        <f ca="1">ROUND(SUMIF(INDIRECT(Formulas!$B$1),MID(C$1,2,2)&amp;"-"&amp;LEFT($B222,4)&amp;"*-0*",INDIRECT(Formulas!$B$3)),0)</f>
        <v>0</v>
      </c>
      <c r="D222" s="466">
        <f ca="1">ROUND(SUMIF(INDIRECT(Formulas!$B$1),MID(D$1,2,2)&amp;"-"&amp;LEFT($B222,4)&amp;"*-0*",INDIRECT(Formulas!$B$3)),0)</f>
        <v>0</v>
      </c>
      <c r="E222" s="468"/>
      <c r="F222" s="468"/>
      <c r="G222" s="466">
        <f ca="1">ROUND(SUMIF(INDIRECT(Formulas!$B$1),MID(G$1,2,2)&amp;"-"&amp;LEFT($B222,4)&amp;"*-0*",INDIRECT(Formulas!$B$3)),0)</f>
        <v>0</v>
      </c>
      <c r="H222" s="468"/>
      <c r="I222" s="468"/>
      <c r="J222" s="468"/>
      <c r="K222" s="468"/>
    </row>
    <row r="223" spans="1:11" ht="12.75" customHeight="1" x14ac:dyDescent="0.2">
      <c r="A223" s="486" t="s">
        <v>350</v>
      </c>
      <c r="B223" s="485">
        <v>4850</v>
      </c>
      <c r="C223" s="466">
        <f ca="1">ROUND(SUMIF(INDIRECT(Formulas!$B$1),MID(C$1,2,2)&amp;"-"&amp;LEFT($B223,4)&amp;"*-0*",INDIRECT(Formulas!$B$3)),0)</f>
        <v>0</v>
      </c>
      <c r="D223" s="466">
        <f ca="1">ROUND(SUMIF(INDIRECT(Formulas!$B$1),MID(D$1,2,2)&amp;"-"&amp;LEFT($B223,4)&amp;"*-0*",INDIRECT(Formulas!$B$3)),0)</f>
        <v>0</v>
      </c>
      <c r="E223" s="466">
        <f ca="1">ROUND(SUMIF(INDIRECT(Formulas!$B$1),MID(E$1,2,2)&amp;"-"&amp;LEFT($B223,4)&amp;"*-0*",INDIRECT(Formulas!$B$3)),0)</f>
        <v>0</v>
      </c>
      <c r="F223" s="466">
        <f ca="1">ROUND(SUMIF(INDIRECT(Formulas!$B$1),MID(F$1,2,2)&amp;"-"&amp;LEFT($B223,4)&amp;"*-0*",INDIRECT(Formulas!$B$3)),0)</f>
        <v>0</v>
      </c>
      <c r="G223" s="466">
        <f ca="1">ROUND(SUMIF(INDIRECT(Formulas!$B$1),MID(G$1,2,2)&amp;"-"&amp;LEFT($B223,4)&amp;"*-0*",INDIRECT(Formulas!$B$3)),0)</f>
        <v>0</v>
      </c>
      <c r="H223" s="466">
        <f ca="1">ROUND(SUMIF(INDIRECT(Formulas!$B$1),MID(H$1,2,2)&amp;"-"&amp;LEFT($B223,4)&amp;"*-0*",INDIRECT(Formulas!$B$3)),0)</f>
        <v>0</v>
      </c>
      <c r="I223" s="468"/>
      <c r="J223" s="466">
        <f ca="1">ROUND(SUMIF(INDIRECT(Formulas!$B$1),MID(J$1,2,2)&amp;"-"&amp;LEFT($B223,4)&amp;"*-0*",INDIRECT(Formulas!$B$3)),0)</f>
        <v>0</v>
      </c>
      <c r="K223" s="466">
        <f ca="1">ROUND(SUMIF(INDIRECT(Formulas!$B$1),MID(K$1,2,2)&amp;"-"&amp;LEFT($B223,4)&amp;"*-0*",INDIRECT(Formulas!$B$3)),0)</f>
        <v>0</v>
      </c>
    </row>
    <row r="224" spans="1:11" ht="12.75" customHeight="1" x14ac:dyDescent="0.2">
      <c r="A224" s="486" t="s">
        <v>351</v>
      </c>
      <c r="B224" s="485">
        <v>4851</v>
      </c>
      <c r="C224" s="466">
        <f ca="1">ROUND(SUMIF(INDIRECT(Formulas!$B$1),MID(C$1,2,2)&amp;"-"&amp;LEFT($B224,4)&amp;"*-0*",INDIRECT(Formulas!$B$3)),0)</f>
        <v>0</v>
      </c>
      <c r="D224" s="466">
        <f ca="1">ROUND(SUMIF(INDIRECT(Formulas!$B$1),MID(D$1,2,2)&amp;"-"&amp;LEFT($B224,4)&amp;"*-0*",INDIRECT(Formulas!$B$3)),0)</f>
        <v>0</v>
      </c>
      <c r="E224" s="468"/>
      <c r="F224" s="466">
        <f ca="1">ROUND(SUMIF(INDIRECT(Formulas!$B$1),MID(F$1,2,2)&amp;"-"&amp;LEFT($B224,4)&amp;"*-0*",INDIRECT(Formulas!$B$3)),0)</f>
        <v>0</v>
      </c>
      <c r="G224" s="466">
        <f ca="1">ROUND(SUMIF(INDIRECT(Formulas!$B$1),MID(G$1,2,2)&amp;"-"&amp;LEFT($B224,4)&amp;"*-0*",INDIRECT(Formulas!$B$3)),0)</f>
        <v>0</v>
      </c>
      <c r="H224" s="468"/>
      <c r="I224" s="468"/>
      <c r="J224" s="468"/>
      <c r="K224" s="468"/>
    </row>
    <row r="225" spans="1:11" ht="12.75" customHeight="1" x14ac:dyDescent="0.2">
      <c r="A225" s="486" t="s">
        <v>352</v>
      </c>
      <c r="B225" s="485">
        <v>4852</v>
      </c>
      <c r="C225" s="466">
        <f ca="1">ROUND(SUMIF(INDIRECT(Formulas!$B$1),MID(C$1,2,2)&amp;"-"&amp;LEFT($B225,4)&amp;"*-0*",INDIRECT(Formulas!$B$3)),0)</f>
        <v>0</v>
      </c>
      <c r="D225" s="466">
        <f ca="1">ROUND(SUMIF(INDIRECT(Formulas!$B$1),MID(D$1,2,2)&amp;"-"&amp;LEFT($B225,4)&amp;"*-0*",INDIRECT(Formulas!$B$3)),0)</f>
        <v>0</v>
      </c>
      <c r="E225" s="466">
        <f ca="1">ROUND(SUMIF(INDIRECT(Formulas!$B$1),MID(E$1,2,2)&amp;"-"&amp;LEFT($B225,4)&amp;"*-0*",INDIRECT(Formulas!$B$3)),0)</f>
        <v>0</v>
      </c>
      <c r="F225" s="466">
        <f ca="1">ROUND(SUMIF(INDIRECT(Formulas!$B$1),MID(F$1,2,2)&amp;"-"&amp;LEFT($B225,4)&amp;"*-0*",INDIRECT(Formulas!$B$3)),0)</f>
        <v>0</v>
      </c>
      <c r="G225" s="466">
        <f ca="1">ROUND(SUMIF(INDIRECT(Formulas!$B$1),MID(G$1,2,2)&amp;"-"&amp;LEFT($B225,4)&amp;"*-0*",INDIRECT(Formulas!$B$3)),0)</f>
        <v>0</v>
      </c>
      <c r="H225" s="466">
        <f ca="1">ROUND(SUMIF(INDIRECT(Formulas!$B$1),MID(H$1,2,2)&amp;"-"&amp;LEFT($B225,4)&amp;"*-0*",INDIRECT(Formulas!$B$3)),0)</f>
        <v>0</v>
      </c>
      <c r="I225" s="468"/>
      <c r="J225" s="466">
        <f ca="1">ROUND(SUMIF(INDIRECT(Formulas!$B$1),MID(J$1,2,2)&amp;"-"&amp;LEFT($B225,4)&amp;"*-0*",INDIRECT(Formulas!$B$3)),0)</f>
        <v>0</v>
      </c>
      <c r="K225" s="466">
        <f ca="1">ROUND(SUMIF(INDIRECT(Formulas!$B$1),MID(K$1,2,2)&amp;"-"&amp;LEFT($B225,4)&amp;"*-0*",INDIRECT(Formulas!$B$3)),0)</f>
        <v>0</v>
      </c>
    </row>
    <row r="226" spans="1:11" ht="12.75" customHeight="1" x14ac:dyDescent="0.2">
      <c r="A226" s="486" t="s">
        <v>353</v>
      </c>
      <c r="B226" s="485">
        <v>4853</v>
      </c>
      <c r="C226" s="466">
        <f ca="1">ROUND(SUMIF(INDIRECT(Formulas!$B$1),MID(C$1,2,2)&amp;"-"&amp;LEFT($B226,4)&amp;"*-0*",INDIRECT(Formulas!$B$3)),0)</f>
        <v>0</v>
      </c>
      <c r="D226" s="466">
        <f ca="1">ROUND(SUMIF(INDIRECT(Formulas!$B$1),MID(D$1,2,2)&amp;"-"&amp;LEFT($B226,4)&amp;"*-0*",INDIRECT(Formulas!$B$3)),0)</f>
        <v>0</v>
      </c>
      <c r="E226" s="466">
        <f ca="1">ROUND(SUMIF(INDIRECT(Formulas!$B$1),MID(E$1,2,2)&amp;"-"&amp;LEFT($B226,4)&amp;"*-0*",INDIRECT(Formulas!$B$3)),0)</f>
        <v>0</v>
      </c>
      <c r="F226" s="466">
        <f ca="1">ROUND(SUMIF(INDIRECT(Formulas!$B$1),MID(F$1,2,2)&amp;"-"&amp;LEFT($B226,4)&amp;"*-0*",INDIRECT(Formulas!$B$3)),0)</f>
        <v>0</v>
      </c>
      <c r="G226" s="466">
        <f ca="1">ROUND(SUMIF(INDIRECT(Formulas!$B$1),MID(G$1,2,2)&amp;"-"&amp;LEFT($B226,4)&amp;"*-0*",INDIRECT(Formulas!$B$3)),0)</f>
        <v>0</v>
      </c>
      <c r="H226" s="466">
        <f ca="1">ROUND(SUMIF(INDIRECT(Formulas!$B$1),MID(H$1,2,2)&amp;"-"&amp;LEFT($B226,4)&amp;"*-0*",INDIRECT(Formulas!$B$3)),0)</f>
        <v>0</v>
      </c>
      <c r="I226" s="468"/>
      <c r="J226" s="466">
        <f ca="1">ROUND(SUMIF(INDIRECT(Formulas!$B$1),MID(J$1,2,2)&amp;"-"&amp;LEFT($B226,4)&amp;"*-0*",INDIRECT(Formulas!$B$3)),0)</f>
        <v>0</v>
      </c>
      <c r="K226" s="466">
        <f ca="1">ROUND(SUMIF(INDIRECT(Formulas!$B$1),MID(K$1,2,2)&amp;"-"&amp;LEFT($B226,4)&amp;"*-0*",INDIRECT(Formulas!$B$3)),0)</f>
        <v>0</v>
      </c>
    </row>
    <row r="227" spans="1:11" ht="12.75" customHeight="1" x14ac:dyDescent="0.2">
      <c r="A227" s="486" t="s">
        <v>354</v>
      </c>
      <c r="B227" s="485">
        <v>4854</v>
      </c>
      <c r="C227" s="466">
        <f ca="1">ROUND(SUMIF(INDIRECT(Formulas!$B$1),MID(C$1,2,2)&amp;"-"&amp;LEFT($B227,4)&amp;"*-0*",INDIRECT(Formulas!$B$3)),0)</f>
        <v>0</v>
      </c>
      <c r="D227" s="466">
        <f ca="1">ROUND(SUMIF(INDIRECT(Formulas!$B$1),MID(D$1,2,2)&amp;"-"&amp;LEFT($B227,4)&amp;"*-0*",INDIRECT(Formulas!$B$3)),0)</f>
        <v>0</v>
      </c>
      <c r="E227" s="466">
        <f ca="1">ROUND(SUMIF(INDIRECT(Formulas!$B$1),MID(E$1,2,2)&amp;"-"&amp;LEFT($B227,4)&amp;"*-0*",INDIRECT(Formulas!$B$3)),0)</f>
        <v>0</v>
      </c>
      <c r="F227" s="466">
        <f ca="1">ROUND(SUMIF(INDIRECT(Formulas!$B$1),MID(F$1,2,2)&amp;"-"&amp;LEFT($B227,4)&amp;"*-0*",INDIRECT(Formulas!$B$3)),0)</f>
        <v>0</v>
      </c>
      <c r="G227" s="466">
        <f ca="1">ROUND(SUMIF(INDIRECT(Formulas!$B$1),MID(G$1,2,2)&amp;"-"&amp;LEFT($B227,4)&amp;"*-0*",INDIRECT(Formulas!$B$3)),0)</f>
        <v>0</v>
      </c>
      <c r="H227" s="466">
        <f ca="1">ROUND(SUMIF(INDIRECT(Formulas!$B$1),MID(H$1,2,2)&amp;"-"&amp;LEFT($B227,4)&amp;"*-0*",INDIRECT(Formulas!$B$3)),0)</f>
        <v>0</v>
      </c>
      <c r="I227" s="468"/>
      <c r="J227" s="466">
        <f ca="1">ROUND(SUMIF(INDIRECT(Formulas!$B$1),MID(J$1,2,2)&amp;"-"&amp;LEFT($B227,4)&amp;"*-0*",INDIRECT(Formulas!$B$3)),0)</f>
        <v>0</v>
      </c>
      <c r="K227" s="466">
        <f ca="1">ROUND(SUMIF(INDIRECT(Formulas!$B$1),MID(K$1,2,2)&amp;"-"&amp;LEFT($B227,4)&amp;"*-0*",INDIRECT(Formulas!$B$3)),0)</f>
        <v>0</v>
      </c>
    </row>
    <row r="228" spans="1:11" ht="12.75" customHeight="1" x14ac:dyDescent="0.2">
      <c r="A228" s="486" t="s">
        <v>464</v>
      </c>
      <c r="B228" s="485">
        <v>4855</v>
      </c>
      <c r="C228" s="466">
        <f ca="1">ROUND(SUMIF(INDIRECT(Formulas!$B$1),MID(C$1,2,2)&amp;"-"&amp;LEFT($B228,4)&amp;"*-0*",INDIRECT(Formulas!$B$3)),0)</f>
        <v>0</v>
      </c>
      <c r="D228" s="466">
        <f ca="1">ROUND(SUMIF(INDIRECT(Formulas!$B$1),MID(D$1,2,2)&amp;"-"&amp;LEFT($B228,4)&amp;"*-0*",INDIRECT(Formulas!$B$3)),0)</f>
        <v>0</v>
      </c>
      <c r="E228" s="466">
        <f ca="1">ROUND(SUMIF(INDIRECT(Formulas!$B$1),MID(E$1,2,2)&amp;"-"&amp;LEFT($B228,4)&amp;"*-0*",INDIRECT(Formulas!$B$3)),0)</f>
        <v>0</v>
      </c>
      <c r="F228" s="466">
        <f ca="1">ROUND(SUMIF(INDIRECT(Formulas!$B$1),MID(F$1,2,2)&amp;"-"&amp;LEFT($B228,4)&amp;"*-0*",INDIRECT(Formulas!$B$3)),0)</f>
        <v>0</v>
      </c>
      <c r="G228" s="466">
        <f ca="1">ROUND(SUMIF(INDIRECT(Formulas!$B$1),MID(G$1,2,2)&amp;"-"&amp;LEFT($B228,4)&amp;"*-0*",INDIRECT(Formulas!$B$3)),0)</f>
        <v>0</v>
      </c>
      <c r="H228" s="466">
        <f ca="1">ROUND(SUMIF(INDIRECT(Formulas!$B$1),MID(H$1,2,2)&amp;"-"&amp;LEFT($B228,4)&amp;"*-0*",INDIRECT(Formulas!$B$3)),0)</f>
        <v>0</v>
      </c>
      <c r="I228" s="468"/>
      <c r="J228" s="466">
        <f ca="1">ROUND(SUMIF(INDIRECT(Formulas!$B$1),MID(J$1,2,2)&amp;"-"&amp;LEFT($B228,4)&amp;"*-0*",INDIRECT(Formulas!$B$3)),0)</f>
        <v>0</v>
      </c>
      <c r="K228" s="466">
        <f ca="1">ROUND(SUMIF(INDIRECT(Formulas!$B$1),MID(K$1,2,2)&amp;"-"&amp;LEFT($B228,4)&amp;"*-0*",INDIRECT(Formulas!$B$3)),0)</f>
        <v>0</v>
      </c>
    </row>
    <row r="229" spans="1:11" ht="12.75" customHeight="1" x14ac:dyDescent="0.2">
      <c r="A229" s="486" t="s">
        <v>355</v>
      </c>
      <c r="B229" s="485">
        <v>4856</v>
      </c>
      <c r="C229" s="466">
        <f ca="1">ROUND(SUMIF(INDIRECT(Formulas!$B$1),MID(C$1,2,2)&amp;"-"&amp;LEFT($B229,4)&amp;"*-0*",INDIRECT(Formulas!$B$3)),0)</f>
        <v>0</v>
      </c>
      <c r="D229" s="466">
        <f ca="1">ROUND(SUMIF(INDIRECT(Formulas!$B$1),MID(D$1,2,2)&amp;"-"&amp;LEFT($B229,4)&amp;"*-0*",INDIRECT(Formulas!$B$3)),0)</f>
        <v>0</v>
      </c>
      <c r="E229" s="466">
        <f ca="1">ROUND(SUMIF(INDIRECT(Formulas!$B$1),MID(E$1,2,2)&amp;"-"&amp;LEFT($B229,4)&amp;"*-0*",INDIRECT(Formulas!$B$3)),0)</f>
        <v>0</v>
      </c>
      <c r="F229" s="466">
        <f ca="1">ROUND(SUMIF(INDIRECT(Formulas!$B$1),MID(F$1,2,2)&amp;"-"&amp;LEFT($B229,4)&amp;"*-0*",INDIRECT(Formulas!$B$3)),0)</f>
        <v>0</v>
      </c>
      <c r="G229" s="466">
        <f ca="1">ROUND(SUMIF(INDIRECT(Formulas!$B$1),MID(G$1,2,2)&amp;"-"&amp;LEFT($B229,4)&amp;"*-0*",INDIRECT(Formulas!$B$3)),0)</f>
        <v>0</v>
      </c>
      <c r="H229" s="466">
        <f ca="1">ROUND(SUMIF(INDIRECT(Formulas!$B$1),MID(H$1,2,2)&amp;"-"&amp;LEFT($B229,4)&amp;"*-0*",INDIRECT(Formulas!$B$3)),0)</f>
        <v>0</v>
      </c>
      <c r="I229" s="468"/>
      <c r="J229" s="466">
        <f ca="1">ROUND(SUMIF(INDIRECT(Formulas!$B$1),MID(J$1,2,2)&amp;"-"&amp;LEFT($B229,4)&amp;"*-0*",INDIRECT(Formulas!$B$3)),0)</f>
        <v>0</v>
      </c>
      <c r="K229" s="466">
        <f ca="1">ROUND(SUMIF(INDIRECT(Formulas!$B$1),MID(K$1,2,2)&amp;"-"&amp;LEFT($B229,4)&amp;"*-0*",INDIRECT(Formulas!$B$3)),0)</f>
        <v>0</v>
      </c>
    </row>
    <row r="230" spans="1:11" ht="12.75" customHeight="1" x14ac:dyDescent="0.2">
      <c r="A230" s="486" t="s">
        <v>356</v>
      </c>
      <c r="B230" s="485">
        <v>4857</v>
      </c>
      <c r="C230" s="466">
        <f ca="1">ROUND(SUMIF(INDIRECT(Formulas!$B$1),MID(C$1,2,2)&amp;"-"&amp;LEFT($B230,4)&amp;"*-0*",INDIRECT(Formulas!$B$3)),0)</f>
        <v>0</v>
      </c>
      <c r="D230" s="466">
        <f ca="1">ROUND(SUMIF(INDIRECT(Formulas!$B$1),MID(D$1,2,2)&amp;"-"&amp;LEFT($B230,4)&amp;"*-0*",INDIRECT(Formulas!$B$3)),0)</f>
        <v>0</v>
      </c>
      <c r="E230" s="466">
        <f ca="1">ROUND(SUMIF(INDIRECT(Formulas!$B$1),MID(E$1,2,2)&amp;"-"&amp;LEFT($B230,4)&amp;"*-0*",INDIRECT(Formulas!$B$3)),0)</f>
        <v>0</v>
      </c>
      <c r="F230" s="466">
        <f ca="1">ROUND(SUMIF(INDIRECT(Formulas!$B$1),MID(F$1,2,2)&amp;"-"&amp;LEFT($B230,4)&amp;"*-0*",INDIRECT(Formulas!$B$3)),0)</f>
        <v>0</v>
      </c>
      <c r="G230" s="466">
        <f ca="1">ROUND(SUMIF(INDIRECT(Formulas!$B$1),MID(G$1,2,2)&amp;"-"&amp;LEFT($B230,4)&amp;"*-0*",INDIRECT(Formulas!$B$3)),0)</f>
        <v>0</v>
      </c>
      <c r="H230" s="466">
        <f ca="1">ROUND(SUMIF(INDIRECT(Formulas!$B$1),MID(H$1,2,2)&amp;"-"&amp;LEFT($B230,4)&amp;"*-0*",INDIRECT(Formulas!$B$3)),0)</f>
        <v>0</v>
      </c>
      <c r="I230" s="468"/>
      <c r="J230" s="466">
        <f ca="1">ROUND(SUMIF(INDIRECT(Formulas!$B$1),MID(J$1,2,2)&amp;"-"&amp;LEFT($B230,4)&amp;"*-0*",INDIRECT(Formulas!$B$3)),0)</f>
        <v>0</v>
      </c>
      <c r="K230" s="466">
        <f ca="1">ROUND(SUMIF(INDIRECT(Formulas!$B$1),MID(K$1,2,2)&amp;"-"&amp;LEFT($B230,4)&amp;"*-0*",INDIRECT(Formulas!$B$3)),0)</f>
        <v>0</v>
      </c>
    </row>
    <row r="231" spans="1:11" ht="12.75" customHeight="1" x14ac:dyDescent="0.2">
      <c r="A231" s="486" t="s">
        <v>357</v>
      </c>
      <c r="B231" s="485">
        <v>4860</v>
      </c>
      <c r="C231" s="466">
        <f ca="1">ROUND(SUMIF(INDIRECT(Formulas!$B$1),MID(C$1,2,2)&amp;"-"&amp;LEFT($B231,4)&amp;"*-0*",INDIRECT(Formulas!$B$3)),0)</f>
        <v>0</v>
      </c>
      <c r="D231" s="466">
        <f ca="1">ROUND(SUMIF(INDIRECT(Formulas!$B$1),MID(D$1,2,2)&amp;"-"&amp;LEFT($B231,4)&amp;"*-0*",INDIRECT(Formulas!$B$3)),0)</f>
        <v>0</v>
      </c>
      <c r="E231" s="466">
        <f ca="1">ROUND(SUMIF(INDIRECT(Formulas!$B$1),MID(E$1,2,2)&amp;"-"&amp;LEFT($B231,4)&amp;"*-0*",INDIRECT(Formulas!$B$3)),0)</f>
        <v>0</v>
      </c>
      <c r="F231" s="466">
        <f ca="1">ROUND(SUMIF(INDIRECT(Formulas!$B$1),MID(F$1,2,2)&amp;"-"&amp;LEFT($B231,4)&amp;"*-0*",INDIRECT(Formulas!$B$3)),0)</f>
        <v>0</v>
      </c>
      <c r="G231" s="466">
        <f ca="1">ROUND(SUMIF(INDIRECT(Formulas!$B$1),MID(G$1,2,2)&amp;"-"&amp;LEFT($B231,4)&amp;"*-0*",INDIRECT(Formulas!$B$3)),0)</f>
        <v>0</v>
      </c>
      <c r="H231" s="466">
        <f ca="1">ROUND(SUMIF(INDIRECT(Formulas!$B$1),MID(H$1,2,2)&amp;"-"&amp;LEFT($B231,4)&amp;"*-0*",INDIRECT(Formulas!$B$3)),0)</f>
        <v>0</v>
      </c>
      <c r="I231" s="468"/>
      <c r="J231" s="466">
        <f ca="1">ROUND(SUMIF(INDIRECT(Formulas!$B$1),MID(J$1,2,2)&amp;"-"&amp;LEFT($B231,4)&amp;"*-0*",INDIRECT(Formulas!$B$3)),0)</f>
        <v>0</v>
      </c>
      <c r="K231" s="466">
        <f ca="1">ROUND(SUMIF(INDIRECT(Formulas!$B$1),MID(K$1,2,2)&amp;"-"&amp;LEFT($B231,4)&amp;"*-0*",INDIRECT(Formulas!$B$3)),0)</f>
        <v>0</v>
      </c>
    </row>
    <row r="232" spans="1:11" ht="12.75" customHeight="1" x14ac:dyDescent="0.2">
      <c r="A232" s="486" t="s">
        <v>358</v>
      </c>
      <c r="B232" s="485">
        <v>4861</v>
      </c>
      <c r="C232" s="466">
        <f ca="1">ROUND(SUMIF(INDIRECT(Formulas!$B$1),MID(C$1,2,2)&amp;"-"&amp;LEFT($B232,4)&amp;"*-0*",INDIRECT(Formulas!$B$3)),0)</f>
        <v>0</v>
      </c>
      <c r="D232" s="466">
        <f ca="1">ROUND(SUMIF(INDIRECT(Formulas!$B$1),MID(D$1,2,2)&amp;"-"&amp;LEFT($B232,4)&amp;"*-0*",INDIRECT(Formulas!$B$3)),0)</f>
        <v>0</v>
      </c>
      <c r="E232" s="466">
        <f ca="1">ROUND(SUMIF(INDIRECT(Formulas!$B$1),MID(E$1,2,2)&amp;"-"&amp;LEFT($B232,4)&amp;"*-0*",INDIRECT(Formulas!$B$3)),0)</f>
        <v>0</v>
      </c>
      <c r="F232" s="466">
        <f ca="1">ROUND(SUMIF(INDIRECT(Formulas!$B$1),MID(F$1,2,2)&amp;"-"&amp;LEFT($B232,4)&amp;"*-0*",INDIRECT(Formulas!$B$3)),0)</f>
        <v>0</v>
      </c>
      <c r="G232" s="466">
        <f ca="1">ROUND(SUMIF(INDIRECT(Formulas!$B$1),MID(G$1,2,2)&amp;"-"&amp;LEFT($B232,4)&amp;"*-0*",INDIRECT(Formulas!$B$3)),0)</f>
        <v>0</v>
      </c>
      <c r="H232" s="466">
        <f ca="1">ROUND(SUMIF(INDIRECT(Formulas!$B$1),MID(H$1,2,2)&amp;"-"&amp;LEFT($B232,4)&amp;"*-0*",INDIRECT(Formulas!$B$3)),0)</f>
        <v>0</v>
      </c>
      <c r="I232" s="468"/>
      <c r="J232" s="466">
        <f ca="1">ROUND(SUMIF(INDIRECT(Formulas!$B$1),MID(J$1,2,2)&amp;"-"&amp;LEFT($B232,4)&amp;"*-0*",INDIRECT(Formulas!$B$3)),0)</f>
        <v>0</v>
      </c>
      <c r="K232" s="466">
        <f ca="1">ROUND(SUMIF(INDIRECT(Formulas!$B$1),MID(K$1,2,2)&amp;"-"&amp;LEFT($B232,4)&amp;"*-0*",INDIRECT(Formulas!$B$3)),0)</f>
        <v>0</v>
      </c>
    </row>
    <row r="233" spans="1:11" ht="12.75" customHeight="1" x14ac:dyDescent="0.2">
      <c r="A233" s="486" t="s">
        <v>359</v>
      </c>
      <c r="B233" s="485">
        <v>4862</v>
      </c>
      <c r="C233" s="466">
        <f ca="1">ROUND(SUMIF(INDIRECT(Formulas!$B$1),MID(C$1,2,2)&amp;"-"&amp;LEFT($B233,4)&amp;"*-0*",INDIRECT(Formulas!$B$3)),0)</f>
        <v>0</v>
      </c>
      <c r="D233" s="466">
        <f ca="1">ROUND(SUMIF(INDIRECT(Formulas!$B$1),MID(D$1,2,2)&amp;"-"&amp;LEFT($B233,4)&amp;"*-0*",INDIRECT(Formulas!$B$3)),0)</f>
        <v>0</v>
      </c>
      <c r="E233" s="473"/>
      <c r="F233" s="466">
        <f ca="1">ROUND(SUMIF(INDIRECT(Formulas!$B$1),MID(F$1,2,2)&amp;"-"&amp;LEFT($B233,4)&amp;"*-0*",INDIRECT(Formulas!$B$3)),0)</f>
        <v>0</v>
      </c>
      <c r="G233" s="466">
        <f ca="1">ROUND(SUMIF(INDIRECT(Formulas!$B$1),MID(G$1,2,2)&amp;"-"&amp;LEFT($B233,4)&amp;"*-0*",INDIRECT(Formulas!$B$3)),0)</f>
        <v>0</v>
      </c>
      <c r="H233" s="473"/>
      <c r="I233" s="468"/>
      <c r="J233" s="473"/>
      <c r="K233" s="473"/>
    </row>
    <row r="234" spans="1:11" ht="12.75" customHeight="1" x14ac:dyDescent="0.2">
      <c r="A234" s="486" t="s">
        <v>360</v>
      </c>
      <c r="B234" s="485">
        <v>4863</v>
      </c>
      <c r="C234" s="466">
        <f ca="1">ROUND(SUMIF(INDIRECT(Formulas!$B$1),MID(C$1,2,2)&amp;"-"&amp;LEFT($B234,4)&amp;"*-0*",INDIRECT(Formulas!$B$3)),0)</f>
        <v>0</v>
      </c>
      <c r="D234" s="466">
        <f ca="1">ROUND(SUMIF(INDIRECT(Formulas!$B$1),MID(D$1,2,2)&amp;"-"&amp;LEFT($B234,4)&amp;"*-0*",INDIRECT(Formulas!$B$3)),0)</f>
        <v>0</v>
      </c>
      <c r="E234" s="468"/>
      <c r="F234" s="473"/>
      <c r="G234" s="519"/>
      <c r="H234" s="468"/>
      <c r="I234" s="468"/>
      <c r="J234" s="468"/>
      <c r="K234" s="468"/>
    </row>
    <row r="235" spans="1:11" ht="12.75" customHeight="1" x14ac:dyDescent="0.2">
      <c r="A235" s="486" t="s">
        <v>469</v>
      </c>
      <c r="B235" s="485">
        <v>4864</v>
      </c>
      <c r="C235" s="466">
        <f ca="1">ROUND(SUMIF(INDIRECT(Formulas!$B$1),MID(C$1,2,2)&amp;"-"&amp;LEFT($B235,4)&amp;"*-0*",INDIRECT(Formulas!$B$3)),0)</f>
        <v>0</v>
      </c>
      <c r="D235" s="466">
        <f ca="1">ROUND(SUMIF(INDIRECT(Formulas!$B$1),MID(D$1,2,2)&amp;"-"&amp;LEFT($B235,4)&amp;"*-0*",INDIRECT(Formulas!$B$3)),0)</f>
        <v>0</v>
      </c>
      <c r="E235" s="466">
        <f ca="1">ROUND(SUMIF(INDIRECT(Formulas!$B$1),MID(E$1,2,2)&amp;"-"&amp;LEFT($B235,4)&amp;"*-0*",INDIRECT(Formulas!$B$3)),0)</f>
        <v>0</v>
      </c>
      <c r="F235" s="466">
        <f ca="1">ROUND(SUMIF(INDIRECT(Formulas!$B$1),MID(F$1,2,2)&amp;"-"&amp;LEFT($B235,4)&amp;"*-0*",INDIRECT(Formulas!$B$3)),0)</f>
        <v>0</v>
      </c>
      <c r="G235" s="466">
        <f ca="1">ROUND(SUMIF(INDIRECT(Formulas!$B$1),MID(G$1,2,2)&amp;"-"&amp;LEFT($B235,4)&amp;"*-0*",INDIRECT(Formulas!$B$3)),0)</f>
        <v>0</v>
      </c>
      <c r="H235" s="466">
        <f ca="1">ROUND(SUMIF(INDIRECT(Formulas!$B$1),MID(H$1,2,2)&amp;"-"&amp;LEFT($B235,4)&amp;"*-0*",INDIRECT(Formulas!$B$3)),0)</f>
        <v>0</v>
      </c>
      <c r="I235" s="468"/>
      <c r="J235" s="466">
        <f ca="1">ROUND(SUMIF(INDIRECT(Formulas!$B$1),MID(J$1,2,2)&amp;"-"&amp;LEFT($B235,4)&amp;"*-0*",INDIRECT(Formulas!$B$3)),0)</f>
        <v>0</v>
      </c>
      <c r="K235" s="466">
        <f ca="1">ROUND(SUMIF(INDIRECT(Formulas!$B$1),MID(K$1,2,2)&amp;"-"&amp;LEFT($B235,4)&amp;"*-0*",INDIRECT(Formulas!$B$3)),0)</f>
        <v>0</v>
      </c>
    </row>
    <row r="236" spans="1:11" ht="12.75" customHeight="1" x14ac:dyDescent="0.2">
      <c r="A236" s="486" t="s">
        <v>470</v>
      </c>
      <c r="B236" s="485">
        <v>4865</v>
      </c>
      <c r="C236" s="466">
        <f ca="1">ROUND(SUMIF(INDIRECT(Formulas!$B$1),MID(C$1,2,2)&amp;"-"&amp;LEFT($B236,4)&amp;"*-0*",INDIRECT(Formulas!$B$3)),0)</f>
        <v>0</v>
      </c>
      <c r="D236" s="466">
        <f ca="1">ROUND(SUMIF(INDIRECT(Formulas!$B$1),MID(D$1,2,2)&amp;"-"&amp;LEFT($B236,4)&amp;"*-0*",INDIRECT(Formulas!$B$3)),0)</f>
        <v>0</v>
      </c>
      <c r="E236" s="466">
        <f ca="1">ROUND(SUMIF(INDIRECT(Formulas!$B$1),MID(E$1,2,2)&amp;"-"&amp;LEFT($B236,4)&amp;"*-0*",INDIRECT(Formulas!$B$3)),0)</f>
        <v>0</v>
      </c>
      <c r="F236" s="466">
        <f ca="1">ROUND(SUMIF(INDIRECT(Formulas!$B$1),MID(F$1,2,2)&amp;"-"&amp;LEFT($B236,4)&amp;"*-0*",INDIRECT(Formulas!$B$3)),0)</f>
        <v>0</v>
      </c>
      <c r="G236" s="466">
        <f ca="1">ROUND(SUMIF(INDIRECT(Formulas!$B$1),MID(G$1,2,2)&amp;"-"&amp;LEFT($B236,4)&amp;"*-0*",INDIRECT(Formulas!$B$3)),0)</f>
        <v>0</v>
      </c>
      <c r="H236" s="466">
        <f ca="1">ROUND(SUMIF(INDIRECT(Formulas!$B$1),MID(H$1,2,2)&amp;"-"&amp;LEFT($B236,4)&amp;"*-0*",INDIRECT(Formulas!$B$3)),0)</f>
        <v>0</v>
      </c>
      <c r="I236" s="468"/>
      <c r="J236" s="466">
        <f ca="1">ROUND(SUMIF(INDIRECT(Formulas!$B$1),MID(J$1,2,2)&amp;"-"&amp;LEFT($B236,4)&amp;"*-0*",INDIRECT(Formulas!$B$3)),0)</f>
        <v>0</v>
      </c>
      <c r="K236" s="466">
        <f ca="1">ROUND(SUMIF(INDIRECT(Formulas!$B$1),MID(K$1,2,2)&amp;"-"&amp;LEFT($B236,4)&amp;"*-0*",INDIRECT(Formulas!$B$3)),0)</f>
        <v>0</v>
      </c>
    </row>
    <row r="237" spans="1:11" ht="12.75" customHeight="1" x14ac:dyDescent="0.2">
      <c r="A237" s="486" t="s">
        <v>468</v>
      </c>
      <c r="B237" s="485">
        <v>4866</v>
      </c>
      <c r="C237" s="466">
        <f ca="1">ROUND(SUMIF(INDIRECT(Formulas!$B$1),MID(C$1,2,2)&amp;"-"&amp;LEFT($B237,4)&amp;"*-0*",INDIRECT(Formulas!$B$3)),0)</f>
        <v>0</v>
      </c>
      <c r="D237" s="466">
        <f ca="1">ROUND(SUMIF(INDIRECT(Formulas!$B$1),MID(D$1,2,2)&amp;"-"&amp;LEFT($B237,4)&amp;"*-0*",INDIRECT(Formulas!$B$3)),0)</f>
        <v>0</v>
      </c>
      <c r="E237" s="466">
        <f ca="1">ROUND(SUMIF(INDIRECT(Formulas!$B$1),MID(E$1,2,2)&amp;"-"&amp;LEFT($B237,4)&amp;"*-0*",INDIRECT(Formulas!$B$3)),0)</f>
        <v>0</v>
      </c>
      <c r="F237" s="466">
        <f ca="1">ROUND(SUMIF(INDIRECT(Formulas!$B$1),MID(F$1,2,2)&amp;"-"&amp;LEFT($B237,4)&amp;"*-0*",INDIRECT(Formulas!$B$3)),0)</f>
        <v>0</v>
      </c>
      <c r="G237" s="466">
        <f ca="1">ROUND(SUMIF(INDIRECT(Formulas!$B$1),MID(G$1,2,2)&amp;"-"&amp;LEFT($B237,4)&amp;"*-0*",INDIRECT(Formulas!$B$3)),0)</f>
        <v>0</v>
      </c>
      <c r="H237" s="466">
        <f ca="1">ROUND(SUMIF(INDIRECT(Formulas!$B$1),MID(H$1,2,2)&amp;"-"&amp;LEFT($B237,4)&amp;"*-0*",INDIRECT(Formulas!$B$3)),0)</f>
        <v>0</v>
      </c>
      <c r="I237" s="468"/>
      <c r="J237" s="466">
        <f ca="1">ROUND(SUMIF(INDIRECT(Formulas!$B$1),MID(J$1,2,2)&amp;"-"&amp;LEFT($B237,4)&amp;"*-0*",INDIRECT(Formulas!$B$3)),0)</f>
        <v>0</v>
      </c>
      <c r="K237" s="466">
        <f ca="1">ROUND(SUMIF(INDIRECT(Formulas!$B$1),MID(K$1,2,2)&amp;"-"&amp;LEFT($B237,4)&amp;"*-0*",INDIRECT(Formulas!$B$3)),0)</f>
        <v>0</v>
      </c>
    </row>
    <row r="238" spans="1:11" ht="12.75" customHeight="1" x14ac:dyDescent="0.2">
      <c r="A238" s="486" t="s">
        <v>467</v>
      </c>
      <c r="B238" s="485">
        <v>4867</v>
      </c>
      <c r="C238" s="466">
        <f ca="1">ROUND(SUMIF(INDIRECT(Formulas!$B$1),MID(C$1,2,2)&amp;"-"&amp;LEFT($B238,4)&amp;"*-0*",INDIRECT(Formulas!$B$3)),0)</f>
        <v>0</v>
      </c>
      <c r="D238" s="466">
        <f ca="1">ROUND(SUMIF(INDIRECT(Formulas!$B$1),MID(D$1,2,2)&amp;"-"&amp;LEFT($B238,4)&amp;"*-0*",INDIRECT(Formulas!$B$3)),0)</f>
        <v>0</v>
      </c>
      <c r="E238" s="466">
        <f ca="1">ROUND(SUMIF(INDIRECT(Formulas!$B$1),MID(E$1,2,2)&amp;"-"&amp;LEFT($B238,4)&amp;"*-0*",INDIRECT(Formulas!$B$3)),0)</f>
        <v>0</v>
      </c>
      <c r="F238" s="466">
        <f ca="1">ROUND(SUMIF(INDIRECT(Formulas!$B$1),MID(F$1,2,2)&amp;"-"&amp;LEFT($B238,4)&amp;"*-0*",INDIRECT(Formulas!$B$3)),0)</f>
        <v>0</v>
      </c>
      <c r="G238" s="466">
        <f ca="1">ROUND(SUMIF(INDIRECT(Formulas!$B$1),MID(G$1,2,2)&amp;"-"&amp;LEFT($B238,4)&amp;"*-0*",INDIRECT(Formulas!$B$3)),0)</f>
        <v>0</v>
      </c>
      <c r="H238" s="466">
        <f ca="1">ROUND(SUMIF(INDIRECT(Formulas!$B$1),MID(H$1,2,2)&amp;"-"&amp;LEFT($B238,4)&amp;"*-0*",INDIRECT(Formulas!$B$3)),0)</f>
        <v>0</v>
      </c>
      <c r="I238" s="468"/>
      <c r="J238" s="466">
        <f ca="1">ROUND(SUMIF(INDIRECT(Formulas!$B$1),MID(J$1,2,2)&amp;"-"&amp;LEFT($B238,4)&amp;"*-0*",INDIRECT(Formulas!$B$3)),0)</f>
        <v>0</v>
      </c>
      <c r="K238" s="466">
        <f ca="1">ROUND(SUMIF(INDIRECT(Formulas!$B$1),MID(K$1,2,2)&amp;"-"&amp;LEFT($B238,4)&amp;"*-0*",INDIRECT(Formulas!$B$3)),0)</f>
        <v>0</v>
      </c>
    </row>
    <row r="239" spans="1:11" ht="12.75" customHeight="1" x14ac:dyDescent="0.2">
      <c r="A239" s="486" t="s">
        <v>466</v>
      </c>
      <c r="B239" s="485">
        <v>4868</v>
      </c>
      <c r="C239" s="466">
        <f ca="1">ROUND(SUMIF(INDIRECT(Formulas!$B$1),MID(C$1,2,2)&amp;"-"&amp;LEFT($B239,4)&amp;"*-0*",INDIRECT(Formulas!$B$3)),0)</f>
        <v>0</v>
      </c>
      <c r="D239" s="466">
        <f ca="1">ROUND(SUMIF(INDIRECT(Formulas!$B$1),MID(D$1,2,2)&amp;"-"&amp;LEFT($B239,4)&amp;"*-0*",INDIRECT(Formulas!$B$3)),0)</f>
        <v>0</v>
      </c>
      <c r="E239" s="466">
        <f ca="1">ROUND(SUMIF(INDIRECT(Formulas!$B$1),MID(E$1,2,2)&amp;"-"&amp;LEFT($B239,4)&amp;"*-0*",INDIRECT(Formulas!$B$3)),0)</f>
        <v>0</v>
      </c>
      <c r="F239" s="466">
        <f ca="1">ROUND(SUMIF(INDIRECT(Formulas!$B$1),MID(F$1,2,2)&amp;"-"&amp;LEFT($B239,4)&amp;"*-0*",INDIRECT(Formulas!$B$3)),0)</f>
        <v>0</v>
      </c>
      <c r="G239" s="466">
        <f ca="1">ROUND(SUMIF(INDIRECT(Formulas!$B$1),MID(G$1,2,2)&amp;"-"&amp;LEFT($B239,4)&amp;"*-0*",INDIRECT(Formulas!$B$3)),0)</f>
        <v>0</v>
      </c>
      <c r="H239" s="466">
        <f ca="1">ROUND(SUMIF(INDIRECT(Formulas!$B$1),MID(H$1,2,2)&amp;"-"&amp;LEFT($B239,4)&amp;"*-0*",INDIRECT(Formulas!$B$3)),0)</f>
        <v>0</v>
      </c>
      <c r="I239" s="468"/>
      <c r="J239" s="466">
        <f ca="1">ROUND(SUMIF(INDIRECT(Formulas!$B$1),MID(J$1,2,2)&amp;"-"&amp;LEFT($B239,4)&amp;"*-0*",INDIRECT(Formulas!$B$3)),0)</f>
        <v>0</v>
      </c>
      <c r="K239" s="466">
        <f ca="1">ROUND(SUMIF(INDIRECT(Formulas!$B$1),MID(K$1,2,2)&amp;"-"&amp;LEFT($B239,4)&amp;"*-0*",INDIRECT(Formulas!$B$3)),0)</f>
        <v>0</v>
      </c>
    </row>
    <row r="240" spans="1:11" ht="12.75" customHeight="1" x14ac:dyDescent="0.2">
      <c r="A240" s="486" t="s">
        <v>465</v>
      </c>
      <c r="B240" s="485">
        <v>4869</v>
      </c>
      <c r="C240" s="466">
        <f ca="1">ROUND(SUMIF(INDIRECT(Formulas!$B$1),MID(C$1,2,2)&amp;"-"&amp;LEFT($B240,4)&amp;"*-0*",INDIRECT(Formulas!$B$3)),0)</f>
        <v>0</v>
      </c>
      <c r="D240" s="466">
        <f ca="1">ROUND(SUMIF(INDIRECT(Formulas!$B$1),MID(D$1,2,2)&amp;"-"&amp;LEFT($B240,4)&amp;"*-0*",INDIRECT(Formulas!$B$3)),0)</f>
        <v>0</v>
      </c>
      <c r="E240" s="466">
        <f ca="1">ROUND(SUMIF(INDIRECT(Formulas!$B$1),MID(E$1,2,2)&amp;"-"&amp;LEFT($B240,4)&amp;"*-0*",INDIRECT(Formulas!$B$3)),0)</f>
        <v>0</v>
      </c>
      <c r="F240" s="466">
        <f ca="1">ROUND(SUMIF(INDIRECT(Formulas!$B$1),MID(F$1,2,2)&amp;"-"&amp;LEFT($B240,4)&amp;"*-0*",INDIRECT(Formulas!$B$3)),0)</f>
        <v>0</v>
      </c>
      <c r="G240" s="466">
        <f ca="1">ROUND(SUMIF(INDIRECT(Formulas!$B$1),MID(G$1,2,2)&amp;"-"&amp;LEFT($B240,4)&amp;"*-0*",INDIRECT(Formulas!$B$3)),0)</f>
        <v>0</v>
      </c>
      <c r="H240" s="466">
        <f ca="1">ROUND(SUMIF(INDIRECT(Formulas!$B$1),MID(H$1,2,2)&amp;"-"&amp;LEFT($B240,4)&amp;"*-0*",INDIRECT(Formulas!$B$3)),0)</f>
        <v>0</v>
      </c>
      <c r="I240" s="468"/>
      <c r="J240" s="466">
        <f ca="1">ROUND(SUMIF(INDIRECT(Formulas!$B$1),MID(J$1,2,2)&amp;"-"&amp;LEFT($B240,4)&amp;"*-0*",INDIRECT(Formulas!$B$3)),0)</f>
        <v>0</v>
      </c>
      <c r="K240" s="466">
        <f ca="1">ROUND(SUMIF(INDIRECT(Formulas!$B$1),MID(K$1,2,2)&amp;"-"&amp;LEFT($B240,4)&amp;"*-0*",INDIRECT(Formulas!$B$3)),0)</f>
        <v>0</v>
      </c>
    </row>
    <row r="241" spans="1:11" ht="12.75" customHeight="1" x14ac:dyDescent="0.2">
      <c r="A241" s="486" t="s">
        <v>1128</v>
      </c>
      <c r="B241" s="485">
        <v>4870</v>
      </c>
      <c r="C241" s="466">
        <f ca="1">ROUND(SUMIF(INDIRECT(Formulas!$B$1),MID(C$1,2,2)&amp;"-"&amp;LEFT($B241,4)&amp;"*-0*",INDIRECT(Formulas!$B$3)),0)</f>
        <v>0</v>
      </c>
      <c r="D241" s="466">
        <f ca="1">ROUND(SUMIF(INDIRECT(Formulas!$B$1),MID(D$1,2,2)&amp;"-"&amp;LEFT($B241,4)&amp;"*-0*",INDIRECT(Formulas!$B$3)),0)</f>
        <v>0</v>
      </c>
      <c r="E241" s="466">
        <f ca="1">ROUND(SUMIF(INDIRECT(Formulas!$B$1),MID(E$1,2,2)&amp;"-"&amp;LEFT($B241,4)&amp;"*-0*",INDIRECT(Formulas!$B$3)),0)</f>
        <v>0</v>
      </c>
      <c r="F241" s="466">
        <f ca="1">ROUND(SUMIF(INDIRECT(Formulas!$B$1),MID(F$1,2,2)&amp;"-"&amp;LEFT($B241,4)&amp;"*-0*",INDIRECT(Formulas!$B$3)),0)</f>
        <v>0</v>
      </c>
      <c r="G241" s="466">
        <f ca="1">ROUND(SUMIF(INDIRECT(Formulas!$B$1),MID(G$1,2,2)&amp;"-"&amp;LEFT($B241,4)&amp;"*-0*",INDIRECT(Formulas!$B$3)),0)</f>
        <v>0</v>
      </c>
      <c r="H241" s="466">
        <f ca="1">ROUND(SUMIF(INDIRECT(Formulas!$B$1),MID(H$1,2,2)&amp;"-"&amp;LEFT($B241,4)&amp;"*-0*",INDIRECT(Formulas!$B$3)),0)</f>
        <v>0</v>
      </c>
      <c r="I241" s="468"/>
      <c r="J241" s="466">
        <f ca="1">ROUND(SUMIF(INDIRECT(Formulas!$B$1),MID(J$1,2,2)&amp;"-"&amp;LEFT($B241,4)&amp;"*-0*",INDIRECT(Formulas!$B$3)),0)</f>
        <v>0</v>
      </c>
      <c r="K241" s="466">
        <f ca="1">ROUND(SUMIF(INDIRECT(Formulas!$B$1),MID(K$1,2,2)&amp;"-"&amp;LEFT($B241,4)&amp;"*-0*",INDIRECT(Formulas!$B$3)),0)</f>
        <v>0</v>
      </c>
    </row>
    <row r="242" spans="1:11" ht="12.75" customHeight="1" x14ac:dyDescent="0.2">
      <c r="A242" s="486" t="s">
        <v>788</v>
      </c>
      <c r="B242" s="485">
        <v>4871</v>
      </c>
      <c r="C242" s="466">
        <f ca="1">ROUND(SUMIF(INDIRECT(Formulas!$B$1),MID(C$1,2,2)&amp;"-"&amp;LEFT($B242,4)&amp;"*-0*",INDIRECT(Formulas!$B$3)),0)</f>
        <v>0</v>
      </c>
      <c r="D242" s="466">
        <f ca="1">ROUND(SUMIF(INDIRECT(Formulas!$B$1),MID(D$1,2,2)&amp;"-"&amp;LEFT($B242,4)&amp;"*-0*",INDIRECT(Formulas!$B$3)),0)</f>
        <v>0</v>
      </c>
      <c r="E242" s="466">
        <f ca="1">ROUND(SUMIF(INDIRECT(Formulas!$B$1),MID(E$1,2,2)&amp;"-"&amp;LEFT($B242,4)&amp;"*-0*",INDIRECT(Formulas!$B$3)),0)</f>
        <v>0</v>
      </c>
      <c r="F242" s="466">
        <f ca="1">ROUND(SUMIF(INDIRECT(Formulas!$B$1),MID(F$1,2,2)&amp;"-"&amp;LEFT($B242,4)&amp;"*-0*",INDIRECT(Formulas!$B$3)),0)</f>
        <v>0</v>
      </c>
      <c r="G242" s="466">
        <f ca="1">ROUND(SUMIF(INDIRECT(Formulas!$B$1),MID(G$1,2,2)&amp;"-"&amp;LEFT($B242,4)&amp;"*-0*",INDIRECT(Formulas!$B$3)),0)</f>
        <v>0</v>
      </c>
      <c r="H242" s="466">
        <f ca="1">ROUND(SUMIF(INDIRECT(Formulas!$B$1),MID(H$1,2,2)&amp;"-"&amp;LEFT($B242,4)&amp;"*-0*",INDIRECT(Formulas!$B$3)),0)</f>
        <v>0</v>
      </c>
      <c r="I242" s="468"/>
      <c r="J242" s="466">
        <f ca="1">ROUND(SUMIF(INDIRECT(Formulas!$B$1),MID(J$1,2,2)&amp;"-"&amp;LEFT($B242,4)&amp;"*-0*",INDIRECT(Formulas!$B$3)),0)</f>
        <v>0</v>
      </c>
      <c r="K242" s="466">
        <f ca="1">ROUND(SUMIF(INDIRECT(Formulas!$B$1),MID(K$1,2,2)&amp;"-"&amp;LEFT($B242,4)&amp;"*-0*",INDIRECT(Formulas!$B$3)),0)</f>
        <v>0</v>
      </c>
    </row>
    <row r="243" spans="1:11" ht="12.75" customHeight="1" x14ac:dyDescent="0.2">
      <c r="A243" s="486" t="s">
        <v>789</v>
      </c>
      <c r="B243" s="485">
        <v>4872</v>
      </c>
      <c r="C243" s="466">
        <f ca="1">ROUND(SUMIF(INDIRECT(Formulas!$B$1),MID(C$1,2,2)&amp;"-"&amp;LEFT($B243,4)&amp;"*-0*",INDIRECT(Formulas!$B$3)),0)</f>
        <v>0</v>
      </c>
      <c r="D243" s="466">
        <f ca="1">ROUND(SUMIF(INDIRECT(Formulas!$B$1),MID(D$1,2,2)&amp;"-"&amp;LEFT($B243,4)&amp;"*-0*",INDIRECT(Formulas!$B$3)),0)</f>
        <v>0</v>
      </c>
      <c r="E243" s="466">
        <f ca="1">ROUND(SUMIF(INDIRECT(Formulas!$B$1),MID(E$1,2,2)&amp;"-"&amp;LEFT($B243,4)&amp;"*-0*",INDIRECT(Formulas!$B$3)),0)</f>
        <v>0</v>
      </c>
      <c r="F243" s="466">
        <f ca="1">ROUND(SUMIF(INDIRECT(Formulas!$B$1),MID(F$1,2,2)&amp;"-"&amp;LEFT($B243,4)&amp;"*-0*",INDIRECT(Formulas!$B$3)),0)</f>
        <v>0</v>
      </c>
      <c r="G243" s="466">
        <f ca="1">ROUND(SUMIF(INDIRECT(Formulas!$B$1),MID(G$1,2,2)&amp;"-"&amp;LEFT($B243,4)&amp;"*-0*",INDIRECT(Formulas!$B$3)),0)</f>
        <v>0</v>
      </c>
      <c r="H243" s="466">
        <f ca="1">ROUND(SUMIF(INDIRECT(Formulas!$B$1),MID(H$1,2,2)&amp;"-"&amp;LEFT($B243,4)&amp;"*-0*",INDIRECT(Formulas!$B$3)),0)</f>
        <v>0</v>
      </c>
      <c r="I243" s="468"/>
      <c r="J243" s="466">
        <f ca="1">ROUND(SUMIF(INDIRECT(Formulas!$B$1),MID(J$1,2,2)&amp;"-"&amp;LEFT($B243,4)&amp;"*-0*",INDIRECT(Formulas!$B$3)),0)</f>
        <v>0</v>
      </c>
      <c r="K243" s="466">
        <f ca="1">ROUND(SUMIF(INDIRECT(Formulas!$B$1),MID(K$1,2,2)&amp;"-"&amp;LEFT($B243,4)&amp;"*-0*",INDIRECT(Formulas!$B$3)),0)</f>
        <v>0</v>
      </c>
    </row>
    <row r="244" spans="1:11" ht="12.75" customHeight="1" x14ac:dyDescent="0.2">
      <c r="A244" s="486" t="s">
        <v>790</v>
      </c>
      <c r="B244" s="485">
        <v>4873</v>
      </c>
      <c r="C244" s="466">
        <f ca="1">ROUND(SUMIF(INDIRECT(Formulas!$B$1),MID(C$1,2,2)&amp;"-"&amp;LEFT($B244,4)&amp;"*-0*",INDIRECT(Formulas!$B$3)),0)</f>
        <v>0</v>
      </c>
      <c r="D244" s="466">
        <f ca="1">ROUND(SUMIF(INDIRECT(Formulas!$B$1),MID(D$1,2,2)&amp;"-"&amp;LEFT($B244,4)&amp;"*-0*",INDIRECT(Formulas!$B$3)),0)</f>
        <v>0</v>
      </c>
      <c r="E244" s="466">
        <f ca="1">ROUND(SUMIF(INDIRECT(Formulas!$B$1),MID(E$1,2,2)&amp;"-"&amp;LEFT($B244,4)&amp;"*-0*",INDIRECT(Formulas!$B$3)),0)</f>
        <v>0</v>
      </c>
      <c r="F244" s="466">
        <f ca="1">ROUND(SUMIF(INDIRECT(Formulas!$B$1),MID(F$1,2,2)&amp;"-"&amp;LEFT($B244,4)&amp;"*-0*",INDIRECT(Formulas!$B$3)),0)</f>
        <v>0</v>
      </c>
      <c r="G244" s="466">
        <f ca="1">ROUND(SUMIF(INDIRECT(Formulas!$B$1),MID(G$1,2,2)&amp;"-"&amp;LEFT($B244,4)&amp;"*-0*",INDIRECT(Formulas!$B$3)),0)</f>
        <v>0</v>
      </c>
      <c r="H244" s="466">
        <f ca="1">ROUND(SUMIF(INDIRECT(Formulas!$B$1),MID(H$1,2,2)&amp;"-"&amp;LEFT($B244,4)&amp;"*-0*",INDIRECT(Formulas!$B$3)),0)</f>
        <v>0</v>
      </c>
      <c r="I244" s="468"/>
      <c r="J244" s="466">
        <f ca="1">ROUND(SUMIF(INDIRECT(Formulas!$B$1),MID(J$1,2,2)&amp;"-"&amp;LEFT($B244,4)&amp;"*-0*",INDIRECT(Formulas!$B$3)),0)</f>
        <v>0</v>
      </c>
      <c r="K244" s="466">
        <f ca="1">ROUND(SUMIF(INDIRECT(Formulas!$B$1),MID(K$1,2,2)&amp;"-"&amp;LEFT($B244,4)&amp;"*-0*",INDIRECT(Formulas!$B$3)),0)</f>
        <v>0</v>
      </c>
    </row>
    <row r="245" spans="1:11" ht="12.75" customHeight="1" x14ac:dyDescent="0.2">
      <c r="A245" s="486" t="s">
        <v>791</v>
      </c>
      <c r="B245" s="485">
        <v>4874</v>
      </c>
      <c r="C245" s="466">
        <f ca="1">ROUND(SUMIF(INDIRECT(Formulas!$B$1),MID(C$1,2,2)&amp;"-"&amp;LEFT($B245,4)&amp;"*-0*",INDIRECT(Formulas!$B$3)),0)</f>
        <v>0</v>
      </c>
      <c r="D245" s="466">
        <f ca="1">ROUND(SUMIF(INDIRECT(Formulas!$B$1),MID(D$1,2,2)&amp;"-"&amp;LEFT($B245,4)&amp;"*-0*",INDIRECT(Formulas!$B$3)),0)</f>
        <v>0</v>
      </c>
      <c r="E245" s="466">
        <f ca="1">ROUND(SUMIF(INDIRECT(Formulas!$B$1),MID(E$1,2,2)&amp;"-"&amp;LEFT($B245,4)&amp;"*-0*",INDIRECT(Formulas!$B$3)),0)</f>
        <v>0</v>
      </c>
      <c r="F245" s="466">
        <f ca="1">ROUND(SUMIF(INDIRECT(Formulas!$B$1),MID(F$1,2,2)&amp;"-"&amp;LEFT($B245,4)&amp;"*-0*",INDIRECT(Formulas!$B$3)),0)</f>
        <v>0</v>
      </c>
      <c r="G245" s="466">
        <f ca="1">ROUND(SUMIF(INDIRECT(Formulas!$B$1),MID(G$1,2,2)&amp;"-"&amp;LEFT($B245,4)&amp;"*-0*",INDIRECT(Formulas!$B$3)),0)</f>
        <v>0</v>
      </c>
      <c r="H245" s="466">
        <f ca="1">ROUND(SUMIF(INDIRECT(Formulas!$B$1),MID(H$1,2,2)&amp;"-"&amp;LEFT($B245,4)&amp;"*-0*",INDIRECT(Formulas!$B$3)),0)</f>
        <v>0</v>
      </c>
      <c r="I245" s="468"/>
      <c r="J245" s="466">
        <f ca="1">ROUND(SUMIF(INDIRECT(Formulas!$B$1),MID(J$1,2,2)&amp;"-"&amp;LEFT($B245,4)&amp;"*-0*",INDIRECT(Formulas!$B$3)),0)</f>
        <v>0</v>
      </c>
      <c r="K245" s="466">
        <f ca="1">ROUND(SUMIF(INDIRECT(Formulas!$B$1),MID(K$1,2,2)&amp;"-"&amp;LEFT($B245,4)&amp;"*-0*",INDIRECT(Formulas!$B$3)),0)</f>
        <v>0</v>
      </c>
    </row>
    <row r="246" spans="1:11" ht="12.75" customHeight="1" x14ac:dyDescent="0.2">
      <c r="A246" s="486" t="s">
        <v>471</v>
      </c>
      <c r="B246" s="485">
        <v>4875</v>
      </c>
      <c r="C246" s="466">
        <f ca="1">ROUND(SUMIF(INDIRECT(Formulas!$B$1),MID(C$1,2,2)&amp;"-"&amp;LEFT($B246,4)&amp;"*-0*",INDIRECT(Formulas!$B$3)),0)</f>
        <v>0</v>
      </c>
      <c r="D246" s="466">
        <f ca="1">ROUND(SUMIF(INDIRECT(Formulas!$B$1),MID(D$1,2,2)&amp;"-"&amp;LEFT($B246,4)&amp;"*-0*",INDIRECT(Formulas!$B$3)),0)</f>
        <v>0</v>
      </c>
      <c r="E246" s="466">
        <f ca="1">ROUND(SUMIF(INDIRECT(Formulas!$B$1),MID(E$1,2,2)&amp;"-"&amp;LEFT($B246,4)&amp;"*-0*",INDIRECT(Formulas!$B$3)),0)</f>
        <v>0</v>
      </c>
      <c r="F246" s="466">
        <f ca="1">ROUND(SUMIF(INDIRECT(Formulas!$B$1),MID(F$1,2,2)&amp;"-"&amp;LEFT($B246,4)&amp;"*-0*",INDIRECT(Formulas!$B$3)),0)</f>
        <v>0</v>
      </c>
      <c r="G246" s="466">
        <f ca="1">ROUND(SUMIF(INDIRECT(Formulas!$B$1),MID(G$1,2,2)&amp;"-"&amp;LEFT($B246,4)&amp;"*-0*",INDIRECT(Formulas!$B$3)),0)</f>
        <v>0</v>
      </c>
      <c r="H246" s="466">
        <f ca="1">ROUND(SUMIF(INDIRECT(Formulas!$B$1),MID(H$1,2,2)&amp;"-"&amp;LEFT($B246,4)&amp;"*-0*",INDIRECT(Formulas!$B$3)),0)</f>
        <v>0</v>
      </c>
      <c r="I246" s="468"/>
      <c r="J246" s="466">
        <f ca="1">ROUND(SUMIF(INDIRECT(Formulas!$B$1),MID(J$1,2,2)&amp;"-"&amp;LEFT($B246,4)&amp;"*-0*",INDIRECT(Formulas!$B$3)),0)</f>
        <v>0</v>
      </c>
      <c r="K246" s="466">
        <f ca="1">ROUND(SUMIF(INDIRECT(Formulas!$B$1),MID(K$1,2,2)&amp;"-"&amp;LEFT($B246,4)&amp;"*-0*",INDIRECT(Formulas!$B$3)),0)</f>
        <v>0</v>
      </c>
    </row>
    <row r="247" spans="1:11" ht="12.75" customHeight="1" x14ac:dyDescent="0.2">
      <c r="A247" s="486" t="s">
        <v>770</v>
      </c>
      <c r="B247" s="485">
        <v>4876</v>
      </c>
      <c r="C247" s="466">
        <f ca="1">ROUND(SUMIF(INDIRECT(Formulas!$B$1),MID(C$1,2,2)&amp;"-"&amp;LEFT($B247,4)&amp;"*-0*",INDIRECT(Formulas!$B$3)),0)</f>
        <v>0</v>
      </c>
      <c r="D247" s="466">
        <f ca="1">ROUND(SUMIF(INDIRECT(Formulas!$B$1),MID(D$1,2,2)&amp;"-"&amp;LEFT($B247,4)&amp;"*-0*",INDIRECT(Formulas!$B$3)),0)</f>
        <v>0</v>
      </c>
      <c r="E247" s="466">
        <f ca="1">ROUND(SUMIF(INDIRECT(Formulas!$B$1),MID(E$1,2,2)&amp;"-"&amp;LEFT($B247,4)&amp;"*-0*",INDIRECT(Formulas!$B$3)),0)</f>
        <v>0</v>
      </c>
      <c r="F247" s="466">
        <f ca="1">ROUND(SUMIF(INDIRECT(Formulas!$B$1),MID(F$1,2,2)&amp;"-"&amp;LEFT($B247,4)&amp;"*-0*",INDIRECT(Formulas!$B$3)),0)</f>
        <v>0</v>
      </c>
      <c r="G247" s="466">
        <f ca="1">ROUND(SUMIF(INDIRECT(Formulas!$B$1),MID(G$1,2,2)&amp;"-"&amp;LEFT($B247,4)&amp;"*-0*",INDIRECT(Formulas!$B$3)),0)</f>
        <v>0</v>
      </c>
      <c r="H247" s="466">
        <f ca="1">ROUND(SUMIF(INDIRECT(Formulas!$B$1),MID(H$1,2,2)&amp;"-"&amp;LEFT($B247,4)&amp;"*-0*",INDIRECT(Formulas!$B$3)),0)</f>
        <v>0</v>
      </c>
      <c r="I247" s="468"/>
      <c r="J247" s="466">
        <f ca="1">ROUND(SUMIF(INDIRECT(Formulas!$B$1),MID(J$1,2,2)&amp;"-"&amp;LEFT($B247,4)&amp;"*-0*",INDIRECT(Formulas!$B$3)),0)</f>
        <v>0</v>
      </c>
      <c r="K247" s="466">
        <f ca="1">ROUND(SUMIF(INDIRECT(Formulas!$B$1),MID(K$1,2,2)&amp;"-"&amp;LEFT($B247,4)&amp;"*-0*",INDIRECT(Formulas!$B$3)),0)</f>
        <v>0</v>
      </c>
    </row>
    <row r="248" spans="1:11" ht="12.75" customHeight="1" x14ac:dyDescent="0.2">
      <c r="A248" s="486" t="s">
        <v>771</v>
      </c>
      <c r="B248" s="485">
        <v>4877</v>
      </c>
      <c r="C248" s="466">
        <f ca="1">ROUND(SUMIF(INDIRECT(Formulas!$B$1),MID(C$1,2,2)&amp;"-"&amp;LEFT($B248,4)&amp;"*-0*",INDIRECT(Formulas!$B$3)),0)</f>
        <v>0</v>
      </c>
      <c r="D248" s="466">
        <f ca="1">ROUND(SUMIF(INDIRECT(Formulas!$B$1),MID(D$1,2,2)&amp;"-"&amp;LEFT($B248,4)&amp;"*-0*",INDIRECT(Formulas!$B$3)),0)</f>
        <v>0</v>
      </c>
      <c r="E248" s="466">
        <f ca="1">ROUND(SUMIF(INDIRECT(Formulas!$B$1),MID(E$1,2,2)&amp;"-"&amp;LEFT($B248,4)&amp;"*-0*",INDIRECT(Formulas!$B$3)),0)</f>
        <v>0</v>
      </c>
      <c r="F248" s="466">
        <f ca="1">ROUND(SUMIF(INDIRECT(Formulas!$B$1),MID(F$1,2,2)&amp;"-"&amp;LEFT($B248,4)&amp;"*-0*",INDIRECT(Formulas!$B$3)),0)</f>
        <v>0</v>
      </c>
      <c r="G248" s="466">
        <f ca="1">ROUND(SUMIF(INDIRECT(Formulas!$B$1),MID(G$1,2,2)&amp;"-"&amp;LEFT($B248,4)&amp;"*-0*",INDIRECT(Formulas!$B$3)),0)</f>
        <v>0</v>
      </c>
      <c r="H248" s="466">
        <f ca="1">ROUND(SUMIF(INDIRECT(Formulas!$B$1),MID(H$1,2,2)&amp;"-"&amp;LEFT($B248,4)&amp;"*-0*",INDIRECT(Formulas!$B$3)),0)</f>
        <v>0</v>
      </c>
      <c r="I248" s="468"/>
      <c r="J248" s="466">
        <f ca="1">ROUND(SUMIF(INDIRECT(Formulas!$B$1),MID(J$1,2,2)&amp;"-"&amp;LEFT($B248,4)&amp;"*-0*",INDIRECT(Formulas!$B$3)),0)</f>
        <v>0</v>
      </c>
      <c r="K248" s="466">
        <f ca="1">ROUND(SUMIF(INDIRECT(Formulas!$B$1),MID(K$1,2,2)&amp;"-"&amp;LEFT($B248,4)&amp;"*-0*",INDIRECT(Formulas!$B$3)),0)</f>
        <v>0</v>
      </c>
    </row>
    <row r="249" spans="1:11" ht="12.75" customHeight="1" x14ac:dyDescent="0.2">
      <c r="A249" s="486" t="s">
        <v>772</v>
      </c>
      <c r="B249" s="485">
        <v>4878</v>
      </c>
      <c r="C249" s="466">
        <f ca="1">ROUND(SUMIF(INDIRECT(Formulas!$B$1),MID(C$1,2,2)&amp;"-"&amp;LEFT($B249,4)&amp;"*-0*",INDIRECT(Formulas!$B$3)),0)</f>
        <v>0</v>
      </c>
      <c r="D249" s="466">
        <f ca="1">ROUND(SUMIF(INDIRECT(Formulas!$B$1),MID(D$1,2,2)&amp;"-"&amp;LEFT($B249,4)&amp;"*-0*",INDIRECT(Formulas!$B$3)),0)</f>
        <v>0</v>
      </c>
      <c r="E249" s="466">
        <f ca="1">ROUND(SUMIF(INDIRECT(Formulas!$B$1),MID(E$1,2,2)&amp;"-"&amp;LEFT($B249,4)&amp;"*-0*",INDIRECT(Formulas!$B$3)),0)</f>
        <v>0</v>
      </c>
      <c r="F249" s="466">
        <f ca="1">ROUND(SUMIF(INDIRECT(Formulas!$B$1),MID(F$1,2,2)&amp;"-"&amp;LEFT($B249,4)&amp;"*-0*",INDIRECT(Formulas!$B$3)),0)</f>
        <v>0</v>
      </c>
      <c r="G249" s="466">
        <f ca="1">ROUND(SUMIF(INDIRECT(Formulas!$B$1),MID(G$1,2,2)&amp;"-"&amp;LEFT($B249,4)&amp;"*-0*",INDIRECT(Formulas!$B$3)),0)</f>
        <v>0</v>
      </c>
      <c r="H249" s="466">
        <f ca="1">ROUND(SUMIF(INDIRECT(Formulas!$B$1),MID(H$1,2,2)&amp;"-"&amp;LEFT($B249,4)&amp;"*-0*",INDIRECT(Formulas!$B$3)),0)</f>
        <v>0</v>
      </c>
      <c r="I249" s="468"/>
      <c r="J249" s="466">
        <f ca="1">ROUND(SUMIF(INDIRECT(Formulas!$B$1),MID(J$1,2,2)&amp;"-"&amp;LEFT($B249,4)&amp;"*-0*",INDIRECT(Formulas!$B$3)),0)</f>
        <v>0</v>
      </c>
      <c r="K249" s="466">
        <f ca="1">ROUND(SUMIF(INDIRECT(Formulas!$B$1),MID(K$1,2,2)&amp;"-"&amp;LEFT($B249,4)&amp;"*-0*",INDIRECT(Formulas!$B$3)),0)</f>
        <v>0</v>
      </c>
    </row>
    <row r="250" spans="1:11" ht="12.75" customHeight="1" x14ac:dyDescent="0.2">
      <c r="A250" s="486" t="s">
        <v>773</v>
      </c>
      <c r="B250" s="485">
        <v>4879</v>
      </c>
      <c r="C250" s="466">
        <f ca="1">ROUND(SUMIF(INDIRECT(Formulas!$B$1),MID(C$1,2,2)&amp;"-"&amp;LEFT($B250,4)&amp;"*-0*",INDIRECT(Formulas!$B$3)),0)</f>
        <v>0</v>
      </c>
      <c r="D250" s="466">
        <f ca="1">ROUND(SUMIF(INDIRECT(Formulas!$B$1),MID(D$1,2,2)&amp;"-"&amp;LEFT($B250,4)&amp;"*-0*",INDIRECT(Formulas!$B$3)),0)</f>
        <v>0</v>
      </c>
      <c r="E250" s="466">
        <f ca="1">ROUND(SUMIF(INDIRECT(Formulas!$B$1),MID(E$1,2,2)&amp;"-"&amp;LEFT($B250,4)&amp;"*-0*",INDIRECT(Formulas!$B$3)),0)</f>
        <v>0</v>
      </c>
      <c r="F250" s="466">
        <f ca="1">ROUND(SUMIF(INDIRECT(Formulas!$B$1),MID(F$1,2,2)&amp;"-"&amp;LEFT($B250,4)&amp;"*-0*",INDIRECT(Formulas!$B$3)),0)</f>
        <v>0</v>
      </c>
      <c r="G250" s="466">
        <f ca="1">ROUND(SUMIF(INDIRECT(Formulas!$B$1),MID(G$1,2,2)&amp;"-"&amp;LEFT($B250,4)&amp;"*-0*",INDIRECT(Formulas!$B$3)),0)</f>
        <v>0</v>
      </c>
      <c r="H250" s="466">
        <f ca="1">ROUND(SUMIF(INDIRECT(Formulas!$B$1),MID(H$1,2,2)&amp;"-"&amp;LEFT($B250,4)&amp;"*-0*",INDIRECT(Formulas!$B$3)),0)</f>
        <v>0</v>
      </c>
      <c r="I250" s="468"/>
      <c r="J250" s="466">
        <f ca="1">ROUND(SUMIF(INDIRECT(Formulas!$B$1),MID(J$1,2,2)&amp;"-"&amp;LEFT($B250,4)&amp;"*-0*",INDIRECT(Formulas!$B$3)),0)</f>
        <v>0</v>
      </c>
      <c r="K250" s="466">
        <f ca="1">ROUND(SUMIF(INDIRECT(Formulas!$B$1),MID(K$1,2,2)&amp;"-"&amp;LEFT($B250,4)&amp;"*-0*",INDIRECT(Formulas!$B$3)),0)</f>
        <v>0</v>
      </c>
    </row>
    <row r="251" spans="1:11" ht="12.75" customHeight="1" x14ac:dyDescent="0.2">
      <c r="A251" s="225" t="s">
        <v>1455</v>
      </c>
      <c r="B251" s="566">
        <v>4880</v>
      </c>
      <c r="C251" s="466">
        <f ca="1">ROUND(SUMIF(INDIRECT(Formulas!$B$1),MID(C$1,2,2)&amp;"-"&amp;LEFT($B251,4)&amp;"*-0*",INDIRECT(Formulas!$B$3)),0)</f>
        <v>0</v>
      </c>
      <c r="D251" s="466">
        <f ca="1">ROUND(SUMIF(INDIRECT(Formulas!$B$1),MID(D$1,2,2)&amp;"-"&amp;LEFT($B251,4)&amp;"*-0*",INDIRECT(Formulas!$B$3)),0)</f>
        <v>0</v>
      </c>
      <c r="E251" s="466">
        <f ca="1">ROUND(SUMIF(INDIRECT(Formulas!$B$1),MID(E$1,2,2)&amp;"-"&amp;LEFT($B251,4)&amp;"*-0*",INDIRECT(Formulas!$B$3)),0)</f>
        <v>0</v>
      </c>
      <c r="F251" s="466">
        <f ca="1">ROUND(SUMIF(INDIRECT(Formulas!$B$1),MID(F$1,2,2)&amp;"-"&amp;LEFT($B251,4)&amp;"*-0*",INDIRECT(Formulas!$B$3)),0)</f>
        <v>0</v>
      </c>
      <c r="G251" s="466">
        <f ca="1">ROUND(SUMIF(INDIRECT(Formulas!$B$1),MID(G$1,2,2)&amp;"-"&amp;LEFT($B251,4)&amp;"*-0*",INDIRECT(Formulas!$B$3)),0)</f>
        <v>0</v>
      </c>
      <c r="H251" s="466">
        <f ca="1">ROUND(SUMIF(INDIRECT(Formulas!$B$1),MID(H$1,2,2)&amp;"-"&amp;LEFT($B251,4)&amp;"*-0*",INDIRECT(Formulas!$B$3)),0)</f>
        <v>0</v>
      </c>
      <c r="I251" s="468"/>
      <c r="J251" s="466">
        <f ca="1">ROUND(SUMIF(INDIRECT(Formulas!$B$1),MID(J$1,2,2)&amp;"-"&amp;LEFT($B251,4)&amp;"*-0*",INDIRECT(Formulas!$B$3)),0)</f>
        <v>0</v>
      </c>
      <c r="K251" s="466">
        <f ca="1">ROUND(SUMIF(INDIRECT(Formulas!$B$1),MID(K$1,2,2)&amp;"-"&amp;LEFT($B251,4)&amp;"*-0*",INDIRECT(Formulas!$B$3)),0)</f>
        <v>0</v>
      </c>
    </row>
    <row r="252" spans="1:11" ht="12.75" customHeight="1" thickBot="1" x14ac:dyDescent="0.25">
      <c r="A252" s="1695" t="s">
        <v>774</v>
      </c>
      <c r="B252" s="1696"/>
      <c r="C252" s="1688">
        <f t="shared" ref="C252:H252" ca="1" si="9">SUM(C223:C251)</f>
        <v>0</v>
      </c>
      <c r="D252" s="1677">
        <f t="shared" ca="1" si="9"/>
        <v>0</v>
      </c>
      <c r="E252" s="1677">
        <f t="shared" ca="1" si="9"/>
        <v>0</v>
      </c>
      <c r="F252" s="1677">
        <f t="shared" ca="1" si="9"/>
        <v>0</v>
      </c>
      <c r="G252" s="1677">
        <f t="shared" ca="1" si="9"/>
        <v>0</v>
      </c>
      <c r="H252" s="1677">
        <f t="shared" ca="1" si="9"/>
        <v>0</v>
      </c>
      <c r="I252" s="541"/>
      <c r="J252" s="1677">
        <f ca="1">SUM(J223:J251)</f>
        <v>0</v>
      </c>
      <c r="K252" s="1658">
        <f ca="1">SUM(K223:K251)</f>
        <v>0</v>
      </c>
    </row>
    <row r="253" spans="1:11" ht="12.75" customHeight="1" thickTop="1" x14ac:dyDescent="0.2">
      <c r="A253" s="1472" t="s">
        <v>1421</v>
      </c>
      <c r="B253" s="567">
        <v>4901</v>
      </c>
      <c r="C253" s="466">
        <f ca="1">ROUND(SUMIF(INDIRECT(Formulas!$B$1),MID(C$1,2,2)&amp;"-"&amp;LEFT($B253,4)&amp;"*-0*",INDIRECT(Formulas!$B$3)),0)</f>
        <v>0</v>
      </c>
      <c r="D253" s="469"/>
      <c r="E253" s="468"/>
      <c r="F253" s="468"/>
      <c r="G253" s="468"/>
      <c r="H253" s="468"/>
      <c r="I253" s="468"/>
      <c r="J253" s="468"/>
      <c r="K253" s="468"/>
    </row>
    <row r="254" spans="1:11" ht="12.75" customHeight="1" x14ac:dyDescent="0.2">
      <c r="A254" s="1473" t="s">
        <v>1463</v>
      </c>
      <c r="B254" s="568">
        <v>4902</v>
      </c>
      <c r="C254" s="466">
        <f ca="1">ROUND(SUMIF(INDIRECT(Formulas!$B$1),MID(C$1,2,2)&amp;"-"&amp;LEFT($B254,4)&amp;"*-0*",INDIRECT(Formulas!$B$3)),0)</f>
        <v>0</v>
      </c>
      <c r="D254" s="466">
        <f ca="1">ROUND(SUMIF(INDIRECT(Formulas!$B$1),MID(D$1,2,2)&amp;"-"&amp;LEFT($B254,4)&amp;"*-0*",INDIRECT(Formulas!$B$3)),0)</f>
        <v>0</v>
      </c>
      <c r="E254" s="469"/>
      <c r="F254" s="466">
        <f ca="1">ROUND(SUMIF(INDIRECT(Formulas!$B$1),MID(F$1,2,2)&amp;"-"&amp;LEFT($B254,4)&amp;"*-0*",INDIRECT(Formulas!$B$3)),0)</f>
        <v>0</v>
      </c>
      <c r="G254" s="466">
        <f ca="1">ROUND(SUMIF(INDIRECT(Formulas!$B$1),MID(G$1,2,2)&amp;"-"&amp;LEFT($B254,4)&amp;"*-0*",INDIRECT(Formulas!$B$3)),0)</f>
        <v>0</v>
      </c>
      <c r="H254" s="469"/>
      <c r="I254" s="468"/>
      <c r="J254" s="469"/>
      <c r="K254" s="469"/>
    </row>
    <row r="255" spans="1:11" ht="12.75" customHeight="1" x14ac:dyDescent="0.2">
      <c r="A255" s="463" t="s">
        <v>1456</v>
      </c>
      <c r="B255" s="470">
        <v>4905</v>
      </c>
      <c r="C255" s="466">
        <f ca="1">ROUND(SUMIF(INDIRECT(Formulas!$B$1),MID(C$1,2,2)&amp;"-"&amp;LEFT($B255,4)&amp;"*-0*",INDIRECT(Formulas!$B$3)),0)</f>
        <v>0</v>
      </c>
      <c r="D255" s="468"/>
      <c r="E255" s="468"/>
      <c r="F255" s="466">
        <f ca="1">ROUND(SUMIF(INDIRECT(Formulas!$B$1),MID(F$1,2,2)&amp;"-"&amp;LEFT($B255,4)&amp;"*-0*",INDIRECT(Formulas!$B$3)),0)</f>
        <v>0</v>
      </c>
      <c r="G255" s="466">
        <f ca="1">ROUND(SUMIF(INDIRECT(Formulas!$B$1),MID(G$1,2,2)&amp;"-"&amp;LEFT($B255,4)&amp;"*-0*",INDIRECT(Formulas!$B$3)),0)</f>
        <v>0</v>
      </c>
      <c r="H255" s="468"/>
      <c r="I255" s="468"/>
      <c r="J255" s="468"/>
      <c r="K255" s="468"/>
    </row>
    <row r="256" spans="1:11" ht="12.75" customHeight="1" x14ac:dyDescent="0.2">
      <c r="A256" s="463" t="s">
        <v>1457</v>
      </c>
      <c r="B256" s="470">
        <v>4909</v>
      </c>
      <c r="C256" s="466">
        <f ca="1">ROUND(SUMIF(INDIRECT(Formulas!$B$1),MID(C$1,2,2)&amp;"-"&amp;LEFT($B256,4)&amp;"*-0*",INDIRECT(Formulas!$B$3)),0)</f>
        <v>0</v>
      </c>
      <c r="D256" s="468"/>
      <c r="E256" s="468"/>
      <c r="F256" s="466">
        <f ca="1">ROUND(SUMIF(INDIRECT(Formulas!$B$1),MID(F$1,2,2)&amp;"-"&amp;LEFT($B256,4)&amp;"*-0*",INDIRECT(Formulas!$B$3)),0)</f>
        <v>0</v>
      </c>
      <c r="G256" s="466">
        <f ca="1">ROUND(SUMIF(INDIRECT(Formulas!$B$1),MID(G$1,2,2)&amp;"-"&amp;LEFT($B256,4)&amp;"*-0*",INDIRECT(Formulas!$B$3)),0)</f>
        <v>0</v>
      </c>
      <c r="H256" s="468"/>
      <c r="I256" s="468"/>
      <c r="J256" s="468"/>
      <c r="K256" s="468"/>
    </row>
    <row r="257" spans="1:11" ht="12.75" customHeight="1" x14ac:dyDescent="0.2">
      <c r="A257" s="463" t="s">
        <v>193</v>
      </c>
      <c r="B257" s="470">
        <v>4920</v>
      </c>
      <c r="C257" s="466">
        <f ca="1">ROUND(SUMIF(INDIRECT(Formulas!$B$1),MID(C$1,2,2)&amp;"-"&amp;LEFT($B257,4)&amp;"*-0*",INDIRECT(Formulas!$B$3)),0)</f>
        <v>0</v>
      </c>
      <c r="D257" s="466">
        <f ca="1">ROUND(SUMIF(INDIRECT(Formulas!$B$1),MID(D$1,2,2)&amp;"-"&amp;LEFT($B257,4)&amp;"*-0*",INDIRECT(Formulas!$B$3)),0)</f>
        <v>0</v>
      </c>
      <c r="E257" s="468"/>
      <c r="F257" s="466">
        <f ca="1">ROUND(SUMIF(INDIRECT(Formulas!$B$1),MID(F$1,2,2)&amp;"-"&amp;LEFT($B257,4)&amp;"*-0*",INDIRECT(Formulas!$B$3)),0)</f>
        <v>0</v>
      </c>
      <c r="G257" s="466">
        <f ca="1">ROUND(SUMIF(INDIRECT(Formulas!$B$1),MID(G$1,2,2)&amp;"-"&amp;LEFT($B257,4)&amp;"*-0*",INDIRECT(Formulas!$B$3)),0)</f>
        <v>0</v>
      </c>
      <c r="H257" s="468"/>
      <c r="I257" s="468"/>
      <c r="J257" s="468"/>
      <c r="K257" s="468"/>
    </row>
    <row r="258" spans="1:11" ht="12.75" customHeight="1" x14ac:dyDescent="0.2">
      <c r="A258" s="463" t="s">
        <v>421</v>
      </c>
      <c r="B258" s="470">
        <v>4930</v>
      </c>
      <c r="C258" s="466">
        <f ca="1">ROUND(SUMIF(INDIRECT(Formulas!$B$1),MID(C$1,2,2)&amp;"-"&amp;LEFT($B258,4)&amp;"*-0*",INDIRECT(Formulas!$B$3)),0)</f>
        <v>0</v>
      </c>
      <c r="D258" s="466">
        <f ca="1">ROUND(SUMIF(INDIRECT(Formulas!$B$1),MID(D$1,2,2)&amp;"-"&amp;LEFT($B258,4)&amp;"*-0*",INDIRECT(Formulas!$B$3)),0)</f>
        <v>0</v>
      </c>
      <c r="E258" s="468"/>
      <c r="F258" s="466">
        <f ca="1">ROUND(SUMIF(INDIRECT(Formulas!$B$1),MID(F$1,2,2)&amp;"-"&amp;LEFT($B258,4)&amp;"*-0*",INDIRECT(Formulas!$B$3)),0)</f>
        <v>0</v>
      </c>
      <c r="G258" s="466">
        <f ca="1">ROUND(SUMIF(INDIRECT(Formulas!$B$1),MID(G$1,2,2)&amp;"-"&amp;LEFT($B258,4)&amp;"*-0*",INDIRECT(Formulas!$B$3)),0)</f>
        <v>0</v>
      </c>
      <c r="H258" s="468"/>
      <c r="I258" s="468"/>
      <c r="J258" s="468"/>
      <c r="K258" s="468"/>
    </row>
    <row r="259" spans="1:11" ht="12.75" customHeight="1" x14ac:dyDescent="0.2">
      <c r="A259" s="463" t="s">
        <v>758</v>
      </c>
      <c r="B259" s="470">
        <v>4932</v>
      </c>
      <c r="C259" s="466">
        <f ca="1">ROUND(SUMIF(INDIRECT(Formulas!$B$1),MID(C$1,2,2)&amp;"-"&amp;LEFT($B259,4)&amp;"*-0*",INDIRECT(Formulas!$B$3)),0)</f>
        <v>47403</v>
      </c>
      <c r="D259" s="466">
        <f ca="1">ROUND(SUMIF(INDIRECT(Formulas!$B$1),MID(D$1,2,2)&amp;"-"&amp;LEFT($B259,4)&amp;"*-0*",INDIRECT(Formulas!$B$3)),0)</f>
        <v>0</v>
      </c>
      <c r="E259" s="468"/>
      <c r="F259" s="466">
        <f ca="1">ROUND(SUMIF(INDIRECT(Formulas!$B$1),MID(F$1,2,2)&amp;"-"&amp;LEFT($B259,4)&amp;"*-0*",INDIRECT(Formulas!$B$3)),0)</f>
        <v>0</v>
      </c>
      <c r="G259" s="466">
        <f ca="1">ROUND(SUMIF(INDIRECT(Formulas!$B$1),MID(G$1,2,2)&amp;"-"&amp;LEFT($B259,4)&amp;"*-0*",INDIRECT(Formulas!$B$3)),0)</f>
        <v>0</v>
      </c>
      <c r="H259" s="468"/>
      <c r="I259" s="468"/>
      <c r="J259" s="468"/>
      <c r="K259" s="468"/>
    </row>
    <row r="260" spans="1:11" ht="12.75" customHeight="1" x14ac:dyDescent="0.2">
      <c r="A260" s="463" t="s">
        <v>890</v>
      </c>
      <c r="B260" s="470">
        <v>4960</v>
      </c>
      <c r="C260" s="466">
        <f ca="1">ROUND(SUMIF(INDIRECT(Formulas!$B$1),MID(C$1,2,2)&amp;"-"&amp;LEFT($B260,4)&amp;"*-0*",INDIRECT(Formulas!$B$3)),0)</f>
        <v>0</v>
      </c>
      <c r="D260" s="466">
        <f ca="1">ROUND(SUMIF(INDIRECT(Formulas!$B$1),MID(D$1,2,2)&amp;"-"&amp;LEFT($B260,4)&amp;"*-0*",INDIRECT(Formulas!$B$3)),0)</f>
        <v>0</v>
      </c>
      <c r="E260" s="468"/>
      <c r="F260" s="466">
        <f ca="1">ROUND(SUMIF(INDIRECT(Formulas!$B$1),MID(F$1,2,2)&amp;"-"&amp;LEFT($B260,4)&amp;"*-0*",INDIRECT(Formulas!$B$3)),0)</f>
        <v>0</v>
      </c>
      <c r="G260" s="466">
        <f ca="1">ROUND(SUMIF(INDIRECT(Formulas!$B$1),MID(G$1,2,2)&amp;"-"&amp;LEFT($B260,4)&amp;"*-0*",INDIRECT(Formulas!$B$3)),0)</f>
        <v>0</v>
      </c>
      <c r="H260" s="468"/>
      <c r="I260" s="468"/>
      <c r="J260" s="468"/>
      <c r="K260" s="468"/>
    </row>
    <row r="261" spans="1:11" ht="12.75" customHeight="1" x14ac:dyDescent="0.2">
      <c r="A261" s="1896" t="s">
        <v>1934</v>
      </c>
      <c r="B261" s="470">
        <v>4981</v>
      </c>
      <c r="C261" s="466">
        <f ca="1">ROUND(SUMIF(INDIRECT(Formulas!$B$1),MID(C$1,2,2)&amp;"-"&amp;LEFT($B261,4)&amp;"*-0*",INDIRECT(Formulas!$B$3)),0)</f>
        <v>0</v>
      </c>
      <c r="D261" s="466">
        <f ca="1">ROUND(SUMIF(INDIRECT(Formulas!$B$1),MID(D$1,2,2)&amp;"-"&amp;LEFT($B261,4)&amp;"*-0*",INDIRECT(Formulas!$B$3)),0)</f>
        <v>0</v>
      </c>
      <c r="E261" s="468"/>
      <c r="F261" s="466">
        <f ca="1">ROUND(SUMIF(INDIRECT(Formulas!$B$1),MID(F$1,2,2)&amp;"-"&amp;LEFT($B261,4)&amp;"*-0*",INDIRECT(Formulas!$B$3)),0)</f>
        <v>0</v>
      </c>
      <c r="G261" s="466">
        <f ca="1">ROUND(SUMIF(INDIRECT(Formulas!$B$1),MID(G$1,2,2)&amp;"-"&amp;LEFT($B261,4)&amp;"*-0*",INDIRECT(Formulas!$B$3)),0)</f>
        <v>0</v>
      </c>
      <c r="H261" s="468"/>
      <c r="I261" s="468"/>
      <c r="J261" s="468"/>
      <c r="K261" s="468"/>
    </row>
    <row r="262" spans="1:11" ht="12.75" customHeight="1" x14ac:dyDescent="0.2">
      <c r="A262" s="1897" t="s">
        <v>1935</v>
      </c>
      <c r="B262" s="470">
        <v>4982</v>
      </c>
      <c r="C262" s="466">
        <f ca="1">ROUND(SUMIF(INDIRECT(Formulas!$B$1),MID(C$1,2,2)&amp;"-"&amp;LEFT($B262,4)&amp;"*-0*",INDIRECT(Formulas!$B$3)),0)</f>
        <v>0</v>
      </c>
      <c r="D262" s="466">
        <f ca="1">ROUND(SUMIF(INDIRECT(Formulas!$B$1),MID(D$1,2,2)&amp;"-"&amp;LEFT($B262,4)&amp;"*-0*",INDIRECT(Formulas!$B$3)),0)</f>
        <v>0</v>
      </c>
      <c r="E262" s="468"/>
      <c r="F262" s="466">
        <f ca="1">ROUND(SUMIF(INDIRECT(Formulas!$B$1),MID(F$1,2,2)&amp;"-"&amp;LEFT($B262,4)&amp;"*-0*",INDIRECT(Formulas!$B$3)),0)</f>
        <v>0</v>
      </c>
      <c r="G262" s="466">
        <f ca="1">ROUND(SUMIF(INDIRECT(Formulas!$B$1),MID(G$1,2,2)&amp;"-"&amp;LEFT($B262,4)&amp;"*-0*",INDIRECT(Formulas!$B$3)),0)</f>
        <v>0</v>
      </c>
      <c r="H262" s="468"/>
      <c r="I262" s="468"/>
      <c r="J262" s="468"/>
      <c r="K262" s="468"/>
    </row>
    <row r="263" spans="1:11" ht="12.75" customHeight="1" x14ac:dyDescent="0.2">
      <c r="A263" s="463" t="s">
        <v>568</v>
      </c>
      <c r="B263" s="470">
        <v>4991</v>
      </c>
      <c r="C263" s="466">
        <f ca="1">ROUND(SUMIF(INDIRECT(Formulas!$B$1),MID(C$1,2,2)&amp;"-"&amp;LEFT($B263,4)&amp;"*-0*",INDIRECT(Formulas!$B$3)),0)</f>
        <v>76251</v>
      </c>
      <c r="D263" s="466">
        <f ca="1">ROUND(SUMIF(INDIRECT(Formulas!$B$1),MID(D$1,2,2)&amp;"-"&amp;LEFT($B263,4)&amp;"*-0*",INDIRECT(Formulas!$B$3)),0)</f>
        <v>0</v>
      </c>
      <c r="E263" s="468"/>
      <c r="F263" s="466">
        <f ca="1">ROUND(SUMIF(INDIRECT(Formulas!$B$1),MID(F$1,2,2)&amp;"-"&amp;LEFT($B263,4)&amp;"*-0*",INDIRECT(Formulas!$B$3)),0)</f>
        <v>0</v>
      </c>
      <c r="G263" s="466">
        <f ca="1">ROUND(SUMIF(INDIRECT(Formulas!$B$1),MID(G$1,2,2)&amp;"-"&amp;LEFT($B263,4)&amp;"*-0*",INDIRECT(Formulas!$B$3)),0)</f>
        <v>0</v>
      </c>
      <c r="H263" s="468"/>
      <c r="I263" s="468"/>
      <c r="J263" s="468"/>
      <c r="K263" s="468"/>
    </row>
    <row r="264" spans="1:11" ht="12.75" customHeight="1" x14ac:dyDescent="0.2">
      <c r="A264" s="463" t="s">
        <v>377</v>
      </c>
      <c r="B264" s="470">
        <v>4992</v>
      </c>
      <c r="C264" s="466">
        <f ca="1">ROUND(SUMIF(INDIRECT(Formulas!$B$1),MID(C$1,2,2)&amp;"-"&amp;LEFT($B264,4)&amp;"*-0*",INDIRECT(Formulas!$B$3)),0)</f>
        <v>118944</v>
      </c>
      <c r="D264" s="466">
        <f ca="1">ROUND(SUMIF(INDIRECT(Formulas!$B$1),MID(D$1,2,2)&amp;"-"&amp;LEFT($B264,4)&amp;"*-0*",INDIRECT(Formulas!$B$3)),0)</f>
        <v>0</v>
      </c>
      <c r="E264" s="468"/>
      <c r="F264" s="466">
        <f ca="1">ROUND(SUMIF(INDIRECT(Formulas!$B$1),MID(F$1,2,2)&amp;"-"&amp;LEFT($B264,4)&amp;"*-0*",INDIRECT(Formulas!$B$3)),0)</f>
        <v>0</v>
      </c>
      <c r="G264" s="466">
        <f ca="1">ROUND(SUMIF(INDIRECT(Formulas!$B$1),MID(G$1,2,2)&amp;"-"&amp;LEFT($B264,4)&amp;"*-0*",INDIRECT(Formulas!$B$3)),0)</f>
        <v>0</v>
      </c>
      <c r="H264" s="468"/>
      <c r="I264" s="468"/>
      <c r="J264" s="468"/>
      <c r="K264" s="468"/>
    </row>
    <row r="265" spans="1:11" s="569" customFormat="1" ht="12.75" customHeight="1" thickBot="1" x14ac:dyDescent="0.25">
      <c r="A265" s="550" t="s">
        <v>75</v>
      </c>
      <c r="B265" s="545">
        <v>4999</v>
      </c>
      <c r="C265" s="466">
        <f ca="1">ROUND(SUMIF(INDIRECT(Formulas!$B$1),MID(C$1,2,2)&amp;"-"&amp;LEFT($B265,4)&amp;"*-0*",INDIRECT(Formulas!$B$3)),0)</f>
        <v>0</v>
      </c>
      <c r="D265" s="466">
        <f ca="1">ROUND(SUMIF(INDIRECT(Formulas!$B$1),MID(D$1,2,2)&amp;"-"&amp;LEFT($B265,4)&amp;"*-0*",INDIRECT(Formulas!$B$3)),0)</f>
        <v>0</v>
      </c>
      <c r="E265" s="468"/>
      <c r="F265" s="466">
        <f ca="1">ROUND(SUMIF(INDIRECT(Formulas!$B$1),MID(F$1,2,2)&amp;"-"&amp;LEFT($B265,4)&amp;"*-0*",INDIRECT(Formulas!$B$3)),0)</f>
        <v>0</v>
      </c>
      <c r="G265" s="466">
        <f ca="1">ROUND(SUMIF(INDIRECT(Formulas!$B$1),MID(G$1,2,2)&amp;"-"&amp;LEFT($B265,4)&amp;"*-0*",INDIRECT(Formulas!$B$3)),0)</f>
        <v>0</v>
      </c>
      <c r="H265" s="466">
        <f ca="1">ROUND(SUMIF(INDIRECT(Formulas!$B$1),MID(H$1,2,2)&amp;"-"&amp;LEFT($B265,4)&amp;"*-0*",INDIRECT(Formulas!$B$3)),0)</f>
        <v>0</v>
      </c>
      <c r="I265" s="468"/>
      <c r="J265" s="468"/>
      <c r="K265" s="466">
        <f ca="1">ROUND(SUMIF(INDIRECT(Formulas!$B$1),MID(K$1,2,2)&amp;"-"&amp;LEFT($B265,4)&amp;"*-0*",INDIRECT(Formulas!$B$3)),0)</f>
        <v>0</v>
      </c>
    </row>
    <row r="266" spans="1:11" ht="14.25" thickTop="1" thickBot="1" x14ac:dyDescent="0.25">
      <c r="A266" s="1678" t="s">
        <v>1666</v>
      </c>
      <c r="B266" s="1697"/>
      <c r="C266" s="1685">
        <f t="shared" ref="C266:H266" ca="1" si="10">SUM(C188,C198,C204,C209,C217,C221,C222,C252:C265)</f>
        <v>1739781</v>
      </c>
      <c r="D266" s="1685">
        <f t="shared" ca="1" si="10"/>
        <v>0</v>
      </c>
      <c r="E266" s="1685">
        <f t="shared" ca="1" si="10"/>
        <v>0</v>
      </c>
      <c r="F266" s="1685">
        <f t="shared" ca="1" si="10"/>
        <v>0</v>
      </c>
      <c r="G266" s="1685">
        <f t="shared" ca="1" si="10"/>
        <v>0</v>
      </c>
      <c r="H266" s="1685">
        <f t="shared" ca="1" si="10"/>
        <v>0</v>
      </c>
      <c r="I266" s="468"/>
      <c r="J266" s="1685">
        <f ca="1">SUM(J188,J198,J204,J209,J217,J221,J222,J252:J265)</f>
        <v>0</v>
      </c>
      <c r="K266" s="1672">
        <f ca="1">SUM(K188,K198,K204,K209,K217,K221,K222,K252:K265)</f>
        <v>0</v>
      </c>
    </row>
    <row r="267" spans="1:11" ht="14.25" thickTop="1" thickBot="1" x14ac:dyDescent="0.25">
      <c r="A267" s="1698" t="s">
        <v>1086</v>
      </c>
      <c r="B267" s="1699" t="s">
        <v>860</v>
      </c>
      <c r="C267" s="1685">
        <f ca="1">SUM(C175,C181,C266)</f>
        <v>1739781</v>
      </c>
      <c r="D267" s="1685">
        <f ca="1">SUM(D175,D181,D266)</f>
        <v>0</v>
      </c>
      <c r="E267" s="1685">
        <f ca="1">SUM(E175,E266)</f>
        <v>0</v>
      </c>
      <c r="F267" s="1685">
        <f t="shared" ref="F267:K267" ca="1" si="11">SUM(F175,F181,F266)</f>
        <v>0</v>
      </c>
      <c r="G267" s="1685">
        <f t="shared" ca="1" si="11"/>
        <v>0</v>
      </c>
      <c r="H267" s="1685">
        <f t="shared" ca="1" si="11"/>
        <v>0</v>
      </c>
      <c r="I267" s="1685">
        <f t="shared" ca="1" si="11"/>
        <v>0</v>
      </c>
      <c r="J267" s="1685">
        <f t="shared" ca="1" si="11"/>
        <v>0</v>
      </c>
      <c r="K267" s="1672">
        <f t="shared" ca="1" si="11"/>
        <v>0</v>
      </c>
    </row>
    <row r="268" spans="1:11" ht="14.25" thickTop="1" thickBot="1" x14ac:dyDescent="0.25">
      <c r="A268" s="1700" t="s">
        <v>251</v>
      </c>
      <c r="B268" s="1701"/>
      <c r="C268" s="1685">
        <f t="shared" ref="C268:K268" ca="1" si="12">SUM(C109,C114,C170,C267)</f>
        <v>17475045</v>
      </c>
      <c r="D268" s="1685">
        <f t="shared" ca="1" si="12"/>
        <v>1010637</v>
      </c>
      <c r="E268" s="1685">
        <f t="shared" ca="1" si="12"/>
        <v>2999684</v>
      </c>
      <c r="F268" s="1685">
        <f t="shared" ca="1" si="12"/>
        <v>1529878</v>
      </c>
      <c r="G268" s="1685">
        <f t="shared" ca="1" si="12"/>
        <v>919956</v>
      </c>
      <c r="H268" s="1685">
        <f t="shared" ca="1" si="12"/>
        <v>0</v>
      </c>
      <c r="I268" s="1685">
        <f t="shared" ca="1" si="12"/>
        <v>267385</v>
      </c>
      <c r="J268" s="1685">
        <f t="shared" ca="1" si="12"/>
        <v>554361</v>
      </c>
      <c r="K268" s="1672">
        <f t="shared" ca="1" si="12"/>
        <v>10433</v>
      </c>
    </row>
    <row r="269" spans="1:11" ht="13.5" thickTop="1" x14ac:dyDescent="0.2">
      <c r="C269" s="572"/>
      <c r="D269" s="572"/>
      <c r="E269" s="572"/>
      <c r="F269" s="572"/>
      <c r="G269" s="572"/>
      <c r="H269" s="572"/>
      <c r="I269" s="572"/>
      <c r="J269" s="572"/>
      <c r="K269" s="572"/>
    </row>
    <row r="270" spans="1:11" x14ac:dyDescent="0.2">
      <c r="C270" s="572"/>
      <c r="D270" s="572"/>
      <c r="E270" s="572"/>
      <c r="F270" s="572"/>
      <c r="G270" s="572"/>
      <c r="H270" s="572"/>
      <c r="I270" s="572"/>
      <c r="J270" s="572"/>
      <c r="K270" s="572"/>
    </row>
    <row r="271" spans="1:11" x14ac:dyDescent="0.2">
      <c r="C271" s="572"/>
      <c r="D271" s="572"/>
      <c r="E271" s="572"/>
      <c r="F271" s="572"/>
      <c r="G271" s="572"/>
      <c r="H271" s="572"/>
      <c r="I271" s="572"/>
      <c r="J271" s="572"/>
      <c r="K271" s="572"/>
    </row>
    <row r="272" spans="1:11" x14ac:dyDescent="0.2">
      <c r="C272" s="572"/>
      <c r="D272" s="572"/>
      <c r="E272" s="572"/>
      <c r="F272" s="572"/>
      <c r="G272" s="572"/>
      <c r="H272" s="572"/>
      <c r="I272" s="572"/>
      <c r="J272" s="572"/>
      <c r="K272" s="572"/>
    </row>
    <row r="273" spans="1:11" x14ac:dyDescent="0.2">
      <c r="C273" s="572"/>
      <c r="D273" s="572"/>
      <c r="E273" s="572"/>
      <c r="F273" s="572"/>
      <c r="G273" s="572"/>
      <c r="H273" s="572"/>
      <c r="I273" s="572"/>
      <c r="J273" s="572"/>
      <c r="K273" s="572"/>
    </row>
    <row r="274" spans="1:11" x14ac:dyDescent="0.2">
      <c r="C274" s="572"/>
      <c r="D274" s="572"/>
      <c r="E274" s="572"/>
      <c r="F274" s="572"/>
      <c r="G274" s="572"/>
      <c r="H274" s="572"/>
      <c r="I274" s="572"/>
      <c r="J274" s="572"/>
      <c r="K274" s="572"/>
    </row>
    <row r="275" spans="1:11" s="329" customFormat="1" x14ac:dyDescent="0.2">
      <c r="A275" s="570"/>
      <c r="B275" s="571"/>
      <c r="C275" s="572"/>
      <c r="D275" s="572"/>
      <c r="E275" s="572"/>
      <c r="F275" s="572"/>
      <c r="G275" s="572"/>
      <c r="H275" s="572"/>
      <c r="I275" s="572"/>
      <c r="J275" s="572"/>
      <c r="K275" s="572"/>
    </row>
    <row r="276" spans="1:11" s="329" customFormat="1" x14ac:dyDescent="0.2">
      <c r="A276" s="570"/>
    </row>
    <row r="277" spans="1:11" s="329" customFormat="1" x14ac:dyDescent="0.2">
      <c r="A277" s="573"/>
    </row>
    <row r="278" spans="1:11" s="329" customFormat="1" x14ac:dyDescent="0.2">
      <c r="A278" s="573"/>
    </row>
    <row r="279" spans="1:11" s="329" customFormat="1" x14ac:dyDescent="0.2">
      <c r="A279" s="573"/>
    </row>
  </sheetData>
  <sheetProtection password="F60E"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0" firstPageNumber="9" fitToWidth="0" fitToHeight="0" orientation="landscape" useFirstPageNumber="1" r:id="rId1"/>
  <headerFooter alignWithMargins="0">
    <oddHeader>&amp;L&amp;8Page &amp;P&amp;C&amp;"Arial,Bold"&amp;9STATEMENT OF REVENUES RECEIVED/REVENUES
FOR THE YEAR ENDING JUNE 30, 2019&amp;R&amp;8Page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A88" colorId="8" zoomScale="90" zoomScaleNormal="110" zoomScalePageLayoutView="90" workbookViewId="0">
      <selection activeCell="I191" sqref="I191:L191"/>
    </sheetView>
  </sheetViews>
  <sheetFormatPr defaultColWidth="9.140625" defaultRowHeight="12.75" x14ac:dyDescent="0.2"/>
  <cols>
    <col min="1" max="1" width="48.5703125" style="680" customWidth="1"/>
    <col min="2" max="2" width="5" style="681" customWidth="1"/>
    <col min="3" max="8" width="13.28515625" style="585" customWidth="1"/>
    <col min="9" max="10" width="13.28515625" style="343" customWidth="1"/>
    <col min="11" max="11" width="13.28515625" style="682" customWidth="1"/>
    <col min="12" max="12" width="11.85546875" style="343" customWidth="1"/>
    <col min="13" max="13" width="1.5703125" style="210" customWidth="1"/>
    <col min="14" max="14" width="9.140625" style="210"/>
    <col min="15" max="16384" width="9.140625" style="329"/>
  </cols>
  <sheetData>
    <row r="1" spans="1:14" x14ac:dyDescent="0.2">
      <c r="A1" s="2175" t="s">
        <v>1799</v>
      </c>
      <c r="B1" s="578"/>
      <c r="C1" s="579" t="s">
        <v>775</v>
      </c>
      <c r="D1" s="579" t="s">
        <v>1078</v>
      </c>
      <c r="E1" s="579" t="s">
        <v>1079</v>
      </c>
      <c r="F1" s="579" t="s">
        <v>1080</v>
      </c>
      <c r="G1" s="579" t="s">
        <v>1081</v>
      </c>
      <c r="H1" s="579" t="s">
        <v>1082</v>
      </c>
      <c r="I1" s="579" t="s">
        <v>1083</v>
      </c>
      <c r="J1" s="579" t="s">
        <v>1084</v>
      </c>
      <c r="K1" s="579" t="s">
        <v>252</v>
      </c>
      <c r="L1" s="580"/>
    </row>
    <row r="2" spans="1:14" s="584" customFormat="1" ht="28.5" customHeight="1" x14ac:dyDescent="0.2">
      <c r="A2" s="2209"/>
      <c r="B2" s="581" t="s">
        <v>45</v>
      </c>
      <c r="C2" s="582" t="s">
        <v>194</v>
      </c>
      <c r="D2" s="583" t="s">
        <v>49</v>
      </c>
      <c r="E2" s="583" t="s">
        <v>1100</v>
      </c>
      <c r="F2" s="583" t="s">
        <v>1094</v>
      </c>
      <c r="G2" s="582" t="s">
        <v>1095</v>
      </c>
      <c r="H2" s="582" t="s">
        <v>1096</v>
      </c>
      <c r="I2" s="583" t="s">
        <v>291</v>
      </c>
      <c r="J2" s="583" t="s">
        <v>292</v>
      </c>
      <c r="K2" s="582" t="s">
        <v>156</v>
      </c>
      <c r="L2" s="582" t="s">
        <v>30</v>
      </c>
      <c r="M2" s="257"/>
      <c r="N2" s="257"/>
    </row>
    <row r="3" spans="1:14" s="343" customFormat="1" ht="16.7" customHeight="1" x14ac:dyDescent="0.2">
      <c r="A3" s="2215" t="s">
        <v>297</v>
      </c>
      <c r="B3" s="2216"/>
      <c r="C3" s="1518"/>
      <c r="D3" s="1518"/>
      <c r="E3" s="1518"/>
      <c r="F3" s="1518"/>
      <c r="G3" s="1518"/>
      <c r="H3" s="1518"/>
      <c r="I3" s="1518"/>
      <c r="J3" s="1518"/>
      <c r="K3" s="1519"/>
      <c r="L3" s="1520"/>
      <c r="M3" s="585"/>
      <c r="N3" s="585"/>
    </row>
    <row r="4" spans="1:14" s="259" customFormat="1" ht="15.75" customHeight="1" x14ac:dyDescent="0.2">
      <c r="A4" s="1576" t="s">
        <v>44</v>
      </c>
      <c r="B4" s="1577" t="s">
        <v>570</v>
      </c>
      <c r="C4" s="586"/>
      <c r="D4" s="586"/>
      <c r="E4" s="586"/>
      <c r="F4" s="586"/>
      <c r="G4" s="586"/>
      <c r="H4" s="586"/>
      <c r="I4" s="587"/>
      <c r="J4" s="586"/>
      <c r="K4" s="588"/>
      <c r="L4" s="586"/>
      <c r="M4" s="589"/>
      <c r="N4" s="589"/>
    </row>
    <row r="5" spans="1:14" x14ac:dyDescent="0.2">
      <c r="A5" s="1474" t="s">
        <v>961</v>
      </c>
      <c r="B5" s="590">
        <v>1100</v>
      </c>
      <c r="C5" s="466">
        <f ca="1">ROUND(SUMIF(INDIRECT(Formulas!$B$1),"10-"&amp;LEFT($B5,3)&amp;"*-"&amp;MID(C$1,2,1)&amp;"*",INDIRECT(Formulas!$B$3)),0)</f>
        <v>5466263</v>
      </c>
      <c r="D5" s="466">
        <f ca="1">ROUND(SUMIF(INDIRECT(Formulas!$B$1),"10-"&amp;LEFT($B5,3)&amp;"*-"&amp;MID(D$1,2,1)&amp;"*",INDIRECT(Formulas!$B$3)),0)</f>
        <v>1516960</v>
      </c>
      <c r="E5" s="466">
        <f ca="1">ROUND(SUMIF(INDIRECT(Formulas!$B$1),"10-"&amp;LEFT($B5,3)&amp;"*-"&amp;MID(E$1,2,1)&amp;"*",INDIRECT(Formulas!$B$3)),0)</f>
        <v>0</v>
      </c>
      <c r="F5" s="466">
        <f ca="1">ROUND(SUMIF(INDIRECT(Formulas!$B$1),"10-"&amp;LEFT($B5,3)&amp;"*-"&amp;MID(F$1,2,1)&amp;"*",INDIRECT(Formulas!$B$3)),0)</f>
        <v>80258</v>
      </c>
      <c r="G5" s="466">
        <f ca="1">ROUND(SUMIF(INDIRECT(Formulas!$B$1),"10-"&amp;LEFT($B5,3)&amp;"*-"&amp;MID(G$1,2,1)&amp;"*",INDIRECT(Formulas!$B$3)),0)</f>
        <v>10790</v>
      </c>
      <c r="H5" s="466">
        <f ca="1">ROUND(SUMIF(INDIRECT(Formulas!$B$1),"10-"&amp;LEFT($B5,3)&amp;"*-"&amp;MID(H$1,2,1)&amp;"*",INDIRECT(Formulas!$B$3)),0)</f>
        <v>0</v>
      </c>
      <c r="I5" s="466">
        <f ca="1">ROUND(SUMIF(INDIRECT(Formulas!$B$1),"10-"&amp;LEFT($B5,3)&amp;"*-"&amp;MID(I$1,2,1)&amp;"*",INDIRECT(Formulas!$B$3)),0)</f>
        <v>0</v>
      </c>
      <c r="J5" s="466">
        <f ca="1">ROUND(SUMIF(INDIRECT(Formulas!$B$1),"10-"&amp;LEFT($B5,3)&amp;"*-"&amp;MID(J$1,2,1)&amp;"*",INDIRECT(Formulas!$B$3)),0)</f>
        <v>0</v>
      </c>
      <c r="K5" s="1641">
        <f ca="1">SUM(C5:J5)</f>
        <v>7074271</v>
      </c>
      <c r="L5" s="466">
        <f ca="1">ROUND(SUMIF(INDIRECT(Formulas!$B$1),"10-"&amp;LEFT($B5,3)&amp;"*",INDIRECT(Formulas!$B$7)),0)</f>
        <v>7149729</v>
      </c>
    </row>
    <row r="6" spans="1:14" x14ac:dyDescent="0.2">
      <c r="A6" s="1474" t="s">
        <v>1433</v>
      </c>
      <c r="B6" s="590" t="s">
        <v>1431</v>
      </c>
      <c r="C6" s="474"/>
      <c r="D6" s="474"/>
      <c r="E6" s="466">
        <f ca="1">ROUND(SUMIF(INDIRECT(Formulas!$B$1),"10-"&amp;LEFT($B6,3)&amp;"*-"&amp;MID(E$1,2,1)&amp;"*",INDIRECT(Formulas!$B$3)),0)</f>
        <v>0</v>
      </c>
      <c r="F6" s="474"/>
      <c r="G6" s="474"/>
      <c r="H6" s="474"/>
      <c r="I6" s="474"/>
      <c r="J6" s="474"/>
      <c r="K6" s="1641">
        <f ca="1">SUM(C6,E6)</f>
        <v>0</v>
      </c>
      <c r="L6" s="466">
        <f ca="1">ROUND(SUMIF(INDIRECT(Formulas!$B$1),"10-"&amp;LEFT($B6,3)&amp;"*",INDIRECT(Formulas!$B$7)),0)</f>
        <v>0</v>
      </c>
    </row>
    <row r="7" spans="1:14" x14ac:dyDescent="0.2">
      <c r="A7" s="1474" t="s">
        <v>163</v>
      </c>
      <c r="B7" s="590" t="s">
        <v>967</v>
      </c>
      <c r="C7" s="466">
        <f ca="1">ROUND(SUMIF(INDIRECT(Formulas!$B$1),"10-"&amp;LEFT($B7,3)&amp;"*-"&amp;MID(C$1,2,1)&amp;"*",INDIRECT(Formulas!$B$3)),0)</f>
        <v>0</v>
      </c>
      <c r="D7" s="466">
        <f ca="1">ROUND(SUMIF(INDIRECT(Formulas!$B$1),"10-"&amp;LEFT($B7,3)&amp;"*-"&amp;MID(D$1,2,1)&amp;"*",INDIRECT(Formulas!$B$3)),0)</f>
        <v>0</v>
      </c>
      <c r="E7" s="466">
        <f ca="1">ROUND(SUMIF(INDIRECT(Formulas!$B$1),"10-"&amp;LEFT($B7,3)&amp;"*-"&amp;MID(E$1,2,1)&amp;"*",INDIRECT(Formulas!$B$3)),0)</f>
        <v>0</v>
      </c>
      <c r="F7" s="466">
        <f ca="1">ROUND(SUMIF(INDIRECT(Formulas!$B$1),"10-"&amp;LEFT($B7,3)&amp;"*-"&amp;MID(F$1,2,1)&amp;"*",INDIRECT(Formulas!$B$3)),0)</f>
        <v>0</v>
      </c>
      <c r="G7" s="466">
        <f ca="1">ROUND(SUMIF(INDIRECT(Formulas!$B$1),"10-"&amp;LEFT($B7,3)&amp;"*-"&amp;MID(G$1,2,1)&amp;"*",INDIRECT(Formulas!$B$3)),0)</f>
        <v>0</v>
      </c>
      <c r="H7" s="466">
        <f ca="1">ROUND(SUMIF(INDIRECT(Formulas!$B$1),"10-"&amp;LEFT($B7,3)&amp;"*-"&amp;MID(H$1,2,1)&amp;"*",INDIRECT(Formulas!$B$3)),0)</f>
        <v>0</v>
      </c>
      <c r="I7" s="466">
        <f ca="1">ROUND(SUMIF(INDIRECT(Formulas!$B$1),"10-"&amp;LEFT($B7,3)&amp;"*-"&amp;MID(I$1,2,1)&amp;"*",INDIRECT(Formulas!$B$3)),0)</f>
        <v>0</v>
      </c>
      <c r="J7" s="466">
        <f ca="1">ROUND(SUMIF(INDIRECT(Formulas!$B$1),"10-"&amp;LEFT($B7,3)&amp;"*-"&amp;MID(J$1,2,1)&amp;"*",INDIRECT(Formulas!$B$3)),0)</f>
        <v>0</v>
      </c>
      <c r="K7" s="1641">
        <f t="shared" ref="K7:K32" ca="1" si="0">SUM(C7:J7)</f>
        <v>0</v>
      </c>
      <c r="L7" s="466">
        <f ca="1">ROUND(SUMIF(INDIRECT(Formulas!$B$1),"10-"&amp;LEFT($B7,3)&amp;"*",INDIRECT(Formulas!$B$7)),0)</f>
        <v>0</v>
      </c>
    </row>
    <row r="8" spans="1:14" x14ac:dyDescent="0.2">
      <c r="A8" s="1474" t="s">
        <v>164</v>
      </c>
      <c r="B8" s="590">
        <v>1200</v>
      </c>
      <c r="C8" s="466">
        <f ca="1">ROUND(SUMIF(INDIRECT(Formulas!$B$1),"10-"&amp;LEFT($B8,3)&amp;"*-"&amp;MID(C$1,2,1)&amp;"*",INDIRECT(Formulas!$B$3)),0)</f>
        <v>1609964</v>
      </c>
      <c r="D8" s="466">
        <f ca="1">ROUND(SUMIF(INDIRECT(Formulas!$B$1),"10-"&amp;LEFT($B8,3)&amp;"*-"&amp;MID(D$1,2,1)&amp;"*",INDIRECT(Formulas!$B$3)),0)</f>
        <v>487280</v>
      </c>
      <c r="E8" s="466">
        <f ca="1">ROUND(SUMIF(INDIRECT(Formulas!$B$1),"10-"&amp;LEFT($B8,3)&amp;"*-"&amp;MID(E$1,2,1)&amp;"*",INDIRECT(Formulas!$B$3)),0)</f>
        <v>3854</v>
      </c>
      <c r="F8" s="466">
        <f ca="1">ROUND(SUMIF(INDIRECT(Formulas!$B$1),"10-"&amp;LEFT($B8,3)&amp;"*-"&amp;MID(F$1,2,1)&amp;"*",INDIRECT(Formulas!$B$3)),0)</f>
        <v>9247</v>
      </c>
      <c r="G8" s="466">
        <f ca="1">ROUND(SUMIF(INDIRECT(Formulas!$B$1),"10-"&amp;LEFT($B8,3)&amp;"*-"&amp;MID(G$1,2,1)&amp;"*",INDIRECT(Formulas!$B$3)),0)</f>
        <v>0</v>
      </c>
      <c r="H8" s="466">
        <f ca="1">ROUND(SUMIF(INDIRECT(Formulas!$B$1),"10-"&amp;LEFT($B8,3)&amp;"*-"&amp;MID(H$1,2,1)&amp;"*",INDIRECT(Formulas!$B$3)),0)</f>
        <v>236129</v>
      </c>
      <c r="I8" s="466">
        <f ca="1">ROUND(SUMIF(INDIRECT(Formulas!$B$1),"10-"&amp;LEFT($B8,3)&amp;"*-"&amp;MID(I$1,2,1)&amp;"*",INDIRECT(Formulas!$B$3)),0)</f>
        <v>0</v>
      </c>
      <c r="J8" s="466">
        <f ca="1">ROUND(SUMIF(INDIRECT(Formulas!$B$1),"10-"&amp;LEFT($B8,3)&amp;"*-"&amp;MID(J$1,2,1)&amp;"*",INDIRECT(Formulas!$B$3)),0)</f>
        <v>0</v>
      </c>
      <c r="K8" s="1641">
        <f t="shared" ca="1" si="0"/>
        <v>2346474</v>
      </c>
      <c r="L8" s="466">
        <f ca="1">ROUND(SUMIF(INDIRECT(Formulas!$B$1),"10-"&amp;LEFT($B8,3)&amp;"*",INDIRECT(Formulas!$B$7)),0)</f>
        <v>2330639</v>
      </c>
    </row>
    <row r="9" spans="1:14" x14ac:dyDescent="0.2">
      <c r="A9" s="1474" t="s">
        <v>721</v>
      </c>
      <c r="B9" s="590" t="s">
        <v>968</v>
      </c>
      <c r="C9" s="466">
        <f ca="1">ROUND(SUMIF(INDIRECT(Formulas!$B$1),"10-"&amp;LEFT($B9,3)&amp;"*-"&amp;MID(C$1,2,1)&amp;"*",INDIRECT(Formulas!$B$3)),0)</f>
        <v>440496</v>
      </c>
      <c r="D9" s="466">
        <f ca="1">ROUND(SUMIF(INDIRECT(Formulas!$B$1),"10-"&amp;LEFT($B9,3)&amp;"*-"&amp;MID(D$1,2,1)&amp;"*",INDIRECT(Formulas!$B$3)),0)</f>
        <v>142452</v>
      </c>
      <c r="E9" s="466">
        <f ca="1">ROUND(SUMIF(INDIRECT(Formulas!$B$1),"10-"&amp;LEFT($B9,3)&amp;"*-"&amp;MID(E$1,2,1)&amp;"*",INDIRECT(Formulas!$B$3)),0)</f>
        <v>0</v>
      </c>
      <c r="F9" s="466">
        <f ca="1">ROUND(SUMIF(INDIRECT(Formulas!$B$1),"10-"&amp;LEFT($B9,3)&amp;"*-"&amp;MID(F$1,2,1)&amp;"*",INDIRECT(Formulas!$B$3)),0)</f>
        <v>4829</v>
      </c>
      <c r="G9" s="466">
        <f ca="1">ROUND(SUMIF(INDIRECT(Formulas!$B$1),"10-"&amp;LEFT($B9,3)&amp;"*-"&amp;MID(G$1,2,1)&amp;"*",INDIRECT(Formulas!$B$3)),0)</f>
        <v>0</v>
      </c>
      <c r="H9" s="466">
        <f ca="1">ROUND(SUMIF(INDIRECT(Formulas!$B$1),"10-"&amp;LEFT($B9,3)&amp;"*-"&amp;MID(H$1,2,1)&amp;"*",INDIRECT(Formulas!$B$3)),0)</f>
        <v>0</v>
      </c>
      <c r="I9" s="466">
        <f ca="1">ROUND(SUMIF(INDIRECT(Formulas!$B$1),"10-"&amp;LEFT($B9,3)&amp;"*-"&amp;MID(I$1,2,1)&amp;"*",INDIRECT(Formulas!$B$3)),0)</f>
        <v>0</v>
      </c>
      <c r="J9" s="466">
        <f ca="1">ROUND(SUMIF(INDIRECT(Formulas!$B$1),"10-"&amp;LEFT($B9,3)&amp;"*-"&amp;MID(J$1,2,1)&amp;"*",INDIRECT(Formulas!$B$3)),0)</f>
        <v>0</v>
      </c>
      <c r="K9" s="1641">
        <f t="shared" ca="1" si="0"/>
        <v>587777</v>
      </c>
      <c r="L9" s="466">
        <f ca="1">ROUND(SUMIF(INDIRECT(Formulas!$B$1),"10-"&amp;LEFT($B9,3)&amp;"*",INDIRECT(Formulas!$B$7)),0)</f>
        <v>620526</v>
      </c>
    </row>
    <row r="10" spans="1:14" x14ac:dyDescent="0.2">
      <c r="A10" s="1474" t="s">
        <v>722</v>
      </c>
      <c r="B10" s="590">
        <v>1250</v>
      </c>
      <c r="C10" s="466">
        <f ca="1">ROUND(SUMIF(INDIRECT(Formulas!$B$1),"10-"&amp;LEFT($B10,3)&amp;"*-"&amp;MID(C$1,2,1)&amp;"*",INDIRECT(Formulas!$B$3)),0)</f>
        <v>459567</v>
      </c>
      <c r="D10" s="466">
        <f ca="1">ROUND(SUMIF(INDIRECT(Formulas!$B$1),"10-"&amp;LEFT($B10,3)&amp;"*-"&amp;MID(D$1,2,1)&amp;"*",INDIRECT(Formulas!$B$3)),0)</f>
        <v>177310</v>
      </c>
      <c r="E10" s="466">
        <f ca="1">ROUND(SUMIF(INDIRECT(Formulas!$B$1),"10-"&amp;LEFT($B10,3)&amp;"*-"&amp;MID(E$1,2,1)&amp;"*",INDIRECT(Formulas!$B$3)),0)</f>
        <v>36284</v>
      </c>
      <c r="F10" s="466">
        <f ca="1">ROUND(SUMIF(INDIRECT(Formulas!$B$1),"10-"&amp;LEFT($B10,3)&amp;"*-"&amp;MID(F$1,2,1)&amp;"*",INDIRECT(Formulas!$B$3)),0)</f>
        <v>68669</v>
      </c>
      <c r="G10" s="466">
        <f ca="1">ROUND(SUMIF(INDIRECT(Formulas!$B$1),"10-"&amp;LEFT($B10,3)&amp;"*-"&amp;MID(G$1,2,1)&amp;"*",INDIRECT(Formulas!$B$3)),0)</f>
        <v>4863</v>
      </c>
      <c r="H10" s="466">
        <f ca="1">ROUND(SUMIF(INDIRECT(Formulas!$B$1),"10-"&amp;LEFT($B10,3)&amp;"*-"&amp;MID(H$1,2,1)&amp;"*",INDIRECT(Formulas!$B$3)),0)</f>
        <v>0</v>
      </c>
      <c r="I10" s="466">
        <f ca="1">ROUND(SUMIF(INDIRECT(Formulas!$B$1),"10-"&amp;LEFT($B10,3)&amp;"*-"&amp;MID(I$1,2,1)&amp;"*",INDIRECT(Formulas!$B$3)),0)</f>
        <v>0</v>
      </c>
      <c r="J10" s="466">
        <f ca="1">ROUND(SUMIF(INDIRECT(Formulas!$B$1),"10-"&amp;LEFT($B10,3)&amp;"*-"&amp;MID(J$1,2,1)&amp;"*",INDIRECT(Formulas!$B$3)),0)</f>
        <v>0</v>
      </c>
      <c r="K10" s="1641">
        <f t="shared" ca="1" si="0"/>
        <v>746693</v>
      </c>
      <c r="L10" s="466">
        <f ca="1">ROUND(SUMIF(INDIRECT(Formulas!$B$1),"10-"&amp;LEFT($B10,3)&amp;"*",INDIRECT(Formulas!$B$7)),0)</f>
        <v>947802</v>
      </c>
    </row>
    <row r="11" spans="1:14" x14ac:dyDescent="0.2">
      <c r="A11" s="1474" t="s">
        <v>1130</v>
      </c>
      <c r="B11" s="590" t="s">
        <v>161</v>
      </c>
      <c r="C11" s="466">
        <f ca="1">ROUND(SUMIF(INDIRECT(Formulas!$B$1),"10-"&amp;LEFT($B11,3)&amp;"*-"&amp;MID(C$1,2,1)&amp;"*",INDIRECT(Formulas!$B$3)),0)</f>
        <v>484355</v>
      </c>
      <c r="D11" s="466">
        <f ca="1">ROUND(SUMIF(INDIRECT(Formulas!$B$1),"10-"&amp;LEFT($B11,3)&amp;"*-"&amp;MID(D$1,2,1)&amp;"*",INDIRECT(Formulas!$B$3)),0)</f>
        <v>104519</v>
      </c>
      <c r="E11" s="466">
        <f ca="1">ROUND(SUMIF(INDIRECT(Formulas!$B$1),"10-"&amp;LEFT($B11,3)&amp;"*-"&amp;MID(E$1,2,1)&amp;"*",INDIRECT(Formulas!$B$3)),0)</f>
        <v>15949</v>
      </c>
      <c r="F11" s="466">
        <f ca="1">ROUND(SUMIF(INDIRECT(Formulas!$B$1),"10-"&amp;LEFT($B11,3)&amp;"*-"&amp;MID(F$1,2,1)&amp;"*",INDIRECT(Formulas!$B$3)),0)</f>
        <v>57333</v>
      </c>
      <c r="G11" s="466">
        <f ca="1">ROUND(SUMIF(INDIRECT(Formulas!$B$1),"10-"&amp;LEFT($B11,3)&amp;"*-"&amp;MID(G$1,2,1)&amp;"*",INDIRECT(Formulas!$B$3)),0)</f>
        <v>4710</v>
      </c>
      <c r="H11" s="466">
        <f ca="1">ROUND(SUMIF(INDIRECT(Formulas!$B$1),"10-"&amp;LEFT($B11,3)&amp;"*-"&amp;MID(H$1,2,1)&amp;"*",INDIRECT(Formulas!$B$3)),0)</f>
        <v>0</v>
      </c>
      <c r="I11" s="466">
        <f ca="1">ROUND(SUMIF(INDIRECT(Formulas!$B$1),"10-"&amp;LEFT($B11,3)&amp;"*-"&amp;MID(I$1,2,1)&amp;"*",INDIRECT(Formulas!$B$3)),0)</f>
        <v>0</v>
      </c>
      <c r="J11" s="466">
        <f ca="1">ROUND(SUMIF(INDIRECT(Formulas!$B$1),"10-"&amp;LEFT($B11,3)&amp;"*-"&amp;MID(J$1,2,1)&amp;"*",INDIRECT(Formulas!$B$3)),0)</f>
        <v>0</v>
      </c>
      <c r="K11" s="1641">
        <f t="shared" ca="1" si="0"/>
        <v>666866</v>
      </c>
      <c r="L11" s="466">
        <f ca="1">ROUND(SUMIF(INDIRECT(Formulas!$B$1),"10-"&amp;LEFT($B11,3)&amp;"*",INDIRECT(Formulas!$B$7)),0)</f>
        <v>733016</v>
      </c>
    </row>
    <row r="12" spans="1:14" x14ac:dyDescent="0.2">
      <c r="A12" s="1474" t="s">
        <v>962</v>
      </c>
      <c r="B12" s="590">
        <v>1300</v>
      </c>
      <c r="C12" s="466">
        <f ca="1">ROUND(SUMIF(INDIRECT(Formulas!$B$1),"10-"&amp;LEFT($B12,3)&amp;"*-"&amp;MID(C$1,2,1)&amp;"*",INDIRECT(Formulas!$B$3)),0)</f>
        <v>0</v>
      </c>
      <c r="D12" s="466">
        <f ca="1">ROUND(SUMIF(INDIRECT(Formulas!$B$1),"10-"&amp;LEFT($B12,3)&amp;"*-"&amp;MID(D$1,2,1)&amp;"*",INDIRECT(Formulas!$B$3)),0)</f>
        <v>0</v>
      </c>
      <c r="E12" s="466">
        <f ca="1">ROUND(SUMIF(INDIRECT(Formulas!$B$1),"10-"&amp;LEFT($B12,3)&amp;"*-"&amp;MID(E$1,2,1)&amp;"*",INDIRECT(Formulas!$B$3)),0)</f>
        <v>0</v>
      </c>
      <c r="F12" s="466">
        <f ca="1">ROUND(SUMIF(INDIRECT(Formulas!$B$1),"10-"&amp;LEFT($B12,3)&amp;"*-"&amp;MID(F$1,2,1)&amp;"*",INDIRECT(Formulas!$B$3)),0)</f>
        <v>0</v>
      </c>
      <c r="G12" s="466">
        <f ca="1">ROUND(SUMIF(INDIRECT(Formulas!$B$1),"10-"&amp;LEFT($B12,3)&amp;"*-"&amp;MID(G$1,2,1)&amp;"*",INDIRECT(Formulas!$B$3)),0)</f>
        <v>0</v>
      </c>
      <c r="H12" s="466">
        <f ca="1">ROUND(SUMIF(INDIRECT(Formulas!$B$1),"10-"&amp;LEFT($B12,3)&amp;"*-"&amp;MID(H$1,2,1)&amp;"*",INDIRECT(Formulas!$B$3)),0)</f>
        <v>0</v>
      </c>
      <c r="I12" s="466">
        <f ca="1">ROUND(SUMIF(INDIRECT(Formulas!$B$1),"10-"&amp;LEFT($B12,3)&amp;"*-"&amp;MID(I$1,2,1)&amp;"*",INDIRECT(Formulas!$B$3)),0)</f>
        <v>0</v>
      </c>
      <c r="J12" s="466">
        <f ca="1">ROUND(SUMIF(INDIRECT(Formulas!$B$1),"10-"&amp;LEFT($B12,3)&amp;"*-"&amp;MID(J$1,2,1)&amp;"*",INDIRECT(Formulas!$B$3)),0)</f>
        <v>0</v>
      </c>
      <c r="K12" s="1641">
        <f t="shared" ca="1" si="0"/>
        <v>0</v>
      </c>
      <c r="L12" s="466">
        <f ca="1">ROUND(SUMIF(INDIRECT(Formulas!$B$1),"10-"&amp;LEFT($B12,3)&amp;"*",INDIRECT(Formulas!$B$7)),0)</f>
        <v>0</v>
      </c>
    </row>
    <row r="13" spans="1:14" x14ac:dyDescent="0.2">
      <c r="A13" s="1474" t="s">
        <v>723</v>
      </c>
      <c r="B13" s="590">
        <v>1400</v>
      </c>
      <c r="C13" s="466">
        <f ca="1">ROUND(SUMIF(INDIRECT(Formulas!$B$1),"10-"&amp;LEFT($B13,3)&amp;"*-"&amp;MID(C$1,2,1)&amp;"*",INDIRECT(Formulas!$B$3)),0)</f>
        <v>0</v>
      </c>
      <c r="D13" s="466">
        <f ca="1">ROUND(SUMIF(INDIRECT(Formulas!$B$1),"10-"&amp;LEFT($B13,3)&amp;"*-"&amp;MID(D$1,2,1)&amp;"*",INDIRECT(Formulas!$B$3)),0)</f>
        <v>0</v>
      </c>
      <c r="E13" s="466">
        <f ca="1">ROUND(SUMIF(INDIRECT(Formulas!$B$1),"10-"&amp;LEFT($B13,3)&amp;"*-"&amp;MID(E$1,2,1)&amp;"*",INDIRECT(Formulas!$B$3)),0)</f>
        <v>0</v>
      </c>
      <c r="F13" s="466">
        <f ca="1">ROUND(SUMIF(INDIRECT(Formulas!$B$1),"10-"&amp;LEFT($B13,3)&amp;"*-"&amp;MID(F$1,2,1)&amp;"*",INDIRECT(Formulas!$B$3)),0)</f>
        <v>0</v>
      </c>
      <c r="G13" s="466">
        <f ca="1">ROUND(SUMIF(INDIRECT(Formulas!$B$1),"10-"&amp;LEFT($B13,3)&amp;"*-"&amp;MID(G$1,2,1)&amp;"*",INDIRECT(Formulas!$B$3)),0)</f>
        <v>0</v>
      </c>
      <c r="H13" s="466">
        <f ca="1">ROUND(SUMIF(INDIRECT(Formulas!$B$1),"10-"&amp;LEFT($B13,3)&amp;"*-"&amp;MID(H$1,2,1)&amp;"*",INDIRECT(Formulas!$B$3)),0)</f>
        <v>0</v>
      </c>
      <c r="I13" s="466">
        <f ca="1">ROUND(SUMIF(INDIRECT(Formulas!$B$1),"10-"&amp;LEFT($B13,3)&amp;"*-"&amp;MID(I$1,2,1)&amp;"*",INDIRECT(Formulas!$B$3)),0)</f>
        <v>0</v>
      </c>
      <c r="J13" s="466">
        <f ca="1">ROUND(SUMIF(INDIRECT(Formulas!$B$1),"10-"&amp;LEFT($B13,3)&amp;"*-"&amp;MID(J$1,2,1)&amp;"*",INDIRECT(Formulas!$B$3)),0)</f>
        <v>0</v>
      </c>
      <c r="K13" s="1641">
        <f t="shared" ca="1" si="0"/>
        <v>0</v>
      </c>
      <c r="L13" s="466">
        <f ca="1">ROUND(SUMIF(INDIRECT(Formulas!$B$1),"10-"&amp;LEFT($B13,3)&amp;"*",INDIRECT(Formulas!$B$7)),0)</f>
        <v>0</v>
      </c>
    </row>
    <row r="14" spans="1:14" x14ac:dyDescent="0.2">
      <c r="A14" s="1474" t="s">
        <v>963</v>
      </c>
      <c r="B14" s="590">
        <v>1500</v>
      </c>
      <c r="C14" s="466">
        <f ca="1">ROUND(SUMIF(INDIRECT(Formulas!$B$1),"10-"&amp;LEFT($B14,3)&amp;"*-"&amp;MID(C$1,2,1)&amp;"*",INDIRECT(Formulas!$B$3)),0)</f>
        <v>122702</v>
      </c>
      <c r="D14" s="466">
        <f ca="1">ROUND(SUMIF(INDIRECT(Formulas!$B$1),"10-"&amp;LEFT($B14,3)&amp;"*-"&amp;MID(D$1,2,1)&amp;"*",INDIRECT(Formulas!$B$3)),0)</f>
        <v>25182</v>
      </c>
      <c r="E14" s="466">
        <f ca="1">ROUND(SUMIF(INDIRECT(Formulas!$B$1),"10-"&amp;LEFT($B14,3)&amp;"*-"&amp;MID(E$1,2,1)&amp;"*",INDIRECT(Formulas!$B$3)),0)</f>
        <v>10754</v>
      </c>
      <c r="F14" s="466">
        <f ca="1">ROUND(SUMIF(INDIRECT(Formulas!$B$1),"10-"&amp;LEFT($B14,3)&amp;"*-"&amp;MID(F$1,2,1)&amp;"*",INDIRECT(Formulas!$B$3)),0)</f>
        <v>19565</v>
      </c>
      <c r="G14" s="466">
        <f ca="1">ROUND(SUMIF(INDIRECT(Formulas!$B$1),"10-"&amp;LEFT($B14,3)&amp;"*-"&amp;MID(G$1,2,1)&amp;"*",INDIRECT(Formulas!$B$3)),0)</f>
        <v>2600</v>
      </c>
      <c r="H14" s="466">
        <f ca="1">ROUND(SUMIF(INDIRECT(Formulas!$B$1),"10-"&amp;LEFT($B14,3)&amp;"*-"&amp;MID(H$1,2,1)&amp;"*",INDIRECT(Formulas!$B$3)),0)</f>
        <v>3011</v>
      </c>
      <c r="I14" s="466">
        <f ca="1">ROUND(SUMIF(INDIRECT(Formulas!$B$1),"10-"&amp;LEFT($B14,3)&amp;"*-"&amp;MID(I$1,2,1)&amp;"*",INDIRECT(Formulas!$B$3)),0)</f>
        <v>0</v>
      </c>
      <c r="J14" s="466">
        <f ca="1">ROUND(SUMIF(INDIRECT(Formulas!$B$1),"10-"&amp;LEFT($B14,3)&amp;"*-"&amp;MID(J$1,2,1)&amp;"*",INDIRECT(Formulas!$B$3)),0)</f>
        <v>0</v>
      </c>
      <c r="K14" s="1641">
        <f t="shared" ca="1" si="0"/>
        <v>183814</v>
      </c>
      <c r="L14" s="466">
        <f ca="1">ROUND(SUMIF(INDIRECT(Formulas!$B$1),"10-"&amp;LEFT($B14,3)&amp;"*",INDIRECT(Formulas!$B$7)),0)</f>
        <v>210162</v>
      </c>
    </row>
    <row r="15" spans="1:14" x14ac:dyDescent="0.2">
      <c r="A15" s="1474" t="s">
        <v>964</v>
      </c>
      <c r="B15" s="590">
        <v>1600</v>
      </c>
      <c r="C15" s="466">
        <f ca="1">ROUND(SUMIF(INDIRECT(Formulas!$B$1),"10-"&amp;LEFT($B15,3)&amp;"*-"&amp;MID(C$1,2,1)&amp;"*",INDIRECT(Formulas!$B$3)),0)</f>
        <v>0</v>
      </c>
      <c r="D15" s="466">
        <f ca="1">ROUND(SUMIF(INDIRECT(Formulas!$B$1),"10-"&amp;LEFT($B15,3)&amp;"*-"&amp;MID(D$1,2,1)&amp;"*",INDIRECT(Formulas!$B$3)),0)</f>
        <v>0</v>
      </c>
      <c r="E15" s="466">
        <f ca="1">ROUND(SUMIF(INDIRECT(Formulas!$B$1),"10-"&amp;LEFT($B15,3)&amp;"*-"&amp;MID(E$1,2,1)&amp;"*",INDIRECT(Formulas!$B$3)),0)</f>
        <v>0</v>
      </c>
      <c r="F15" s="466">
        <f ca="1">ROUND(SUMIF(INDIRECT(Formulas!$B$1),"10-"&amp;LEFT($B15,3)&amp;"*-"&amp;MID(F$1,2,1)&amp;"*",INDIRECT(Formulas!$B$3)),0)</f>
        <v>0</v>
      </c>
      <c r="G15" s="466">
        <f ca="1">ROUND(SUMIF(INDIRECT(Formulas!$B$1),"10-"&amp;LEFT($B15,3)&amp;"*-"&amp;MID(G$1,2,1)&amp;"*",INDIRECT(Formulas!$B$3)),0)</f>
        <v>0</v>
      </c>
      <c r="H15" s="466">
        <f ca="1">ROUND(SUMIF(INDIRECT(Formulas!$B$1),"10-"&amp;LEFT($B15,3)&amp;"*-"&amp;MID(H$1,2,1)&amp;"*",INDIRECT(Formulas!$B$3)),0)</f>
        <v>0</v>
      </c>
      <c r="I15" s="466">
        <f ca="1">ROUND(SUMIF(INDIRECT(Formulas!$B$1),"10-"&amp;LEFT($B15,3)&amp;"*-"&amp;MID(I$1,2,1)&amp;"*",INDIRECT(Formulas!$B$3)),0)</f>
        <v>0</v>
      </c>
      <c r="J15" s="466">
        <f ca="1">ROUND(SUMIF(INDIRECT(Formulas!$B$1),"10-"&amp;LEFT($B15,3)&amp;"*-"&amp;MID(J$1,2,1)&amp;"*",INDIRECT(Formulas!$B$3)),0)</f>
        <v>0</v>
      </c>
      <c r="K15" s="1641">
        <f t="shared" ca="1" si="0"/>
        <v>0</v>
      </c>
      <c r="L15" s="466">
        <f ca="1">ROUND(SUMIF(INDIRECT(Formulas!$B$1),"10-"&amp;LEFT($B15,3)&amp;"*",INDIRECT(Formulas!$B$7)),0)</f>
        <v>0</v>
      </c>
    </row>
    <row r="16" spans="1:14" x14ac:dyDescent="0.2">
      <c r="A16" s="1474" t="s">
        <v>987</v>
      </c>
      <c r="B16" s="590" t="s">
        <v>424</v>
      </c>
      <c r="C16" s="466">
        <f ca="1">ROUND(SUMIF(INDIRECT(Formulas!$B$1),"10-"&amp;LEFT($B16,3)&amp;"*-"&amp;MID(C$1,2,1)&amp;"*",INDIRECT(Formulas!$B$3)),0)</f>
        <v>0</v>
      </c>
      <c r="D16" s="466">
        <f ca="1">ROUND(SUMIF(INDIRECT(Formulas!$B$1),"10-"&amp;LEFT($B16,3)&amp;"*-"&amp;MID(D$1,2,1)&amp;"*",INDIRECT(Formulas!$B$3)),0)</f>
        <v>0</v>
      </c>
      <c r="E16" s="466">
        <f ca="1">ROUND(SUMIF(INDIRECT(Formulas!$B$1),"10-"&amp;LEFT($B16,3)&amp;"*-"&amp;MID(E$1,2,1)&amp;"*",INDIRECT(Formulas!$B$3)),0)</f>
        <v>0</v>
      </c>
      <c r="F16" s="466">
        <f ca="1">ROUND(SUMIF(INDIRECT(Formulas!$B$1),"10-"&amp;LEFT($B16,3)&amp;"*-"&amp;MID(F$1,2,1)&amp;"*",INDIRECT(Formulas!$B$3)),0)</f>
        <v>0</v>
      </c>
      <c r="G16" s="466">
        <f ca="1">ROUND(SUMIF(INDIRECT(Formulas!$B$1),"10-"&amp;LEFT($B16,3)&amp;"*-"&amp;MID(G$1,2,1)&amp;"*",INDIRECT(Formulas!$B$3)),0)</f>
        <v>0</v>
      </c>
      <c r="H16" s="466">
        <f ca="1">ROUND(SUMIF(INDIRECT(Formulas!$B$1),"10-"&amp;LEFT($B16,3)&amp;"*-"&amp;MID(H$1,2,1)&amp;"*",INDIRECT(Formulas!$B$3)),0)</f>
        <v>0</v>
      </c>
      <c r="I16" s="466">
        <f ca="1">ROUND(SUMIF(INDIRECT(Formulas!$B$1),"10-"&amp;LEFT($B16,3)&amp;"*-"&amp;MID(I$1,2,1)&amp;"*",INDIRECT(Formulas!$B$3)),0)</f>
        <v>0</v>
      </c>
      <c r="J16" s="466">
        <f ca="1">ROUND(SUMIF(INDIRECT(Formulas!$B$1),"10-"&amp;LEFT($B16,3)&amp;"*-"&amp;MID(J$1,2,1)&amp;"*",INDIRECT(Formulas!$B$3)),0)</f>
        <v>0</v>
      </c>
      <c r="K16" s="1641">
        <f t="shared" ca="1" si="0"/>
        <v>0</v>
      </c>
      <c r="L16" s="466">
        <f ca="1">ROUND(SUMIF(INDIRECT(Formulas!$B$1),"10-"&amp;LEFT($B16,3)&amp;"*",INDIRECT(Formulas!$B$7)),0)</f>
        <v>0</v>
      </c>
    </row>
    <row r="17" spans="1:12" x14ac:dyDescent="0.2">
      <c r="A17" s="1474" t="s">
        <v>724</v>
      </c>
      <c r="B17" s="590" t="s">
        <v>162</v>
      </c>
      <c r="C17" s="466">
        <f ca="1">ROUND(SUMIF(INDIRECT(Formulas!$B$1),"10-"&amp;LEFT($B17,3)&amp;"*-"&amp;MID(C$1,2,1)&amp;"*",INDIRECT(Formulas!$B$3)),0)</f>
        <v>0</v>
      </c>
      <c r="D17" s="466">
        <f ca="1">ROUND(SUMIF(INDIRECT(Formulas!$B$1),"10-"&amp;LEFT($B17,3)&amp;"*-"&amp;MID(D$1,2,1)&amp;"*",INDIRECT(Formulas!$B$3)),0)</f>
        <v>0</v>
      </c>
      <c r="E17" s="466">
        <f ca="1">ROUND(SUMIF(INDIRECT(Formulas!$B$1),"10-"&amp;LEFT($B17,3)&amp;"*-"&amp;MID(E$1,2,1)&amp;"*",INDIRECT(Formulas!$B$3)),0)</f>
        <v>0</v>
      </c>
      <c r="F17" s="466">
        <f ca="1">ROUND(SUMIF(INDIRECT(Formulas!$B$1),"10-"&amp;LEFT($B17,3)&amp;"*-"&amp;MID(F$1,2,1)&amp;"*",INDIRECT(Formulas!$B$3)),0)</f>
        <v>0</v>
      </c>
      <c r="G17" s="466">
        <f ca="1">ROUND(SUMIF(INDIRECT(Formulas!$B$1),"10-"&amp;LEFT($B17,3)&amp;"*-"&amp;MID(G$1,2,1)&amp;"*",INDIRECT(Formulas!$B$3)),0)</f>
        <v>0</v>
      </c>
      <c r="H17" s="466">
        <f ca="1">ROUND(SUMIF(INDIRECT(Formulas!$B$1),"10-"&amp;LEFT($B17,3)&amp;"*-"&amp;MID(H$1,2,1)&amp;"*",INDIRECT(Formulas!$B$3)),0)</f>
        <v>0</v>
      </c>
      <c r="I17" s="466">
        <f ca="1">ROUND(SUMIF(INDIRECT(Formulas!$B$1),"10-"&amp;LEFT($B17,3)&amp;"*-"&amp;MID(I$1,2,1)&amp;"*",INDIRECT(Formulas!$B$3)),0)</f>
        <v>0</v>
      </c>
      <c r="J17" s="466">
        <f ca="1">ROUND(SUMIF(INDIRECT(Formulas!$B$1),"10-"&amp;LEFT($B17,3)&amp;"*-"&amp;MID(J$1,2,1)&amp;"*",INDIRECT(Formulas!$B$3)),0)</f>
        <v>0</v>
      </c>
      <c r="K17" s="1641">
        <f t="shared" ca="1" si="0"/>
        <v>0</v>
      </c>
      <c r="L17" s="466">
        <f ca="1">ROUND(SUMIF(INDIRECT(Formulas!$B$1),"10-"&amp;LEFT($B17,3)&amp;"*",INDIRECT(Formulas!$B$7)),0)</f>
        <v>0</v>
      </c>
    </row>
    <row r="18" spans="1:12" x14ac:dyDescent="0.2">
      <c r="A18" s="1474" t="s">
        <v>1087</v>
      </c>
      <c r="B18" s="590">
        <v>1800</v>
      </c>
      <c r="C18" s="466">
        <f ca="1">ROUND(SUMIF(INDIRECT(Formulas!$B$1),"10-"&amp;LEFT($B18,3)&amp;"*-"&amp;MID(C$1,2,1)&amp;"*",INDIRECT(Formulas!$B$3)),0)</f>
        <v>0</v>
      </c>
      <c r="D18" s="466">
        <f ca="1">ROUND(SUMIF(INDIRECT(Formulas!$B$1),"10-"&amp;LEFT($B18,3)&amp;"*-"&amp;MID(D$1,2,1)&amp;"*",INDIRECT(Formulas!$B$3)),0)</f>
        <v>0</v>
      </c>
      <c r="E18" s="466">
        <f ca="1">ROUND(SUMIF(INDIRECT(Formulas!$B$1),"10-"&amp;LEFT($B18,3)&amp;"*-"&amp;MID(E$1,2,1)&amp;"*",INDIRECT(Formulas!$B$3)),0)</f>
        <v>0</v>
      </c>
      <c r="F18" s="466">
        <f ca="1">ROUND(SUMIF(INDIRECT(Formulas!$B$1),"10-"&amp;LEFT($B18,3)&amp;"*-"&amp;MID(F$1,2,1)&amp;"*",INDIRECT(Formulas!$B$3)),0)</f>
        <v>0</v>
      </c>
      <c r="G18" s="466">
        <f ca="1">ROUND(SUMIF(INDIRECT(Formulas!$B$1),"10-"&amp;LEFT($B18,3)&amp;"*-"&amp;MID(G$1,2,1)&amp;"*",INDIRECT(Formulas!$B$3)),0)</f>
        <v>0</v>
      </c>
      <c r="H18" s="466">
        <f ca="1">ROUND(SUMIF(INDIRECT(Formulas!$B$1),"10-"&amp;LEFT($B18,3)&amp;"*-"&amp;MID(H$1,2,1)&amp;"*",INDIRECT(Formulas!$B$3)),0)</f>
        <v>0</v>
      </c>
      <c r="I18" s="466">
        <f ca="1">ROUND(SUMIF(INDIRECT(Formulas!$B$1),"10-"&amp;LEFT($B18,3)&amp;"*-"&amp;MID(I$1,2,1)&amp;"*",INDIRECT(Formulas!$B$3)),0)</f>
        <v>0</v>
      </c>
      <c r="J18" s="466">
        <f ca="1">ROUND(SUMIF(INDIRECT(Formulas!$B$1),"10-"&amp;LEFT($B18,3)&amp;"*-"&amp;MID(J$1,2,1)&amp;"*",INDIRECT(Formulas!$B$3)),0)</f>
        <v>0</v>
      </c>
      <c r="K18" s="1641">
        <f t="shared" ca="1" si="0"/>
        <v>0</v>
      </c>
      <c r="L18" s="466">
        <f ca="1">ROUND(SUMIF(INDIRECT(Formulas!$B$1),"10-"&amp;LEFT($B18,3)&amp;"*",INDIRECT(Formulas!$B$7)),0)</f>
        <v>0</v>
      </c>
    </row>
    <row r="19" spans="1:12" x14ac:dyDescent="0.2">
      <c r="A19" s="1474" t="s">
        <v>134</v>
      </c>
      <c r="B19" s="590">
        <v>1900</v>
      </c>
      <c r="C19" s="466">
        <f ca="1">ROUND(SUMIF(INDIRECT(Formulas!$B$1),"10-"&amp;LEFT($B19,3)&amp;"*-"&amp;MID(C$1,2,1)&amp;"*",INDIRECT(Formulas!$B$3)),0)</f>
        <v>0</v>
      </c>
      <c r="D19" s="466">
        <f ca="1">ROUND(SUMIF(INDIRECT(Formulas!$B$1),"10-"&amp;LEFT($B19,3)&amp;"*-"&amp;MID(D$1,2,1)&amp;"*",INDIRECT(Formulas!$B$3)),0)</f>
        <v>0</v>
      </c>
      <c r="E19" s="466">
        <f ca="1">ROUND(SUMIF(INDIRECT(Formulas!$B$1),"10-"&amp;LEFT($B19,3)&amp;"*-"&amp;MID(E$1,2,1)&amp;"*",INDIRECT(Formulas!$B$3)),0)</f>
        <v>0</v>
      </c>
      <c r="F19" s="466">
        <f ca="1">ROUND(SUMIF(INDIRECT(Formulas!$B$1),"10-"&amp;LEFT($B19,3)&amp;"*-"&amp;MID(F$1,2,1)&amp;"*",INDIRECT(Formulas!$B$3)),0)</f>
        <v>0</v>
      </c>
      <c r="G19" s="466">
        <f ca="1">ROUND(SUMIF(INDIRECT(Formulas!$B$1),"10-"&amp;LEFT($B19,3)&amp;"*-"&amp;MID(G$1,2,1)&amp;"*",INDIRECT(Formulas!$B$3)),0)</f>
        <v>0</v>
      </c>
      <c r="H19" s="466">
        <f ca="1">ROUND(SUMIF(INDIRECT(Formulas!$B$1),"10-"&amp;LEFT($B19,3)&amp;"*-"&amp;MID(H$1,2,1)&amp;"*",INDIRECT(Formulas!$B$3)),0)</f>
        <v>0</v>
      </c>
      <c r="I19" s="466">
        <f ca="1">ROUND(SUMIF(INDIRECT(Formulas!$B$1),"10-"&amp;LEFT($B19,3)&amp;"*-"&amp;MID(I$1,2,1)&amp;"*",INDIRECT(Formulas!$B$3)),0)</f>
        <v>0</v>
      </c>
      <c r="J19" s="466">
        <f ca="1">ROUND(SUMIF(INDIRECT(Formulas!$B$1),"10-"&amp;LEFT($B19,3)&amp;"*-"&amp;MID(J$1,2,1)&amp;"*",INDIRECT(Formulas!$B$3)),0)</f>
        <v>0</v>
      </c>
      <c r="K19" s="1641">
        <f t="shared" ca="1" si="0"/>
        <v>0</v>
      </c>
      <c r="L19" s="466">
        <f ca="1">ROUND(SUMIF(INDIRECT(Formulas!$B$1),"10-"&amp;LEFT($B19,3)&amp;"*",INDIRECT(Formulas!$B$7)),0)</f>
        <v>0</v>
      </c>
    </row>
    <row r="20" spans="1:12" x14ac:dyDescent="0.2">
      <c r="A20" s="1475" t="s">
        <v>738</v>
      </c>
      <c r="B20" s="578" t="s">
        <v>725</v>
      </c>
      <c r="C20" s="474"/>
      <c r="D20" s="474"/>
      <c r="E20" s="474"/>
      <c r="F20" s="474"/>
      <c r="G20" s="474"/>
      <c r="H20" s="466">
        <f ca="1">ROUND(SUMIF(INDIRECT(Formulas!$B$1),"10-"&amp;LEFT($B20,4)&amp;"*-"&amp;MID(H$1,2,1)&amp;"*",INDIRECT(Formulas!$B$3)),0)</f>
        <v>0</v>
      </c>
      <c r="I20" s="592"/>
      <c r="J20" s="473"/>
      <c r="K20" s="1641">
        <f t="shared" ca="1" si="0"/>
        <v>0</v>
      </c>
      <c r="L20" s="466">
        <f ca="1">ROUND(SUMIF(INDIRECT(Formulas!$B$1),"10-"&amp;LEFT($B20,3)&amp;"*",INDIRECT(Formulas!$B$7)),0)</f>
        <v>0</v>
      </c>
    </row>
    <row r="21" spans="1:12" x14ac:dyDescent="0.2">
      <c r="A21" s="1475" t="s">
        <v>739</v>
      </c>
      <c r="B21" s="578" t="s">
        <v>726</v>
      </c>
      <c r="C21" s="474"/>
      <c r="D21" s="474"/>
      <c r="E21" s="474"/>
      <c r="F21" s="474"/>
      <c r="G21" s="474"/>
      <c r="H21" s="466">
        <f ca="1">ROUND(SUMIF(INDIRECT(Formulas!$B$1),"10-"&amp;LEFT($B21,4)&amp;"*-"&amp;MID(H$1,2,1)&amp;"*",INDIRECT(Formulas!$B$3)),0)</f>
        <v>0</v>
      </c>
      <c r="I21" s="592"/>
      <c r="J21" s="474"/>
      <c r="K21" s="1641">
        <f t="shared" ca="1" si="0"/>
        <v>0</v>
      </c>
      <c r="L21" s="466">
        <f ca="1">ROUND(SUMIF(INDIRECT(Formulas!$B$1),"10-"&amp;LEFT($B21,3)&amp;"*",INDIRECT(Formulas!$B$7)),0)</f>
        <v>0</v>
      </c>
    </row>
    <row r="22" spans="1:12" x14ac:dyDescent="0.2">
      <c r="A22" s="1475" t="s">
        <v>740</v>
      </c>
      <c r="B22" s="578" t="s">
        <v>727</v>
      </c>
      <c r="C22" s="474"/>
      <c r="D22" s="474"/>
      <c r="E22" s="474"/>
      <c r="F22" s="474"/>
      <c r="G22" s="474"/>
      <c r="H22" s="466">
        <f ca="1">ROUND(SUMIF(INDIRECT(Formulas!$B$1),"10-"&amp;LEFT($B22,4)&amp;"*-"&amp;MID(H$1,2,1)&amp;"*",INDIRECT(Formulas!$B$3)),0)</f>
        <v>0</v>
      </c>
      <c r="I22" s="592"/>
      <c r="J22" s="474"/>
      <c r="K22" s="1641">
        <f t="shared" ca="1" si="0"/>
        <v>0</v>
      </c>
      <c r="L22" s="466">
        <f ca="1">ROUND(SUMIF(INDIRECT(Formulas!$B$1),"10-"&amp;LEFT($B22,3)&amp;"*",INDIRECT(Formulas!$B$7)),0)</f>
        <v>0</v>
      </c>
    </row>
    <row r="23" spans="1:12" x14ac:dyDescent="0.2">
      <c r="A23" s="1475" t="s">
        <v>741</v>
      </c>
      <c r="B23" s="578" t="s">
        <v>728</v>
      </c>
      <c r="C23" s="474"/>
      <c r="D23" s="474"/>
      <c r="E23" s="474"/>
      <c r="F23" s="474"/>
      <c r="G23" s="474"/>
      <c r="H23" s="466">
        <f ca="1">ROUND(SUMIF(INDIRECT(Formulas!$B$1),"10-"&amp;LEFT($B23,4)&amp;"*-"&amp;MID(H$1,2,1)&amp;"*",INDIRECT(Formulas!$B$3)),0)</f>
        <v>0</v>
      </c>
      <c r="I23" s="592"/>
      <c r="J23" s="474"/>
      <c r="K23" s="1641">
        <f t="shared" ca="1" si="0"/>
        <v>0</v>
      </c>
      <c r="L23" s="466">
        <f ca="1">ROUND(SUMIF(INDIRECT(Formulas!$B$1),"10-"&amp;LEFT($B23,3)&amp;"*",INDIRECT(Formulas!$B$7)),0)</f>
        <v>0</v>
      </c>
    </row>
    <row r="24" spans="1:12" ht="12.75" customHeight="1" x14ac:dyDescent="0.2">
      <c r="A24" s="1475" t="s">
        <v>742</v>
      </c>
      <c r="B24" s="578" t="s">
        <v>729</v>
      </c>
      <c r="C24" s="474"/>
      <c r="D24" s="474"/>
      <c r="E24" s="474"/>
      <c r="F24" s="474"/>
      <c r="G24" s="474"/>
      <c r="H24" s="466">
        <f ca="1">ROUND(SUMIF(INDIRECT(Formulas!$B$1),"10-"&amp;LEFT($B24,4)&amp;"*-"&amp;MID(H$1,2,1)&amp;"*",INDIRECT(Formulas!$B$3)),0)</f>
        <v>0</v>
      </c>
      <c r="I24" s="592"/>
      <c r="J24" s="474"/>
      <c r="K24" s="1641">
        <f t="shared" ca="1" si="0"/>
        <v>0</v>
      </c>
      <c r="L24" s="466">
        <f ca="1">ROUND(SUMIF(INDIRECT(Formulas!$B$1),"10-"&amp;LEFT($B24,3)&amp;"*",INDIRECT(Formulas!$B$7)),0)</f>
        <v>0</v>
      </c>
    </row>
    <row r="25" spans="1:12" ht="12.75" customHeight="1" x14ac:dyDescent="0.2">
      <c r="A25" s="1475" t="s">
        <v>802</v>
      </c>
      <c r="B25" s="578" t="s">
        <v>730</v>
      </c>
      <c r="C25" s="474"/>
      <c r="D25" s="474"/>
      <c r="E25" s="474"/>
      <c r="F25" s="474"/>
      <c r="G25" s="474"/>
      <c r="H25" s="466">
        <f ca="1">ROUND(SUMIF(INDIRECT(Formulas!$B$1),"10-"&amp;LEFT($B25,4)&amp;"*-"&amp;MID(H$1,2,1)&amp;"*",INDIRECT(Formulas!$B$3)),0)</f>
        <v>0</v>
      </c>
      <c r="I25" s="592"/>
      <c r="J25" s="474"/>
      <c r="K25" s="1641">
        <f t="shared" ca="1" si="0"/>
        <v>0</v>
      </c>
      <c r="L25" s="466">
        <f ca="1">ROUND(SUMIF(INDIRECT(Formulas!$B$1),"10-"&amp;LEFT($B25,3)&amp;"*",INDIRECT(Formulas!$B$7)),0)</f>
        <v>0</v>
      </c>
    </row>
    <row r="26" spans="1:12" x14ac:dyDescent="0.2">
      <c r="A26" s="1475" t="s">
        <v>622</v>
      </c>
      <c r="B26" s="578" t="s">
        <v>731</v>
      </c>
      <c r="C26" s="474"/>
      <c r="D26" s="474"/>
      <c r="E26" s="474"/>
      <c r="F26" s="474"/>
      <c r="G26" s="474"/>
      <c r="H26" s="466">
        <f ca="1">ROUND(SUMIF(INDIRECT(Formulas!$B$1),"10-"&amp;LEFT($B26,4)&amp;"*-"&amp;MID(H$1,2,1)&amp;"*",INDIRECT(Formulas!$B$3)),0)</f>
        <v>0</v>
      </c>
      <c r="I26" s="592"/>
      <c r="J26" s="474"/>
      <c r="K26" s="1641">
        <f t="shared" ca="1" si="0"/>
        <v>0</v>
      </c>
      <c r="L26" s="466">
        <f ca="1">ROUND(SUMIF(INDIRECT(Formulas!$B$1),"10-"&amp;LEFT($B26,3)&amp;"*",INDIRECT(Formulas!$B$7)),0)</f>
        <v>0</v>
      </c>
    </row>
    <row r="27" spans="1:12" x14ac:dyDescent="0.2">
      <c r="A27" s="1475" t="s">
        <v>623</v>
      </c>
      <c r="B27" s="578" t="s">
        <v>732</v>
      </c>
      <c r="C27" s="474"/>
      <c r="D27" s="474"/>
      <c r="E27" s="474"/>
      <c r="F27" s="474"/>
      <c r="G27" s="474"/>
      <c r="H27" s="466">
        <f ca="1">ROUND(SUMIF(INDIRECT(Formulas!$B$1),"10-"&amp;LEFT($B27,4)&amp;"*-"&amp;MID(H$1,2,1)&amp;"*",INDIRECT(Formulas!$B$3)),0)</f>
        <v>0</v>
      </c>
      <c r="I27" s="592"/>
      <c r="J27" s="474"/>
      <c r="K27" s="1641">
        <f t="shared" ca="1" si="0"/>
        <v>0</v>
      </c>
      <c r="L27" s="466">
        <f ca="1">ROUND(SUMIF(INDIRECT(Formulas!$B$1),"10-"&amp;LEFT($B27,3)&amp;"*",INDIRECT(Formulas!$B$7)),0)</f>
        <v>0</v>
      </c>
    </row>
    <row r="28" spans="1:12" x14ac:dyDescent="0.2">
      <c r="A28" s="1475" t="s">
        <v>150</v>
      </c>
      <c r="B28" s="578" t="s">
        <v>733</v>
      </c>
      <c r="C28" s="474"/>
      <c r="D28" s="474"/>
      <c r="E28" s="474"/>
      <c r="F28" s="474"/>
      <c r="G28" s="474"/>
      <c r="H28" s="466">
        <f ca="1">ROUND(SUMIF(INDIRECT(Formulas!$B$1),"10-"&amp;LEFT($B28,4)&amp;"*-"&amp;MID(H$1,2,1)&amp;"*",INDIRECT(Formulas!$B$3)),0)</f>
        <v>0</v>
      </c>
      <c r="I28" s="592"/>
      <c r="J28" s="474"/>
      <c r="K28" s="1641">
        <f t="shared" ca="1" si="0"/>
        <v>0</v>
      </c>
      <c r="L28" s="466">
        <f ca="1">ROUND(SUMIF(INDIRECT(Formulas!$B$1),"10-"&amp;LEFT($B28,3)&amp;"*",INDIRECT(Formulas!$B$7)),0)</f>
        <v>0</v>
      </c>
    </row>
    <row r="29" spans="1:12" x14ac:dyDescent="0.2">
      <c r="A29" s="1475" t="s">
        <v>151</v>
      </c>
      <c r="B29" s="578" t="s">
        <v>734</v>
      </c>
      <c r="C29" s="474"/>
      <c r="D29" s="474"/>
      <c r="E29" s="474"/>
      <c r="F29" s="474"/>
      <c r="G29" s="474"/>
      <c r="H29" s="466">
        <f ca="1">ROUND(SUMIF(INDIRECT(Formulas!$B$1),"10-"&amp;LEFT($B29,4)&amp;"*-"&amp;MID(H$1,2,1)&amp;"*",INDIRECT(Formulas!$B$3)),0)</f>
        <v>0</v>
      </c>
      <c r="I29" s="592"/>
      <c r="J29" s="474"/>
      <c r="K29" s="1641">
        <f t="shared" ca="1" si="0"/>
        <v>0</v>
      </c>
      <c r="L29" s="466">
        <f ca="1">ROUND(SUMIF(INDIRECT(Formulas!$B$1),"10-"&amp;LEFT($B29,3)&amp;"*",INDIRECT(Formulas!$B$7)),0)</f>
        <v>0</v>
      </c>
    </row>
    <row r="30" spans="1:12" x14ac:dyDescent="0.2">
      <c r="A30" s="1475" t="s">
        <v>152</v>
      </c>
      <c r="B30" s="578" t="s">
        <v>735</v>
      </c>
      <c r="C30" s="474"/>
      <c r="D30" s="474"/>
      <c r="E30" s="474"/>
      <c r="F30" s="474"/>
      <c r="G30" s="474"/>
      <c r="H30" s="466">
        <f ca="1">ROUND(SUMIF(INDIRECT(Formulas!$B$1),"10-"&amp;LEFT($B30,4)&amp;"*-"&amp;MID(H$1,2,1)&amp;"*",INDIRECT(Formulas!$B$3)),0)</f>
        <v>0</v>
      </c>
      <c r="I30" s="592"/>
      <c r="J30" s="474"/>
      <c r="K30" s="1641">
        <f t="shared" ca="1" si="0"/>
        <v>0</v>
      </c>
      <c r="L30" s="466">
        <f ca="1">ROUND(SUMIF(INDIRECT(Formulas!$B$1),"10-"&amp;LEFT($B30,3)&amp;"*",INDIRECT(Formulas!$B$7)),0)</f>
        <v>0</v>
      </c>
    </row>
    <row r="31" spans="1:12" x14ac:dyDescent="0.2">
      <c r="A31" s="1475" t="s">
        <v>153</v>
      </c>
      <c r="B31" s="578" t="s">
        <v>736</v>
      </c>
      <c r="C31" s="474"/>
      <c r="D31" s="474"/>
      <c r="E31" s="474"/>
      <c r="F31" s="474"/>
      <c r="G31" s="474"/>
      <c r="H31" s="466">
        <f ca="1">ROUND(SUMIF(INDIRECT(Formulas!$B$1),"10-"&amp;LEFT($B31,4)&amp;"*-"&amp;MID(H$1,2,1)&amp;"*",INDIRECT(Formulas!$B$3)),0)</f>
        <v>0</v>
      </c>
      <c r="I31" s="592"/>
      <c r="J31" s="474"/>
      <c r="K31" s="1641">
        <f t="shared" ca="1" si="0"/>
        <v>0</v>
      </c>
      <c r="L31" s="466">
        <f ca="1">ROUND(SUMIF(INDIRECT(Formulas!$B$1),"10-"&amp;LEFT($B31,3)&amp;"*",INDIRECT(Formulas!$B$7)),0)</f>
        <v>0</v>
      </c>
    </row>
    <row r="32" spans="1:12" x14ac:dyDescent="0.2">
      <c r="A32" s="1476" t="s">
        <v>1129</v>
      </c>
      <c r="B32" s="590" t="s">
        <v>737</v>
      </c>
      <c r="C32" s="474"/>
      <c r="D32" s="474"/>
      <c r="E32" s="474"/>
      <c r="F32" s="474"/>
      <c r="G32" s="474"/>
      <c r="H32" s="466">
        <f ca="1">ROUND(SUMIF(INDIRECT(Formulas!$B$1),"10-"&amp;LEFT($B32,4)&amp;"*-"&amp;MID(H$1,2,1)&amp;"*",INDIRECT(Formulas!$B$3)),0)</f>
        <v>0</v>
      </c>
      <c r="I32" s="592"/>
      <c r="J32" s="476"/>
      <c r="K32" s="1641">
        <f t="shared" ca="1" si="0"/>
        <v>0</v>
      </c>
      <c r="L32" s="466">
        <f ca="1">ROUND(SUMIF(INDIRECT(Formulas!$B$1),"10-"&amp;LEFT($B32,3)&amp;"*",INDIRECT(Formulas!$B$7)),0)</f>
        <v>0</v>
      </c>
    </row>
    <row r="33" spans="1:14" ht="12.75" customHeight="1" thickBot="1" x14ac:dyDescent="0.25">
      <c r="A33" s="1638" t="s">
        <v>1668</v>
      </c>
      <c r="B33" s="1639" t="s">
        <v>570</v>
      </c>
      <c r="C33" s="1640">
        <f ca="1">SUM(C5:C32)</f>
        <v>8583347</v>
      </c>
      <c r="D33" s="1640">
        <f t="shared" ref="D33:L33" ca="1" si="1">SUM(D5:D32)</f>
        <v>2453703</v>
      </c>
      <c r="E33" s="1640">
        <f t="shared" ca="1" si="1"/>
        <v>66841</v>
      </c>
      <c r="F33" s="1640">
        <f t="shared" ca="1" si="1"/>
        <v>239901</v>
      </c>
      <c r="G33" s="1640">
        <f t="shared" ca="1" si="1"/>
        <v>22963</v>
      </c>
      <c r="H33" s="1640">
        <f t="shared" ca="1" si="1"/>
        <v>239140</v>
      </c>
      <c r="I33" s="1640">
        <f t="shared" ca="1" si="1"/>
        <v>0</v>
      </c>
      <c r="J33" s="1640">
        <f t="shared" ca="1" si="1"/>
        <v>0</v>
      </c>
      <c r="K33" s="1640">
        <f t="shared" ca="1" si="1"/>
        <v>11605895</v>
      </c>
      <c r="L33" s="1640">
        <f t="shared" ca="1" si="1"/>
        <v>11991874</v>
      </c>
    </row>
    <row r="34" spans="1:14" s="596" customFormat="1" ht="15.75" customHeight="1" thickTop="1" x14ac:dyDescent="0.2">
      <c r="A34" s="1578" t="s">
        <v>46</v>
      </c>
      <c r="B34" s="1579" t="s">
        <v>569</v>
      </c>
      <c r="C34" s="594"/>
      <c r="D34" s="594"/>
      <c r="E34" s="594"/>
      <c r="F34" s="594"/>
      <c r="G34" s="594"/>
      <c r="H34" s="594"/>
      <c r="I34" s="592"/>
      <c r="J34" s="592"/>
      <c r="K34" s="592"/>
      <c r="L34" s="592"/>
      <c r="M34" s="595"/>
      <c r="N34" s="595"/>
    </row>
    <row r="35" spans="1:14" s="596" customFormat="1" ht="15.75" customHeight="1" x14ac:dyDescent="0.2">
      <c r="A35" s="597" t="s">
        <v>591</v>
      </c>
      <c r="B35" s="598"/>
      <c r="C35" s="599"/>
      <c r="D35" s="599"/>
      <c r="E35" s="599"/>
      <c r="F35" s="599"/>
      <c r="G35" s="599"/>
      <c r="H35" s="599"/>
      <c r="I35" s="592"/>
      <c r="J35" s="592"/>
      <c r="K35" s="592"/>
      <c r="L35" s="592"/>
      <c r="M35" s="595"/>
      <c r="N35" s="595"/>
    </row>
    <row r="36" spans="1:14" x14ac:dyDescent="0.2">
      <c r="A36" s="1474" t="s">
        <v>1089</v>
      </c>
      <c r="B36" s="590">
        <v>2110</v>
      </c>
      <c r="C36" s="466">
        <f ca="1">ROUND(SUMIF(INDIRECT(Formulas!$B$1),"10-"&amp;LEFT($B36,3)&amp;"*-"&amp;MID(C$1,2,1)&amp;"*",INDIRECT(Formulas!$B$3)),0)</f>
        <v>281917</v>
      </c>
      <c r="D36" s="466">
        <f ca="1">ROUND(SUMIF(INDIRECT(Formulas!$B$1),"10-"&amp;LEFT($B36,3)&amp;"*-"&amp;MID(D$1,2,1)&amp;"*",INDIRECT(Formulas!$B$3)),0)</f>
        <v>103676</v>
      </c>
      <c r="E36" s="466">
        <f ca="1">ROUND(SUMIF(INDIRECT(Formulas!$B$1),"10-"&amp;LEFT($B36,3)&amp;"*-"&amp;MID(E$1,2,1)&amp;"*",INDIRECT(Formulas!$B$3)),0)</f>
        <v>87562</v>
      </c>
      <c r="F36" s="466">
        <f ca="1">ROUND(SUMIF(INDIRECT(Formulas!$B$1),"10-"&amp;LEFT($B36,3)&amp;"*-"&amp;MID(F$1,2,1)&amp;"*",INDIRECT(Formulas!$B$3)),0)</f>
        <v>4448</v>
      </c>
      <c r="G36" s="466">
        <f ca="1">ROUND(SUMIF(INDIRECT(Formulas!$B$1),"10-"&amp;LEFT($B36,3)&amp;"*-"&amp;MID(G$1,2,1)&amp;"*",INDIRECT(Formulas!$B$3)),0)</f>
        <v>0</v>
      </c>
      <c r="H36" s="466">
        <f ca="1">ROUND(SUMIF(INDIRECT(Formulas!$B$1),"10-"&amp;LEFT($B36,3)&amp;"*-"&amp;MID(H$1,2,1)&amp;"*",INDIRECT(Formulas!$B$3)),0)</f>
        <v>0</v>
      </c>
      <c r="I36" s="466">
        <f ca="1">ROUND(SUMIF(INDIRECT(Formulas!$B$1),"10-"&amp;LEFT($B36,3)&amp;"*-"&amp;MID(I$1,2,1)&amp;"*",INDIRECT(Formulas!$B$3)),0)</f>
        <v>0</v>
      </c>
      <c r="J36" s="466">
        <f ca="1">ROUND(SUMIF(INDIRECT(Formulas!$B$1),"10-"&amp;LEFT($B36,3)&amp;"*-"&amp;MID(J$1,2,1)&amp;"*",INDIRECT(Formulas!$B$3)),0)</f>
        <v>0</v>
      </c>
      <c r="K36" s="1641">
        <f t="shared" ref="K36:K41" ca="1" si="2">SUM(C36:J36)</f>
        <v>477603</v>
      </c>
      <c r="L36" s="466">
        <f ca="1">ROUND(SUMIF(INDIRECT(Formulas!$B$1),"10-"&amp;LEFT($B36,3)&amp;"*",INDIRECT(Formulas!$B$7)),0)</f>
        <v>478406</v>
      </c>
    </row>
    <row r="37" spans="1:14" x14ac:dyDescent="0.2">
      <c r="A37" s="1474" t="s">
        <v>1090</v>
      </c>
      <c r="B37" s="590">
        <v>2120</v>
      </c>
      <c r="C37" s="466">
        <f ca="1">ROUND(SUMIF(INDIRECT(Formulas!$B$1),"10-"&amp;LEFT($B37,3)&amp;"*-"&amp;MID(C$1,2,1)&amp;"*",INDIRECT(Formulas!$B$3)),0)</f>
        <v>145919</v>
      </c>
      <c r="D37" s="466">
        <f ca="1">ROUND(SUMIF(INDIRECT(Formulas!$B$1),"10-"&amp;LEFT($B37,3)&amp;"*-"&amp;MID(D$1,2,1)&amp;"*",INDIRECT(Formulas!$B$3)),0)</f>
        <v>33419</v>
      </c>
      <c r="E37" s="466">
        <f ca="1">ROUND(SUMIF(INDIRECT(Formulas!$B$1),"10-"&amp;LEFT($B37,3)&amp;"*-"&amp;MID(E$1,2,1)&amp;"*",INDIRECT(Formulas!$B$3)),0)</f>
        <v>0</v>
      </c>
      <c r="F37" s="466">
        <f ca="1">ROUND(SUMIF(INDIRECT(Formulas!$B$1),"10-"&amp;LEFT($B37,3)&amp;"*-"&amp;MID(F$1,2,1)&amp;"*",INDIRECT(Formulas!$B$3)),0)</f>
        <v>0</v>
      </c>
      <c r="G37" s="466">
        <f ca="1">ROUND(SUMIF(INDIRECT(Formulas!$B$1),"10-"&amp;LEFT($B37,3)&amp;"*-"&amp;MID(G$1,2,1)&amp;"*",INDIRECT(Formulas!$B$3)),0)</f>
        <v>0</v>
      </c>
      <c r="H37" s="466">
        <f ca="1">ROUND(SUMIF(INDIRECT(Formulas!$B$1),"10-"&amp;LEFT($B37,3)&amp;"*-"&amp;MID(H$1,2,1)&amp;"*",INDIRECT(Formulas!$B$3)),0)</f>
        <v>0</v>
      </c>
      <c r="I37" s="466">
        <f ca="1">ROUND(SUMIF(INDIRECT(Formulas!$B$1),"10-"&amp;LEFT($B37,3)&amp;"*-"&amp;MID(I$1,2,1)&amp;"*",INDIRECT(Formulas!$B$3)),0)</f>
        <v>0</v>
      </c>
      <c r="J37" s="466">
        <f ca="1">ROUND(SUMIF(INDIRECT(Formulas!$B$1),"10-"&amp;LEFT($B37,3)&amp;"*-"&amp;MID(J$1,2,1)&amp;"*",INDIRECT(Formulas!$B$3)),0)</f>
        <v>0</v>
      </c>
      <c r="K37" s="1641">
        <f t="shared" ca="1" si="2"/>
        <v>179338</v>
      </c>
      <c r="L37" s="466">
        <f ca="1">ROUND(SUMIF(INDIRECT(Formulas!$B$1),"10-"&amp;LEFT($B37,3)&amp;"*",INDIRECT(Formulas!$B$7)),0)</f>
        <v>179679</v>
      </c>
    </row>
    <row r="38" spans="1:14" x14ac:dyDescent="0.2">
      <c r="A38" s="1474" t="s">
        <v>198</v>
      </c>
      <c r="B38" s="590">
        <v>2130</v>
      </c>
      <c r="C38" s="466">
        <f ca="1">ROUND(SUMIF(INDIRECT(Formulas!$B$1),"10-"&amp;LEFT($B38,3)&amp;"*-"&amp;MID(C$1,2,1)&amp;"*",INDIRECT(Formulas!$B$3)),0)</f>
        <v>118756</v>
      </c>
      <c r="D38" s="466">
        <f ca="1">ROUND(SUMIF(INDIRECT(Formulas!$B$1),"10-"&amp;LEFT($B38,3)&amp;"*-"&amp;MID(D$1,2,1)&amp;"*",INDIRECT(Formulas!$B$3)),0)</f>
        <v>23386</v>
      </c>
      <c r="E38" s="466">
        <f ca="1">ROUND(SUMIF(INDIRECT(Formulas!$B$1),"10-"&amp;LEFT($B38,3)&amp;"*-"&amp;MID(E$1,2,1)&amp;"*",INDIRECT(Formulas!$B$3)),0)</f>
        <v>0</v>
      </c>
      <c r="F38" s="466">
        <f ca="1">ROUND(SUMIF(INDIRECT(Formulas!$B$1),"10-"&amp;LEFT($B38,3)&amp;"*-"&amp;MID(F$1,2,1)&amp;"*",INDIRECT(Formulas!$B$3)),0)</f>
        <v>3076</v>
      </c>
      <c r="G38" s="466">
        <f ca="1">ROUND(SUMIF(INDIRECT(Formulas!$B$1),"10-"&amp;LEFT($B38,3)&amp;"*-"&amp;MID(G$1,2,1)&amp;"*",INDIRECT(Formulas!$B$3)),0)</f>
        <v>0</v>
      </c>
      <c r="H38" s="466">
        <f ca="1">ROUND(SUMIF(INDIRECT(Formulas!$B$1),"10-"&amp;LEFT($B38,3)&amp;"*-"&amp;MID(H$1,2,1)&amp;"*",INDIRECT(Formulas!$B$3)),0)</f>
        <v>0</v>
      </c>
      <c r="I38" s="466">
        <f ca="1">ROUND(SUMIF(INDIRECT(Formulas!$B$1),"10-"&amp;LEFT($B38,3)&amp;"*-"&amp;MID(I$1,2,1)&amp;"*",INDIRECT(Formulas!$B$3)),0)</f>
        <v>0</v>
      </c>
      <c r="J38" s="466">
        <f ca="1">ROUND(SUMIF(INDIRECT(Formulas!$B$1),"10-"&amp;LEFT($B38,3)&amp;"*-"&amp;MID(J$1,2,1)&amp;"*",INDIRECT(Formulas!$B$3)),0)</f>
        <v>0</v>
      </c>
      <c r="K38" s="1641">
        <f t="shared" ca="1" si="2"/>
        <v>145218</v>
      </c>
      <c r="L38" s="466">
        <f ca="1">ROUND(SUMIF(INDIRECT(Formulas!$B$1),"10-"&amp;LEFT($B38,3)&amp;"*",INDIRECT(Formulas!$B$7)),0)</f>
        <v>149061</v>
      </c>
    </row>
    <row r="39" spans="1:14" x14ac:dyDescent="0.2">
      <c r="A39" s="1474" t="s">
        <v>199</v>
      </c>
      <c r="B39" s="590">
        <v>2140</v>
      </c>
      <c r="C39" s="466">
        <f ca="1">ROUND(SUMIF(INDIRECT(Formulas!$B$1),"10-"&amp;LEFT($B39,3)&amp;"*-"&amp;MID(C$1,2,1)&amp;"*",INDIRECT(Formulas!$B$3)),0)</f>
        <v>249766</v>
      </c>
      <c r="D39" s="466">
        <f ca="1">ROUND(SUMIF(INDIRECT(Formulas!$B$1),"10-"&amp;LEFT($B39,3)&amp;"*-"&amp;MID(D$1,2,1)&amp;"*",INDIRECT(Formulas!$B$3)),0)</f>
        <v>89569</v>
      </c>
      <c r="E39" s="466">
        <f ca="1">ROUND(SUMIF(INDIRECT(Formulas!$B$1),"10-"&amp;LEFT($B39,3)&amp;"*-"&amp;MID(E$1,2,1)&amp;"*",INDIRECT(Formulas!$B$3)),0)</f>
        <v>5507</v>
      </c>
      <c r="F39" s="466">
        <f ca="1">ROUND(SUMIF(INDIRECT(Formulas!$B$1),"10-"&amp;LEFT($B39,3)&amp;"*-"&amp;MID(F$1,2,1)&amp;"*",INDIRECT(Formulas!$B$3)),0)</f>
        <v>7607</v>
      </c>
      <c r="G39" s="466">
        <f ca="1">ROUND(SUMIF(INDIRECT(Formulas!$B$1),"10-"&amp;LEFT($B39,3)&amp;"*-"&amp;MID(G$1,2,1)&amp;"*",INDIRECT(Formulas!$B$3)),0)</f>
        <v>0</v>
      </c>
      <c r="H39" s="466">
        <f ca="1">ROUND(SUMIF(INDIRECT(Formulas!$B$1),"10-"&amp;LEFT($B39,3)&amp;"*-"&amp;MID(H$1,2,1)&amp;"*",INDIRECT(Formulas!$B$3)),0)</f>
        <v>125</v>
      </c>
      <c r="I39" s="466">
        <f ca="1">ROUND(SUMIF(INDIRECT(Formulas!$B$1),"10-"&amp;LEFT($B39,3)&amp;"*-"&amp;MID(I$1,2,1)&amp;"*",INDIRECT(Formulas!$B$3)),0)</f>
        <v>0</v>
      </c>
      <c r="J39" s="466">
        <f ca="1">ROUND(SUMIF(INDIRECT(Formulas!$B$1),"10-"&amp;LEFT($B39,3)&amp;"*-"&amp;MID(J$1,2,1)&amp;"*",INDIRECT(Formulas!$B$3)),0)</f>
        <v>0</v>
      </c>
      <c r="K39" s="1641">
        <f t="shared" ca="1" si="2"/>
        <v>352574</v>
      </c>
      <c r="L39" s="466">
        <f ca="1">ROUND(SUMIF(INDIRECT(Formulas!$B$1),"10-"&amp;LEFT($B39,3)&amp;"*",INDIRECT(Formulas!$B$7)),0)</f>
        <v>364087</v>
      </c>
    </row>
    <row r="40" spans="1:14" x14ac:dyDescent="0.2">
      <c r="A40" s="1474" t="s">
        <v>200</v>
      </c>
      <c r="B40" s="590">
        <v>2150</v>
      </c>
      <c r="C40" s="466">
        <f ca="1">ROUND(SUMIF(INDIRECT(Formulas!$B$1),"10-"&amp;LEFT($B40,3)&amp;"*-"&amp;MID(C$1,2,1)&amp;"*",INDIRECT(Formulas!$B$3)),0)</f>
        <v>346751</v>
      </c>
      <c r="D40" s="466">
        <f ca="1">ROUND(SUMIF(INDIRECT(Formulas!$B$1),"10-"&amp;LEFT($B40,3)&amp;"*-"&amp;MID(D$1,2,1)&amp;"*",INDIRECT(Formulas!$B$3)),0)</f>
        <v>85991</v>
      </c>
      <c r="E40" s="466">
        <f ca="1">ROUND(SUMIF(INDIRECT(Formulas!$B$1),"10-"&amp;LEFT($B40,3)&amp;"*-"&amp;MID(E$1,2,1)&amp;"*",INDIRECT(Formulas!$B$3)),0)</f>
        <v>0</v>
      </c>
      <c r="F40" s="466">
        <f ca="1">ROUND(SUMIF(INDIRECT(Formulas!$B$1),"10-"&amp;LEFT($B40,3)&amp;"*-"&amp;MID(F$1,2,1)&amp;"*",INDIRECT(Formulas!$B$3)),0)</f>
        <v>0</v>
      </c>
      <c r="G40" s="466">
        <f ca="1">ROUND(SUMIF(INDIRECT(Formulas!$B$1),"10-"&amp;LEFT($B40,3)&amp;"*-"&amp;MID(G$1,2,1)&amp;"*",INDIRECT(Formulas!$B$3)),0)</f>
        <v>0</v>
      </c>
      <c r="H40" s="466">
        <f ca="1">ROUND(SUMIF(INDIRECT(Formulas!$B$1),"10-"&amp;LEFT($B40,3)&amp;"*-"&amp;MID(H$1,2,1)&amp;"*",INDIRECT(Formulas!$B$3)),0)</f>
        <v>1205</v>
      </c>
      <c r="I40" s="466">
        <f ca="1">ROUND(SUMIF(INDIRECT(Formulas!$B$1),"10-"&amp;LEFT($B40,3)&amp;"*-"&amp;MID(I$1,2,1)&amp;"*",INDIRECT(Formulas!$B$3)),0)</f>
        <v>0</v>
      </c>
      <c r="J40" s="466">
        <f ca="1">ROUND(SUMIF(INDIRECT(Formulas!$B$1),"10-"&amp;LEFT($B40,3)&amp;"*-"&amp;MID(J$1,2,1)&amp;"*",INDIRECT(Formulas!$B$3)),0)</f>
        <v>0</v>
      </c>
      <c r="K40" s="1641">
        <f t="shared" ca="1" si="2"/>
        <v>433947</v>
      </c>
      <c r="L40" s="466">
        <f ca="1">ROUND(SUMIF(INDIRECT(Formulas!$B$1),"10-"&amp;LEFT($B40,3)&amp;"*",INDIRECT(Formulas!$B$7)),0)</f>
        <v>435619</v>
      </c>
    </row>
    <row r="41" spans="1:14" x14ac:dyDescent="0.2">
      <c r="A41" s="1474" t="s">
        <v>1669</v>
      </c>
      <c r="B41" s="590">
        <v>2190</v>
      </c>
      <c r="C41" s="466">
        <f ca="1">ROUND(SUMIF(INDIRECT(Formulas!$B$1),"10-"&amp;LEFT($B41,3)&amp;"*-"&amp;MID(C$1,2,1)&amp;"*",INDIRECT(Formulas!$B$3)),0)</f>
        <v>0</v>
      </c>
      <c r="D41" s="466">
        <f ca="1">ROUND(SUMIF(INDIRECT(Formulas!$B$1),"10-"&amp;LEFT($B41,3)&amp;"*-"&amp;MID(D$1,2,1)&amp;"*",INDIRECT(Formulas!$B$3)),0)</f>
        <v>0</v>
      </c>
      <c r="E41" s="466">
        <f ca="1">ROUND(SUMIF(INDIRECT(Formulas!$B$1),"10-"&amp;LEFT($B41,3)&amp;"*-"&amp;MID(E$1,2,1)&amp;"*",INDIRECT(Formulas!$B$3)),0)</f>
        <v>0</v>
      </c>
      <c r="F41" s="466">
        <f ca="1">ROUND(SUMIF(INDIRECT(Formulas!$B$1),"10-"&amp;LEFT($B41,3)&amp;"*-"&amp;MID(F$1,2,1)&amp;"*",INDIRECT(Formulas!$B$3)),0)</f>
        <v>0</v>
      </c>
      <c r="G41" s="466">
        <f ca="1">ROUND(SUMIF(INDIRECT(Formulas!$B$1),"10-"&amp;LEFT($B41,3)&amp;"*-"&amp;MID(G$1,2,1)&amp;"*",INDIRECT(Formulas!$B$3)),0)</f>
        <v>0</v>
      </c>
      <c r="H41" s="466">
        <f ca="1">ROUND(SUMIF(INDIRECT(Formulas!$B$1),"10-"&amp;LEFT($B41,3)&amp;"*-"&amp;MID(H$1,2,1)&amp;"*",INDIRECT(Formulas!$B$3)),0)</f>
        <v>0</v>
      </c>
      <c r="I41" s="466">
        <f ca="1">ROUND(SUMIF(INDIRECT(Formulas!$B$1),"10-"&amp;LEFT($B41,3)&amp;"*-"&amp;MID(I$1,2,1)&amp;"*",INDIRECT(Formulas!$B$3)),0)</f>
        <v>0</v>
      </c>
      <c r="J41" s="466">
        <f ca="1">ROUND(SUMIF(INDIRECT(Formulas!$B$1),"10-"&amp;LEFT($B41,3)&amp;"*-"&amp;MID(J$1,2,1)&amp;"*",INDIRECT(Formulas!$B$3)),0)</f>
        <v>0</v>
      </c>
      <c r="K41" s="1641">
        <f t="shared" ca="1" si="2"/>
        <v>0</v>
      </c>
      <c r="L41" s="466">
        <f ca="1">ROUND(SUMIF(INDIRECT(Formulas!$B$1),"10-"&amp;LEFT($B41,3)&amp;"*",INDIRECT(Formulas!$B$7)),0)</f>
        <v>0</v>
      </c>
    </row>
    <row r="42" spans="1:14" ht="12.75" customHeight="1" thickBot="1" x14ac:dyDescent="0.25">
      <c r="A42" s="1638" t="s">
        <v>560</v>
      </c>
      <c r="B42" s="1639" t="s">
        <v>716</v>
      </c>
      <c r="C42" s="1640">
        <f ca="1">SUM(C36:C41)</f>
        <v>1143109</v>
      </c>
      <c r="D42" s="1640">
        <f t="shared" ref="D42:L42" ca="1" si="3">SUM(D36:D41)</f>
        <v>336041</v>
      </c>
      <c r="E42" s="1640">
        <f t="shared" ca="1" si="3"/>
        <v>93069</v>
      </c>
      <c r="F42" s="1640">
        <f t="shared" ca="1" si="3"/>
        <v>15131</v>
      </c>
      <c r="G42" s="1640">
        <f t="shared" ca="1" si="3"/>
        <v>0</v>
      </c>
      <c r="H42" s="1640">
        <f t="shared" ca="1" si="3"/>
        <v>1330</v>
      </c>
      <c r="I42" s="1640">
        <f t="shared" ca="1" si="3"/>
        <v>0</v>
      </c>
      <c r="J42" s="1640">
        <f t="shared" ca="1" si="3"/>
        <v>0</v>
      </c>
      <c r="K42" s="1640">
        <f t="shared" ca="1" si="3"/>
        <v>1588680</v>
      </c>
      <c r="L42" s="1640">
        <f t="shared" ca="1" si="3"/>
        <v>1606852</v>
      </c>
    </row>
    <row r="43" spans="1:14" ht="15.75" customHeight="1" thickTop="1" x14ac:dyDescent="0.2">
      <c r="A43" s="600" t="s">
        <v>592</v>
      </c>
      <c r="B43" s="601"/>
      <c r="C43" s="602"/>
      <c r="D43" s="602"/>
      <c r="E43" s="602"/>
      <c r="F43" s="602"/>
      <c r="G43" s="602"/>
      <c r="H43" s="602"/>
      <c r="I43" s="592"/>
      <c r="J43" s="592"/>
      <c r="K43" s="602"/>
      <c r="L43" s="602"/>
    </row>
    <row r="44" spans="1:14" x14ac:dyDescent="0.2">
      <c r="A44" s="1474" t="s">
        <v>814</v>
      </c>
      <c r="B44" s="590">
        <v>2210</v>
      </c>
      <c r="C44" s="466">
        <f ca="1">ROUND(SUMIF(INDIRECT(Formulas!$B$1),"10-"&amp;LEFT($B44,3)&amp;"*-"&amp;MID(C$1,2,1)&amp;"*",INDIRECT(Formulas!$B$3)),0)</f>
        <v>24244</v>
      </c>
      <c r="D44" s="466">
        <f ca="1">ROUND(SUMIF(INDIRECT(Formulas!$B$1),"10-"&amp;LEFT($B44,3)&amp;"*-"&amp;MID(D$1,2,1)&amp;"*",INDIRECT(Formulas!$B$3)),0)</f>
        <v>1806</v>
      </c>
      <c r="E44" s="466">
        <f ca="1">ROUND(SUMIF(INDIRECT(Formulas!$B$1),"10-"&amp;LEFT($B44,3)&amp;"*-"&amp;MID(E$1,2,1)&amp;"*",INDIRECT(Formulas!$B$3)),0)</f>
        <v>66933</v>
      </c>
      <c r="F44" s="466">
        <f ca="1">ROUND(SUMIF(INDIRECT(Formulas!$B$1),"10-"&amp;LEFT($B44,3)&amp;"*-"&amp;MID(F$1,2,1)&amp;"*",INDIRECT(Formulas!$B$3)),0)</f>
        <v>402</v>
      </c>
      <c r="G44" s="466">
        <f ca="1">ROUND(SUMIF(INDIRECT(Formulas!$B$1),"10-"&amp;LEFT($B44,3)&amp;"*-"&amp;MID(G$1,2,1)&amp;"*",INDIRECT(Formulas!$B$3)),0)</f>
        <v>0</v>
      </c>
      <c r="H44" s="466">
        <f ca="1">ROUND(SUMIF(INDIRECT(Formulas!$B$1),"10-"&amp;LEFT($B44,3)&amp;"*-"&amp;MID(H$1,2,1)&amp;"*",INDIRECT(Formulas!$B$3)),0)</f>
        <v>0</v>
      </c>
      <c r="I44" s="466">
        <f ca="1">ROUND(SUMIF(INDIRECT(Formulas!$B$1),"10-"&amp;LEFT($B44,3)&amp;"*-"&amp;MID(I$1,2,1)&amp;"*",INDIRECT(Formulas!$B$3)),0)</f>
        <v>0</v>
      </c>
      <c r="J44" s="466">
        <f ca="1">ROUND(SUMIF(INDIRECT(Formulas!$B$1),"10-"&amp;LEFT($B44,3)&amp;"*-"&amp;MID(J$1,2,1)&amp;"*",INDIRECT(Formulas!$B$3)),0)</f>
        <v>0</v>
      </c>
      <c r="K44" s="1642">
        <f ca="1">SUM(C44:J44)</f>
        <v>93385</v>
      </c>
      <c r="L44" s="466">
        <f ca="1">ROUND(SUMIF(INDIRECT(Formulas!$B$1),"10-"&amp;LEFT($B44,3)&amp;"*",INDIRECT(Formulas!$B$7)),0)</f>
        <v>116745</v>
      </c>
    </row>
    <row r="45" spans="1:14" x14ac:dyDescent="0.2">
      <c r="A45" s="1474" t="s">
        <v>815</v>
      </c>
      <c r="B45" s="590">
        <v>2220</v>
      </c>
      <c r="C45" s="466">
        <f ca="1">ROUND(SUMIF(INDIRECT(Formulas!$B$1),"10-"&amp;LEFT($B45,3)&amp;"*-"&amp;MID(C$1,2,1)&amp;"*",INDIRECT(Formulas!$B$3)),0)</f>
        <v>323578</v>
      </c>
      <c r="D45" s="466">
        <f ca="1">ROUND(SUMIF(INDIRECT(Formulas!$B$1),"10-"&amp;LEFT($B45,3)&amp;"*-"&amp;MID(D$1,2,1)&amp;"*",INDIRECT(Formulas!$B$3)),0)</f>
        <v>96875</v>
      </c>
      <c r="E45" s="466">
        <f ca="1">ROUND(SUMIF(INDIRECT(Formulas!$B$1),"10-"&amp;LEFT($B45,3)&amp;"*-"&amp;MID(E$1,2,1)&amp;"*",INDIRECT(Formulas!$B$3)),0)</f>
        <v>254179</v>
      </c>
      <c r="F45" s="466">
        <f ca="1">ROUND(SUMIF(INDIRECT(Formulas!$B$1),"10-"&amp;LEFT($B45,3)&amp;"*-"&amp;MID(F$1,2,1)&amp;"*",INDIRECT(Formulas!$B$3)),0)</f>
        <v>38423</v>
      </c>
      <c r="G45" s="466">
        <f ca="1">ROUND(SUMIF(INDIRECT(Formulas!$B$1),"10-"&amp;LEFT($B45,3)&amp;"*-"&amp;MID(G$1,2,1)&amp;"*",INDIRECT(Formulas!$B$3)),0)</f>
        <v>131535</v>
      </c>
      <c r="H45" s="466">
        <f ca="1">ROUND(SUMIF(INDIRECT(Formulas!$B$1),"10-"&amp;LEFT($B45,3)&amp;"*-"&amp;MID(H$1,2,1)&amp;"*",INDIRECT(Formulas!$B$3)),0)</f>
        <v>0</v>
      </c>
      <c r="I45" s="466">
        <f ca="1">ROUND(SUMIF(INDIRECT(Formulas!$B$1),"10-"&amp;LEFT($B45,3)&amp;"*-"&amp;MID(I$1,2,1)&amp;"*",INDIRECT(Formulas!$B$3)),0)</f>
        <v>0</v>
      </c>
      <c r="J45" s="466">
        <f ca="1">ROUND(SUMIF(INDIRECT(Formulas!$B$1),"10-"&amp;LEFT($B45,3)&amp;"*-"&amp;MID(J$1,2,1)&amp;"*",INDIRECT(Formulas!$B$3)),0)</f>
        <v>0</v>
      </c>
      <c r="K45" s="1642">
        <f ca="1">SUM(C45:J45)</f>
        <v>844590</v>
      </c>
      <c r="L45" s="466">
        <f ca="1">ROUND(SUMIF(INDIRECT(Formulas!$B$1),"10-"&amp;LEFT($B45,3)&amp;"*",INDIRECT(Formulas!$B$7)),0)</f>
        <v>1119147</v>
      </c>
    </row>
    <row r="46" spans="1:14" x14ac:dyDescent="0.2">
      <c r="A46" s="1474" t="s">
        <v>816</v>
      </c>
      <c r="B46" s="590">
        <v>2230</v>
      </c>
      <c r="C46" s="466">
        <f ca="1">ROUND(SUMIF(INDIRECT(Formulas!$B$1),"10-"&amp;LEFT($B46,3)&amp;"*-"&amp;MID(C$1,2,1)&amp;"*",INDIRECT(Formulas!$B$3)),0)</f>
        <v>0</v>
      </c>
      <c r="D46" s="466">
        <f ca="1">ROUND(SUMIF(INDIRECT(Formulas!$B$1),"10-"&amp;LEFT($B46,3)&amp;"*-"&amp;MID(D$1,2,1)&amp;"*",INDIRECT(Formulas!$B$3)),0)</f>
        <v>0</v>
      </c>
      <c r="E46" s="466">
        <f ca="1">ROUND(SUMIF(INDIRECT(Formulas!$B$1),"10-"&amp;LEFT($B46,3)&amp;"*-"&amp;MID(E$1,2,1)&amp;"*",INDIRECT(Formulas!$B$3)),0)</f>
        <v>0</v>
      </c>
      <c r="F46" s="466">
        <f ca="1">ROUND(SUMIF(INDIRECT(Formulas!$B$1),"10-"&amp;LEFT($B46,3)&amp;"*-"&amp;MID(F$1,2,1)&amp;"*",INDIRECT(Formulas!$B$3)),0)</f>
        <v>0</v>
      </c>
      <c r="G46" s="466">
        <f ca="1">ROUND(SUMIF(INDIRECT(Formulas!$B$1),"10-"&amp;LEFT($B46,3)&amp;"*-"&amp;MID(G$1,2,1)&amp;"*",INDIRECT(Formulas!$B$3)),0)</f>
        <v>0</v>
      </c>
      <c r="H46" s="466">
        <f ca="1">ROUND(SUMIF(INDIRECT(Formulas!$B$1),"10-"&amp;LEFT($B46,3)&amp;"*-"&amp;MID(H$1,2,1)&amp;"*",INDIRECT(Formulas!$B$3)),0)</f>
        <v>0</v>
      </c>
      <c r="I46" s="466">
        <f ca="1">ROUND(SUMIF(INDIRECT(Formulas!$B$1),"10-"&amp;LEFT($B46,3)&amp;"*-"&amp;MID(I$1,2,1)&amp;"*",INDIRECT(Formulas!$B$3)),0)</f>
        <v>0</v>
      </c>
      <c r="J46" s="466">
        <f ca="1">ROUND(SUMIF(INDIRECT(Formulas!$B$1),"10-"&amp;LEFT($B46,3)&amp;"*-"&amp;MID(J$1,2,1)&amp;"*",INDIRECT(Formulas!$B$3)),0)</f>
        <v>0</v>
      </c>
      <c r="K46" s="1642">
        <f ca="1">SUM(C46:J46)</f>
        <v>0</v>
      </c>
      <c r="L46" s="466">
        <f ca="1">ROUND(SUMIF(INDIRECT(Formulas!$B$1),"10-"&amp;LEFT($B46,3)&amp;"*",INDIRECT(Formulas!$B$7)),0)</f>
        <v>0</v>
      </c>
    </row>
    <row r="47" spans="1:14" ht="12.75" customHeight="1" thickBot="1" x14ac:dyDescent="0.25">
      <c r="A47" s="1638" t="s">
        <v>561</v>
      </c>
      <c r="B47" s="1639" t="s">
        <v>32</v>
      </c>
      <c r="C47" s="1640">
        <f ca="1">SUM(C44:C46)</f>
        <v>347822</v>
      </c>
      <c r="D47" s="1640">
        <f t="shared" ref="D47:K47" ca="1" si="4">SUM(D44:D46)</f>
        <v>98681</v>
      </c>
      <c r="E47" s="1640">
        <f t="shared" ca="1" si="4"/>
        <v>321112</v>
      </c>
      <c r="F47" s="1640">
        <f t="shared" ca="1" si="4"/>
        <v>38825</v>
      </c>
      <c r="G47" s="1640">
        <f t="shared" ca="1" si="4"/>
        <v>131535</v>
      </c>
      <c r="H47" s="1640">
        <f t="shared" ca="1" si="4"/>
        <v>0</v>
      </c>
      <c r="I47" s="1640">
        <f t="shared" ca="1" si="4"/>
        <v>0</v>
      </c>
      <c r="J47" s="1640">
        <f t="shared" ca="1" si="4"/>
        <v>0</v>
      </c>
      <c r="K47" s="1640">
        <f t="shared" ca="1" si="4"/>
        <v>937975</v>
      </c>
      <c r="L47" s="1640">
        <f ca="1">SUM(L44:L46)</f>
        <v>1235892</v>
      </c>
    </row>
    <row r="48" spans="1:14" ht="15.75" customHeight="1" thickTop="1" x14ac:dyDescent="0.2">
      <c r="A48" s="600" t="s">
        <v>610</v>
      </c>
      <c r="B48" s="601"/>
      <c r="C48" s="602"/>
      <c r="D48" s="602"/>
      <c r="E48" s="602"/>
      <c r="F48" s="602"/>
      <c r="G48" s="602"/>
      <c r="H48" s="602"/>
      <c r="I48" s="592"/>
      <c r="J48" s="592"/>
      <c r="K48" s="602"/>
      <c r="L48" s="602"/>
    </row>
    <row r="49" spans="1:14" x14ac:dyDescent="0.2">
      <c r="A49" s="1474" t="s">
        <v>817</v>
      </c>
      <c r="B49" s="590">
        <v>2310</v>
      </c>
      <c r="C49" s="466">
        <f ca="1">ROUND(SUMIF(INDIRECT(Formulas!$B$1),"10-"&amp;LEFT($B49,3)&amp;"*-"&amp;MID(C$1,2,1)&amp;"*",INDIRECT(Formulas!$B$3)),0)</f>
        <v>1620</v>
      </c>
      <c r="D49" s="466">
        <f ca="1">ROUND(SUMIF(INDIRECT(Formulas!$B$1),"10-"&amp;LEFT($B49,3)&amp;"*-"&amp;MID(D$1,2,1)&amp;"*",INDIRECT(Formulas!$B$3)),0)</f>
        <v>0</v>
      </c>
      <c r="E49" s="466">
        <f ca="1">ROUND(SUMIF(INDIRECT(Formulas!$B$1),"10-"&amp;LEFT($B49,3)&amp;"*-"&amp;MID(E$1,2,1)&amp;"*",INDIRECT(Formulas!$B$3)),0)</f>
        <v>156296</v>
      </c>
      <c r="F49" s="466">
        <f ca="1">ROUND(SUMIF(INDIRECT(Formulas!$B$1),"10-"&amp;LEFT($B49,3)&amp;"*-"&amp;MID(F$1,2,1)&amp;"*",INDIRECT(Formulas!$B$3)),0)</f>
        <v>550</v>
      </c>
      <c r="G49" s="466">
        <f ca="1">ROUND(SUMIF(INDIRECT(Formulas!$B$1),"10-"&amp;LEFT($B49,3)&amp;"*-"&amp;MID(G$1,2,1)&amp;"*",INDIRECT(Formulas!$B$3)),0)</f>
        <v>0</v>
      </c>
      <c r="H49" s="466">
        <f ca="1">ROUND(SUMIF(INDIRECT(Formulas!$B$1),"10-"&amp;LEFT($B49,3)&amp;"*-"&amp;MID(H$1,2,1)&amp;"*",INDIRECT(Formulas!$B$3)),0)</f>
        <v>13932</v>
      </c>
      <c r="I49" s="466">
        <f ca="1">ROUND(SUMIF(INDIRECT(Formulas!$B$1),"10-"&amp;LEFT($B49,3)&amp;"*-"&amp;MID(I$1,2,1)&amp;"*",INDIRECT(Formulas!$B$3)),0)</f>
        <v>0</v>
      </c>
      <c r="J49" s="466">
        <f ca="1">ROUND(SUMIF(INDIRECT(Formulas!$B$1),"10-"&amp;LEFT($B49,3)&amp;"*-"&amp;MID(J$1,2,1)&amp;"*",INDIRECT(Formulas!$B$3)),0)</f>
        <v>0</v>
      </c>
      <c r="K49" s="1642">
        <f ca="1">SUM(C49:J49)</f>
        <v>172398</v>
      </c>
      <c r="L49" s="466">
        <f ca="1">ROUND(SUMIF(INDIRECT(Formulas!$B$1),"10-"&amp;LEFT($B49,3)&amp;"*",INDIRECT(Formulas!$B$7)),0)</f>
        <v>209420</v>
      </c>
    </row>
    <row r="50" spans="1:14" x14ac:dyDescent="0.2">
      <c r="A50" s="1474" t="s">
        <v>818</v>
      </c>
      <c r="B50" s="590">
        <v>2320</v>
      </c>
      <c r="C50" s="466">
        <f ca="1">ROUND(SUMIF(INDIRECT(Formulas!$B$1),"10-"&amp;LEFT($B50,3)&amp;"*-"&amp;MID(C$1,2,1)&amp;"*",INDIRECT(Formulas!$B$3)),0)</f>
        <v>220275</v>
      </c>
      <c r="D50" s="466">
        <f ca="1">ROUND(SUMIF(INDIRECT(Formulas!$B$1),"10-"&amp;LEFT($B50,3)&amp;"*-"&amp;MID(D$1,2,1)&amp;"*",INDIRECT(Formulas!$B$3)),0)</f>
        <v>58483</v>
      </c>
      <c r="E50" s="466">
        <f ca="1">ROUND(SUMIF(INDIRECT(Formulas!$B$1),"10-"&amp;LEFT($B50,3)&amp;"*-"&amp;MID(E$1,2,1)&amp;"*",INDIRECT(Formulas!$B$3)),0)</f>
        <v>11302</v>
      </c>
      <c r="F50" s="466">
        <f ca="1">ROUND(SUMIF(INDIRECT(Formulas!$B$1),"10-"&amp;LEFT($B50,3)&amp;"*-"&amp;MID(F$1,2,1)&amp;"*",INDIRECT(Formulas!$B$3)),0)</f>
        <v>2302</v>
      </c>
      <c r="G50" s="466">
        <f ca="1">ROUND(SUMIF(INDIRECT(Formulas!$B$1),"10-"&amp;LEFT($B50,3)&amp;"*-"&amp;MID(G$1,2,1)&amp;"*",INDIRECT(Formulas!$B$3)),0)</f>
        <v>0</v>
      </c>
      <c r="H50" s="466">
        <f ca="1">ROUND(SUMIF(INDIRECT(Formulas!$B$1),"10-"&amp;LEFT($B50,3)&amp;"*-"&amp;MID(H$1,2,1)&amp;"*",INDIRECT(Formulas!$B$3)),0)</f>
        <v>0</v>
      </c>
      <c r="I50" s="466">
        <f ca="1">ROUND(SUMIF(INDIRECT(Formulas!$B$1),"10-"&amp;LEFT($B50,3)&amp;"*-"&amp;MID(I$1,2,1)&amp;"*",INDIRECT(Formulas!$B$3)),0)</f>
        <v>0</v>
      </c>
      <c r="J50" s="466">
        <f ca="1">ROUND(SUMIF(INDIRECT(Formulas!$B$1),"10-"&amp;LEFT($B50,3)&amp;"*-"&amp;MID(J$1,2,1)&amp;"*",INDIRECT(Formulas!$B$3)),0)</f>
        <v>0</v>
      </c>
      <c r="K50" s="1642">
        <f ca="1">SUM(C50:J50)</f>
        <v>292362</v>
      </c>
      <c r="L50" s="466">
        <f ca="1">ROUND(SUMIF(INDIRECT(Formulas!$B$1),"10-"&amp;LEFT($B50,3)&amp;"*",INDIRECT(Formulas!$B$7)),0)</f>
        <v>304057</v>
      </c>
    </row>
    <row r="51" spans="1:14" x14ac:dyDescent="0.2">
      <c r="A51" s="1474" t="s">
        <v>42</v>
      </c>
      <c r="B51" s="590">
        <v>2330</v>
      </c>
      <c r="C51" s="466">
        <f ca="1">ROUND(SUMIF(INDIRECT(Formulas!$B$1),"10-"&amp;LEFT($B51,3)&amp;"*-"&amp;MID(C$1,2,1)&amp;"*",INDIRECT(Formulas!$B$3)),0)</f>
        <v>0</v>
      </c>
      <c r="D51" s="466">
        <f ca="1">ROUND(SUMIF(INDIRECT(Formulas!$B$1),"10-"&amp;LEFT($B51,3)&amp;"*-"&amp;MID(D$1,2,1)&amp;"*",INDIRECT(Formulas!$B$3)),0)</f>
        <v>0</v>
      </c>
      <c r="E51" s="466">
        <f ca="1">ROUND(SUMIF(INDIRECT(Formulas!$B$1),"10-"&amp;LEFT($B51,3)&amp;"*-"&amp;MID(E$1,2,1)&amp;"*",INDIRECT(Formulas!$B$3)),0)</f>
        <v>0</v>
      </c>
      <c r="F51" s="466">
        <f ca="1">ROUND(SUMIF(INDIRECT(Formulas!$B$1),"10-"&amp;LEFT($B51,3)&amp;"*-"&amp;MID(F$1,2,1)&amp;"*",INDIRECT(Formulas!$B$3)),0)</f>
        <v>0</v>
      </c>
      <c r="G51" s="466">
        <f ca="1">ROUND(SUMIF(INDIRECT(Formulas!$B$1),"10-"&amp;LEFT($B51,3)&amp;"*-"&amp;MID(G$1,2,1)&amp;"*",INDIRECT(Formulas!$B$3)),0)</f>
        <v>0</v>
      </c>
      <c r="H51" s="466">
        <f ca="1">ROUND(SUMIF(INDIRECT(Formulas!$B$1),"10-"&amp;LEFT($B51,3)&amp;"*-"&amp;MID(H$1,2,1)&amp;"*",INDIRECT(Formulas!$B$3)),0)</f>
        <v>0</v>
      </c>
      <c r="I51" s="466">
        <f ca="1">ROUND(SUMIF(INDIRECT(Formulas!$B$1),"10-"&amp;LEFT($B51,3)&amp;"*-"&amp;MID(I$1,2,1)&amp;"*",INDIRECT(Formulas!$B$3)),0)</f>
        <v>0</v>
      </c>
      <c r="J51" s="466">
        <f ca="1">ROUND(SUMIF(INDIRECT(Formulas!$B$1),"10-"&amp;LEFT($B51,3)&amp;"*-"&amp;MID(J$1,2,1)&amp;"*",INDIRECT(Formulas!$B$3)),0)</f>
        <v>0</v>
      </c>
      <c r="K51" s="1642">
        <f ca="1">SUM(C51:J51)</f>
        <v>0</v>
      </c>
      <c r="L51" s="466">
        <f ca="1">ROUND(SUMIF(INDIRECT(Formulas!$B$1),"10-"&amp;LEFT($B51,3)&amp;"*",INDIRECT(Formulas!$B$7)),0)</f>
        <v>0</v>
      </c>
    </row>
    <row r="52" spans="1:14" ht="22.5" x14ac:dyDescent="0.2">
      <c r="A52" s="1475" t="s">
        <v>298</v>
      </c>
      <c r="B52" s="603" t="s">
        <v>366</v>
      </c>
      <c r="C52" s="466">
        <f ca="1">ROUND(SUMIF(INDIRECT(Formulas!$B$1),"10-"&amp;LEFT($B52,3)&amp;"*-"&amp;MID(C$1,2,1)&amp;"*",INDIRECT(Formulas!$B$3)),0)</f>
        <v>0</v>
      </c>
      <c r="D52" s="466">
        <f ca="1">ROUND(SUMIF(INDIRECT(Formulas!$B$1),"10-"&amp;LEFT($B52,3)&amp;"*-"&amp;MID(D$1,2,1)&amp;"*",INDIRECT(Formulas!$B$3)),0)</f>
        <v>0</v>
      </c>
      <c r="E52" s="466">
        <f ca="1">ROUND(SUMIF(INDIRECT(Formulas!$B$1),"10-"&amp;LEFT($B52,3)&amp;"*-"&amp;MID(E$1,2,1)&amp;"*",INDIRECT(Formulas!$B$3)),0)</f>
        <v>0</v>
      </c>
      <c r="F52" s="466">
        <f ca="1">ROUND(SUMIF(INDIRECT(Formulas!$B$1),"10-"&amp;LEFT($B52,3)&amp;"*-"&amp;MID(F$1,2,1)&amp;"*",INDIRECT(Formulas!$B$3)),0)</f>
        <v>0</v>
      </c>
      <c r="G52" s="466">
        <f ca="1">ROUND(SUMIF(INDIRECT(Formulas!$B$1),"10-"&amp;LEFT($B52,3)&amp;"*-"&amp;MID(G$1,2,1)&amp;"*",INDIRECT(Formulas!$B$3)),0)</f>
        <v>0</v>
      </c>
      <c r="H52" s="466">
        <f ca="1">ROUND(SUMIF(INDIRECT(Formulas!$B$1),"10-"&amp;LEFT($B52,3)&amp;"*-"&amp;MID(H$1,2,1)&amp;"*",INDIRECT(Formulas!$B$3)),0)</f>
        <v>0</v>
      </c>
      <c r="I52" s="466">
        <f ca="1">ROUND(SUMIF(INDIRECT(Formulas!$B$1),"10-"&amp;LEFT($B52,3)&amp;"*-"&amp;MID(I$1,2,1)&amp;"*",INDIRECT(Formulas!$B$3)),0)</f>
        <v>0</v>
      </c>
      <c r="J52" s="466">
        <f ca="1">ROUND(SUMIF(INDIRECT(Formulas!$B$1),"10-"&amp;LEFT($B52,3)&amp;"*-"&amp;MID(J$1,2,1)&amp;"*",INDIRECT(Formulas!$B$3)),0)</f>
        <v>0</v>
      </c>
      <c r="K52" s="1642">
        <f ca="1">SUM(C52:J52)</f>
        <v>0</v>
      </c>
      <c r="L52" s="466">
        <f ca="1">ROUND(SUMIF(INDIRECT(Formulas!$B$1),"10-"&amp;LEFT($B52,3)&amp;"*",INDIRECT(Formulas!$B$7)),0)</f>
        <v>0</v>
      </c>
    </row>
    <row r="53" spans="1:14" ht="12.75" customHeight="1" thickBot="1" x14ac:dyDescent="0.25">
      <c r="A53" s="1638" t="s">
        <v>717</v>
      </c>
      <c r="B53" s="1639" t="s">
        <v>33</v>
      </c>
      <c r="C53" s="1640">
        <f ca="1">SUM(C49:C52)</f>
        <v>221895</v>
      </c>
      <c r="D53" s="1640">
        <f t="shared" ref="D53:L53" ca="1" si="5">SUM(D49:D52)</f>
        <v>58483</v>
      </c>
      <c r="E53" s="1640">
        <f t="shared" ca="1" si="5"/>
        <v>167598</v>
      </c>
      <c r="F53" s="1640">
        <f t="shared" ca="1" si="5"/>
        <v>2852</v>
      </c>
      <c r="G53" s="1640">
        <f t="shared" ca="1" si="5"/>
        <v>0</v>
      </c>
      <c r="H53" s="1640">
        <f t="shared" ca="1" si="5"/>
        <v>13932</v>
      </c>
      <c r="I53" s="1640">
        <f t="shared" ca="1" si="5"/>
        <v>0</v>
      </c>
      <c r="J53" s="1640">
        <f t="shared" ca="1" si="5"/>
        <v>0</v>
      </c>
      <c r="K53" s="1640">
        <f t="shared" ca="1" si="5"/>
        <v>464760</v>
      </c>
      <c r="L53" s="1640">
        <f t="shared" ca="1" si="5"/>
        <v>513477</v>
      </c>
    </row>
    <row r="54" spans="1:14" ht="15.75" customHeight="1" thickTop="1" x14ac:dyDescent="0.2">
      <c r="A54" s="600" t="s">
        <v>611</v>
      </c>
      <c r="B54" s="601"/>
      <c r="C54" s="602"/>
      <c r="D54" s="602"/>
      <c r="E54" s="602"/>
      <c r="F54" s="602"/>
      <c r="G54" s="602"/>
      <c r="H54" s="602"/>
      <c r="I54" s="592"/>
      <c r="J54" s="592"/>
      <c r="K54" s="602"/>
      <c r="L54" s="602"/>
    </row>
    <row r="55" spans="1:14" x14ac:dyDescent="0.2">
      <c r="A55" s="1474" t="s">
        <v>1067</v>
      </c>
      <c r="B55" s="590">
        <v>2410</v>
      </c>
      <c r="C55" s="466">
        <f ca="1">ROUND(SUMIF(INDIRECT(Formulas!$B$1),"10-"&amp;LEFT($B55,3)&amp;"*-"&amp;MID(C$1,2,1)&amp;"*",INDIRECT(Formulas!$B$3)),0)</f>
        <v>677830</v>
      </c>
      <c r="D55" s="466">
        <f ca="1">ROUND(SUMIF(INDIRECT(Formulas!$B$1),"10-"&amp;LEFT($B55,3)&amp;"*-"&amp;MID(D$1,2,1)&amp;"*",INDIRECT(Formulas!$B$3)),0)</f>
        <v>259383</v>
      </c>
      <c r="E55" s="466">
        <f ca="1">ROUND(SUMIF(INDIRECT(Formulas!$B$1),"10-"&amp;LEFT($B55,3)&amp;"*-"&amp;MID(E$1,2,1)&amp;"*",INDIRECT(Formulas!$B$3)),0)</f>
        <v>12849</v>
      </c>
      <c r="F55" s="466">
        <f ca="1">ROUND(SUMIF(INDIRECT(Formulas!$B$1),"10-"&amp;LEFT($B55,3)&amp;"*-"&amp;MID(F$1,2,1)&amp;"*",INDIRECT(Formulas!$B$3)),0)</f>
        <v>2637</v>
      </c>
      <c r="G55" s="466">
        <f ca="1">ROUND(SUMIF(INDIRECT(Formulas!$B$1),"10-"&amp;LEFT($B55,3)&amp;"*-"&amp;MID(G$1,2,1)&amp;"*",INDIRECT(Formulas!$B$3)),0)</f>
        <v>0</v>
      </c>
      <c r="H55" s="466">
        <f ca="1">ROUND(SUMIF(INDIRECT(Formulas!$B$1),"10-"&amp;LEFT($B55,3)&amp;"*-"&amp;MID(H$1,2,1)&amp;"*",INDIRECT(Formulas!$B$3)),0)</f>
        <v>3832</v>
      </c>
      <c r="I55" s="466">
        <f ca="1">ROUND(SUMIF(INDIRECT(Formulas!$B$1),"10-"&amp;LEFT($B55,3)&amp;"*-"&amp;MID(I$1,2,1)&amp;"*",INDIRECT(Formulas!$B$3)),0)</f>
        <v>0</v>
      </c>
      <c r="J55" s="466">
        <f ca="1">ROUND(SUMIF(INDIRECT(Formulas!$B$1),"10-"&amp;LEFT($B55,3)&amp;"*-"&amp;MID(J$1,2,1)&amp;"*",INDIRECT(Formulas!$B$3)),0)</f>
        <v>0</v>
      </c>
      <c r="K55" s="1642">
        <f ca="1">SUM(C55:J55)</f>
        <v>956531</v>
      </c>
      <c r="L55" s="466">
        <f ca="1">ROUND(SUMIF(INDIRECT(Formulas!$B$1),"10-"&amp;LEFT($B55,3)&amp;"*",INDIRECT(Formulas!$B$7)),0)</f>
        <v>966889</v>
      </c>
    </row>
    <row r="56" spans="1:14" ht="12.75" customHeight="1" x14ac:dyDescent="0.2">
      <c r="A56" s="1478" t="s">
        <v>376</v>
      </c>
      <c r="B56" s="604">
        <v>2490</v>
      </c>
      <c r="C56" s="466">
        <f ca="1">ROUND(SUMIF(INDIRECT(Formulas!$B$1),"10-"&amp;LEFT($B56,3)&amp;"*-"&amp;MID(C$1,2,1)&amp;"*",INDIRECT(Formulas!$B$3)),0)</f>
        <v>0</v>
      </c>
      <c r="D56" s="466">
        <f ca="1">ROUND(SUMIF(INDIRECT(Formulas!$B$1),"10-"&amp;LEFT($B56,3)&amp;"*-"&amp;MID(D$1,2,1)&amp;"*",INDIRECT(Formulas!$B$3)),0)</f>
        <v>0</v>
      </c>
      <c r="E56" s="466">
        <f ca="1">ROUND(SUMIF(INDIRECT(Formulas!$B$1),"10-"&amp;LEFT($B56,3)&amp;"*-"&amp;MID(E$1,2,1)&amp;"*",INDIRECT(Formulas!$B$3)),0)</f>
        <v>0</v>
      </c>
      <c r="F56" s="466">
        <f ca="1">ROUND(SUMIF(INDIRECT(Formulas!$B$1),"10-"&amp;LEFT($B56,3)&amp;"*-"&amp;MID(F$1,2,1)&amp;"*",INDIRECT(Formulas!$B$3)),0)</f>
        <v>0</v>
      </c>
      <c r="G56" s="466">
        <f ca="1">ROUND(SUMIF(INDIRECT(Formulas!$B$1),"10-"&amp;LEFT($B56,3)&amp;"*-"&amp;MID(G$1,2,1)&amp;"*",INDIRECT(Formulas!$B$3)),0)</f>
        <v>0</v>
      </c>
      <c r="H56" s="466">
        <f ca="1">ROUND(SUMIF(INDIRECT(Formulas!$B$1),"10-"&amp;LEFT($B56,3)&amp;"*-"&amp;MID(H$1,2,1)&amp;"*",INDIRECT(Formulas!$B$3)),0)</f>
        <v>0</v>
      </c>
      <c r="I56" s="466">
        <f ca="1">ROUND(SUMIF(INDIRECT(Formulas!$B$1),"10-"&amp;LEFT($B56,3)&amp;"*-"&amp;MID(I$1,2,1)&amp;"*",INDIRECT(Formulas!$B$3)),0)</f>
        <v>0</v>
      </c>
      <c r="J56" s="466">
        <f ca="1">ROUND(SUMIF(INDIRECT(Formulas!$B$1),"10-"&amp;LEFT($B56,3)&amp;"*-"&amp;MID(J$1,2,1)&amp;"*",INDIRECT(Formulas!$B$3)),0)</f>
        <v>0</v>
      </c>
      <c r="K56" s="1642">
        <f ca="1">SUM(C56:J56)</f>
        <v>0</v>
      </c>
      <c r="L56" s="466">
        <f ca="1">ROUND(SUMIF(INDIRECT(Formulas!$B$1),"10-"&amp;LEFT($B56,3)&amp;"*",INDIRECT(Formulas!$B$7)),0)</f>
        <v>0</v>
      </c>
    </row>
    <row r="57" spans="1:14" s="343" customFormat="1" ht="12.75" customHeight="1" thickBot="1" x14ac:dyDescent="0.25">
      <c r="A57" s="1638" t="s">
        <v>263</v>
      </c>
      <c r="B57" s="1643" t="s">
        <v>34</v>
      </c>
      <c r="C57" s="1644">
        <f ca="1">SUM(C55:C56)</f>
        <v>677830</v>
      </c>
      <c r="D57" s="1644">
        <f t="shared" ref="D57:K57" ca="1" si="6">SUM(D55:D56)</f>
        <v>259383</v>
      </c>
      <c r="E57" s="1644">
        <f t="shared" ca="1" si="6"/>
        <v>12849</v>
      </c>
      <c r="F57" s="1644">
        <f t="shared" ca="1" si="6"/>
        <v>2637</v>
      </c>
      <c r="G57" s="1644">
        <f t="shared" ca="1" si="6"/>
        <v>0</v>
      </c>
      <c r="H57" s="1644">
        <f t="shared" ca="1" si="6"/>
        <v>3832</v>
      </c>
      <c r="I57" s="1644">
        <f t="shared" ca="1" si="6"/>
        <v>0</v>
      </c>
      <c r="J57" s="1644">
        <f t="shared" ca="1" si="6"/>
        <v>0</v>
      </c>
      <c r="K57" s="1644">
        <f t="shared" ca="1" si="6"/>
        <v>956531</v>
      </c>
      <c r="L57" s="1640">
        <f ca="1">SUM(L55:L56)</f>
        <v>966889</v>
      </c>
      <c r="M57" s="585"/>
      <c r="N57" s="585"/>
    </row>
    <row r="58" spans="1:14" s="343" customFormat="1" ht="15.75" customHeight="1" thickTop="1" x14ac:dyDescent="0.2">
      <c r="A58" s="600" t="s">
        <v>612</v>
      </c>
      <c r="B58" s="601"/>
      <c r="C58" s="605"/>
      <c r="D58" s="602"/>
      <c r="E58" s="602"/>
      <c r="F58" s="602"/>
      <c r="G58" s="602"/>
      <c r="H58" s="602"/>
      <c r="I58" s="592"/>
      <c r="J58" s="592"/>
      <c r="K58" s="602"/>
      <c r="L58" s="602"/>
      <c r="M58" s="585"/>
      <c r="N58" s="585"/>
    </row>
    <row r="59" spans="1:14" s="343" customFormat="1" x14ac:dyDescent="0.2">
      <c r="A59" s="1474" t="s">
        <v>1068</v>
      </c>
      <c r="B59" s="590">
        <v>2510</v>
      </c>
      <c r="C59" s="466">
        <f ca="1">ROUND(SUMIF(INDIRECT(Formulas!$B$1),"10-"&amp;LEFT($B59,3)&amp;"*-"&amp;MID(C$1,2,1)&amp;"*",INDIRECT(Formulas!$B$3)),0)</f>
        <v>0</v>
      </c>
      <c r="D59" s="466">
        <f ca="1">ROUND(SUMIF(INDIRECT(Formulas!$B$1),"10-"&amp;LEFT($B59,3)&amp;"*-"&amp;MID(D$1,2,1)&amp;"*",INDIRECT(Formulas!$B$3)),0)</f>
        <v>0</v>
      </c>
      <c r="E59" s="466">
        <f ca="1">ROUND(SUMIF(INDIRECT(Formulas!$B$1),"10-"&amp;LEFT($B59,3)&amp;"*-"&amp;MID(E$1,2,1)&amp;"*",INDIRECT(Formulas!$B$3)),0)</f>
        <v>0</v>
      </c>
      <c r="F59" s="466">
        <f ca="1">ROUND(SUMIF(INDIRECT(Formulas!$B$1),"10-"&amp;LEFT($B59,3)&amp;"*-"&amp;MID(F$1,2,1)&amp;"*",INDIRECT(Formulas!$B$3)),0)</f>
        <v>0</v>
      </c>
      <c r="G59" s="466">
        <f ca="1">ROUND(SUMIF(INDIRECT(Formulas!$B$1),"10-"&amp;LEFT($B59,3)&amp;"*-"&amp;MID(G$1,2,1)&amp;"*",INDIRECT(Formulas!$B$3)),0)</f>
        <v>0</v>
      </c>
      <c r="H59" s="466">
        <f ca="1">ROUND(SUMIF(INDIRECT(Formulas!$B$1),"10-"&amp;LEFT($B59,3)&amp;"*-"&amp;MID(H$1,2,1)&amp;"*",INDIRECT(Formulas!$B$3)),0)</f>
        <v>0</v>
      </c>
      <c r="I59" s="466">
        <f ca="1">ROUND(SUMIF(INDIRECT(Formulas!$B$1),"10-"&amp;LEFT($B59,3)&amp;"*-"&amp;MID(I$1,2,1)&amp;"*",INDIRECT(Formulas!$B$3)),0)</f>
        <v>0</v>
      </c>
      <c r="J59" s="466">
        <f ca="1">ROUND(SUMIF(INDIRECT(Formulas!$B$1),"10-"&amp;LEFT($B59,3)&amp;"*-"&amp;MID(J$1,2,1)&amp;"*",INDIRECT(Formulas!$B$3)),0)</f>
        <v>0</v>
      </c>
      <c r="K59" s="1642">
        <f t="shared" ref="K59:K64" ca="1" si="7">SUM(C59:J59)</f>
        <v>0</v>
      </c>
      <c r="L59" s="466">
        <f ca="1">ROUND(SUMIF(INDIRECT(Formulas!$B$1),"10-"&amp;LEFT($B59,3)&amp;"*",INDIRECT(Formulas!$B$7)),0)</f>
        <v>0</v>
      </c>
      <c r="M59" s="585"/>
      <c r="N59" s="585"/>
    </row>
    <row r="60" spans="1:14" s="343" customFormat="1" x14ac:dyDescent="0.2">
      <c r="A60" s="1474" t="s">
        <v>463</v>
      </c>
      <c r="B60" s="590">
        <v>2520</v>
      </c>
      <c r="C60" s="466">
        <f ca="1">ROUND(SUMIF(INDIRECT(Formulas!$B$1),"10-"&amp;LEFT($B60,3)&amp;"*-"&amp;MID(C$1,2,1)&amp;"*",INDIRECT(Formulas!$B$3)),0)</f>
        <v>98789</v>
      </c>
      <c r="D60" s="466">
        <f ca="1">ROUND(SUMIF(INDIRECT(Formulas!$B$1),"10-"&amp;LEFT($B60,3)&amp;"*-"&amp;MID(D$1,2,1)&amp;"*",INDIRECT(Formulas!$B$3)),0)</f>
        <v>26731</v>
      </c>
      <c r="E60" s="466">
        <f ca="1">ROUND(SUMIF(INDIRECT(Formulas!$B$1),"10-"&amp;LEFT($B60,3)&amp;"*-"&amp;MID(E$1,2,1)&amp;"*",INDIRECT(Formulas!$B$3)),0)</f>
        <v>13313</v>
      </c>
      <c r="F60" s="466">
        <f ca="1">ROUND(SUMIF(INDIRECT(Formulas!$B$1),"10-"&amp;LEFT($B60,3)&amp;"*-"&amp;MID(F$1,2,1)&amp;"*",INDIRECT(Formulas!$B$3)),0)</f>
        <v>810</v>
      </c>
      <c r="G60" s="466">
        <f ca="1">ROUND(SUMIF(INDIRECT(Formulas!$B$1),"10-"&amp;LEFT($B60,3)&amp;"*-"&amp;MID(G$1,2,1)&amp;"*",INDIRECT(Formulas!$B$3)),0)</f>
        <v>0</v>
      </c>
      <c r="H60" s="466">
        <f ca="1">ROUND(SUMIF(INDIRECT(Formulas!$B$1),"10-"&amp;LEFT($B60,3)&amp;"*-"&amp;MID(H$1,2,1)&amp;"*",INDIRECT(Formulas!$B$3)),0)</f>
        <v>626</v>
      </c>
      <c r="I60" s="466">
        <f ca="1">ROUND(SUMIF(INDIRECT(Formulas!$B$1),"10-"&amp;LEFT($B60,3)&amp;"*-"&amp;MID(I$1,2,1)&amp;"*",INDIRECT(Formulas!$B$3)),0)</f>
        <v>0</v>
      </c>
      <c r="J60" s="466">
        <f ca="1">ROUND(SUMIF(INDIRECT(Formulas!$B$1),"10-"&amp;LEFT($B60,3)&amp;"*-"&amp;MID(J$1,2,1)&amp;"*",INDIRECT(Formulas!$B$3)),0)</f>
        <v>0</v>
      </c>
      <c r="K60" s="1642">
        <f t="shared" ca="1" si="7"/>
        <v>140269</v>
      </c>
      <c r="L60" s="466">
        <f ca="1">ROUND(SUMIF(INDIRECT(Formulas!$B$1),"10-"&amp;LEFT($B60,3)&amp;"*",INDIRECT(Formulas!$B$7)),0)</f>
        <v>147201</v>
      </c>
      <c r="M60" s="585"/>
      <c r="N60" s="585"/>
    </row>
    <row r="61" spans="1:14" s="343" customFormat="1" x14ac:dyDescent="0.2">
      <c r="A61" s="1474" t="s">
        <v>197</v>
      </c>
      <c r="B61" s="590">
        <v>2540</v>
      </c>
      <c r="C61" s="466">
        <f ca="1">ROUND(SUMIF(INDIRECT(Formulas!$B$1),"10-"&amp;LEFT($B61,3)&amp;"*-"&amp;MID(C$1,2,1)&amp;"*",INDIRECT(Formulas!$B$3)),0)</f>
        <v>0</v>
      </c>
      <c r="D61" s="466">
        <f ca="1">ROUND(SUMIF(INDIRECT(Formulas!$B$1),"10-"&amp;LEFT($B61,3)&amp;"*-"&amp;MID(D$1,2,1)&amp;"*",INDIRECT(Formulas!$B$3)),0)</f>
        <v>0</v>
      </c>
      <c r="E61" s="466">
        <f ca="1">ROUND(SUMIF(INDIRECT(Formulas!$B$1),"10-"&amp;LEFT($B61,3)&amp;"*-"&amp;MID(E$1,2,1)&amp;"*",INDIRECT(Formulas!$B$3)),0)</f>
        <v>65868</v>
      </c>
      <c r="F61" s="466">
        <f ca="1">ROUND(SUMIF(INDIRECT(Formulas!$B$1),"10-"&amp;LEFT($B61,3)&amp;"*-"&amp;MID(F$1,2,1)&amp;"*",INDIRECT(Formulas!$B$3)),0)</f>
        <v>227026</v>
      </c>
      <c r="G61" s="466">
        <f ca="1">ROUND(SUMIF(INDIRECT(Formulas!$B$1),"10-"&amp;LEFT($B61,3)&amp;"*-"&amp;MID(G$1,2,1)&amp;"*",INDIRECT(Formulas!$B$3)),0)</f>
        <v>0</v>
      </c>
      <c r="H61" s="466">
        <f ca="1">ROUND(SUMIF(INDIRECT(Formulas!$B$1),"10-"&amp;LEFT($B61,3)&amp;"*-"&amp;MID(H$1,2,1)&amp;"*",INDIRECT(Formulas!$B$3)),0)</f>
        <v>0</v>
      </c>
      <c r="I61" s="466">
        <f ca="1">ROUND(SUMIF(INDIRECT(Formulas!$B$1),"10-"&amp;LEFT($B61,3)&amp;"*-"&amp;MID(I$1,2,1)&amp;"*",INDIRECT(Formulas!$B$3)),0)</f>
        <v>0</v>
      </c>
      <c r="J61" s="466">
        <f ca="1">ROUND(SUMIF(INDIRECT(Formulas!$B$1),"10-"&amp;LEFT($B61,3)&amp;"*-"&amp;MID(J$1,2,1)&amp;"*",INDIRECT(Formulas!$B$3)),0)</f>
        <v>0</v>
      </c>
      <c r="K61" s="1642">
        <f t="shared" ca="1" si="7"/>
        <v>292894</v>
      </c>
      <c r="L61" s="466">
        <f ca="1">ROUND(SUMIF(INDIRECT(Formulas!$B$1),"10-"&amp;LEFT($B61,3)&amp;"*",INDIRECT(Formulas!$B$7)),0)</f>
        <v>321000</v>
      </c>
      <c r="M61" s="585"/>
      <c r="N61" s="585"/>
    </row>
    <row r="62" spans="1:14" s="343" customFormat="1" x14ac:dyDescent="0.2">
      <c r="A62" s="1474" t="s">
        <v>953</v>
      </c>
      <c r="B62" s="590">
        <v>2550</v>
      </c>
      <c r="C62" s="466">
        <f ca="1">ROUND(SUMIF(INDIRECT(Formulas!$B$1),"10-"&amp;LEFT($B62,3)&amp;"*-"&amp;MID(C$1,2,1)&amp;"*",INDIRECT(Formulas!$B$3)),0)</f>
        <v>0</v>
      </c>
      <c r="D62" s="466">
        <f ca="1">ROUND(SUMIF(INDIRECT(Formulas!$B$1),"10-"&amp;LEFT($B62,3)&amp;"*-"&amp;MID(D$1,2,1)&amp;"*",INDIRECT(Formulas!$B$3)),0)</f>
        <v>0</v>
      </c>
      <c r="E62" s="466">
        <f ca="1">ROUND(SUMIF(INDIRECT(Formulas!$B$1),"10-"&amp;LEFT($B62,3)&amp;"*-"&amp;MID(E$1,2,1)&amp;"*",INDIRECT(Formulas!$B$3)),0)</f>
        <v>0</v>
      </c>
      <c r="F62" s="466">
        <f ca="1">ROUND(SUMIF(INDIRECT(Formulas!$B$1),"10-"&amp;LEFT($B62,3)&amp;"*-"&amp;MID(F$1,2,1)&amp;"*",INDIRECT(Formulas!$B$3)),0)</f>
        <v>0</v>
      </c>
      <c r="G62" s="466">
        <f ca="1">ROUND(SUMIF(INDIRECT(Formulas!$B$1),"10-"&amp;LEFT($B62,3)&amp;"*-"&amp;MID(G$1,2,1)&amp;"*",INDIRECT(Formulas!$B$3)),0)</f>
        <v>0</v>
      </c>
      <c r="H62" s="466">
        <f ca="1">ROUND(SUMIF(INDIRECT(Formulas!$B$1),"10-"&amp;LEFT($B62,3)&amp;"*-"&amp;MID(H$1,2,1)&amp;"*",INDIRECT(Formulas!$B$3)),0)</f>
        <v>0</v>
      </c>
      <c r="I62" s="466">
        <f ca="1">ROUND(SUMIF(INDIRECT(Formulas!$B$1),"10-"&amp;LEFT($B62,3)&amp;"*-"&amp;MID(I$1,2,1)&amp;"*",INDIRECT(Formulas!$B$3)),0)</f>
        <v>0</v>
      </c>
      <c r="J62" s="466">
        <f ca="1">ROUND(SUMIF(INDIRECT(Formulas!$B$1),"10-"&amp;LEFT($B62,3)&amp;"*-"&amp;MID(J$1,2,1)&amp;"*",INDIRECT(Formulas!$B$3)),0)</f>
        <v>0</v>
      </c>
      <c r="K62" s="1642">
        <f t="shared" ca="1" si="7"/>
        <v>0</v>
      </c>
      <c r="L62" s="466">
        <f ca="1">ROUND(SUMIF(INDIRECT(Formulas!$B$1),"10-"&amp;LEFT($B62,3)&amp;"*",INDIRECT(Formulas!$B$7)),0)</f>
        <v>0</v>
      </c>
      <c r="M62" s="585"/>
      <c r="N62" s="585"/>
    </row>
    <row r="63" spans="1:14" s="585" customFormat="1" x14ac:dyDescent="0.2">
      <c r="A63" s="1474" t="s">
        <v>100</v>
      </c>
      <c r="B63" s="590">
        <v>2560</v>
      </c>
      <c r="C63" s="466">
        <f ca="1">ROUND(SUMIF(INDIRECT(Formulas!$B$1),"10-"&amp;LEFT($B63,3)&amp;"*-"&amp;MID(C$1,2,1)&amp;"*",INDIRECT(Formulas!$B$3)),0)</f>
        <v>182516</v>
      </c>
      <c r="D63" s="466">
        <f ca="1">ROUND(SUMIF(INDIRECT(Formulas!$B$1),"10-"&amp;LEFT($B63,3)&amp;"*-"&amp;MID(D$1,2,1)&amp;"*",INDIRECT(Formulas!$B$3)),0)</f>
        <v>53436</v>
      </c>
      <c r="E63" s="466">
        <f ca="1">ROUND(SUMIF(INDIRECT(Formulas!$B$1),"10-"&amp;LEFT($B63,3)&amp;"*-"&amp;MID(E$1,2,1)&amp;"*",INDIRECT(Formulas!$B$3)),0)</f>
        <v>6793</v>
      </c>
      <c r="F63" s="466">
        <f ca="1">ROUND(SUMIF(INDIRECT(Formulas!$B$1),"10-"&amp;LEFT($B63,3)&amp;"*-"&amp;MID(F$1,2,1)&amp;"*",INDIRECT(Formulas!$B$3)),0)</f>
        <v>313748</v>
      </c>
      <c r="G63" s="466">
        <f ca="1">ROUND(SUMIF(INDIRECT(Formulas!$B$1),"10-"&amp;LEFT($B63,3)&amp;"*-"&amp;MID(G$1,2,1)&amp;"*",INDIRECT(Formulas!$B$3)),0)</f>
        <v>20798</v>
      </c>
      <c r="H63" s="466">
        <f ca="1">ROUND(SUMIF(INDIRECT(Formulas!$B$1),"10-"&amp;LEFT($B63,3)&amp;"*-"&amp;MID(H$1,2,1)&amp;"*",INDIRECT(Formulas!$B$3)),0)</f>
        <v>0</v>
      </c>
      <c r="I63" s="466">
        <f ca="1">ROUND(SUMIF(INDIRECT(Formulas!$B$1),"10-"&amp;LEFT($B63,3)&amp;"*-"&amp;MID(I$1,2,1)&amp;"*",INDIRECT(Formulas!$B$3)),0)</f>
        <v>0</v>
      </c>
      <c r="J63" s="466">
        <f ca="1">ROUND(SUMIF(INDIRECT(Formulas!$B$1),"10-"&amp;LEFT($B63,3)&amp;"*-"&amp;MID(J$1,2,1)&amp;"*",INDIRECT(Formulas!$B$3)),0)</f>
        <v>0</v>
      </c>
      <c r="K63" s="1642">
        <f t="shared" ca="1" si="7"/>
        <v>577291</v>
      </c>
      <c r="L63" s="466">
        <f ca="1">ROUND(SUMIF(INDIRECT(Formulas!$B$1),"10-"&amp;LEFT($B63,3)&amp;"*",INDIRECT(Formulas!$B$7)),0)</f>
        <v>597926</v>
      </c>
    </row>
    <row r="64" spans="1:14" s="585" customFormat="1" x14ac:dyDescent="0.2">
      <c r="A64" s="1479" t="s">
        <v>101</v>
      </c>
      <c r="B64" s="606">
        <v>2570</v>
      </c>
      <c r="C64" s="466">
        <f ca="1">ROUND(SUMIF(INDIRECT(Formulas!$B$1),"10-"&amp;LEFT($B64,3)&amp;"*-"&amp;MID(C$1,2,1)&amp;"*",INDIRECT(Formulas!$B$3)),0)</f>
        <v>0</v>
      </c>
      <c r="D64" s="466">
        <f ca="1">ROUND(SUMIF(INDIRECT(Formulas!$B$1),"10-"&amp;LEFT($B64,3)&amp;"*-"&amp;MID(D$1,2,1)&amp;"*",INDIRECT(Formulas!$B$3)),0)</f>
        <v>0</v>
      </c>
      <c r="E64" s="466">
        <f ca="1">ROUND(SUMIF(INDIRECT(Formulas!$B$1),"10-"&amp;LEFT($B64,3)&amp;"*-"&amp;MID(E$1,2,1)&amp;"*",INDIRECT(Formulas!$B$3)),0)</f>
        <v>366</v>
      </c>
      <c r="F64" s="466">
        <f ca="1">ROUND(SUMIF(INDIRECT(Formulas!$B$1),"10-"&amp;LEFT($B64,3)&amp;"*-"&amp;MID(F$1,2,1)&amp;"*",INDIRECT(Formulas!$B$3)),0)</f>
        <v>26221</v>
      </c>
      <c r="G64" s="466">
        <f ca="1">ROUND(SUMIF(INDIRECT(Formulas!$B$1),"10-"&amp;LEFT($B64,3)&amp;"*-"&amp;MID(G$1,2,1)&amp;"*",INDIRECT(Formulas!$B$3)),0)</f>
        <v>0</v>
      </c>
      <c r="H64" s="466">
        <f ca="1">ROUND(SUMIF(INDIRECT(Formulas!$B$1),"10-"&amp;LEFT($B64,3)&amp;"*-"&amp;MID(H$1,2,1)&amp;"*",INDIRECT(Formulas!$B$3)),0)</f>
        <v>0</v>
      </c>
      <c r="I64" s="466">
        <f ca="1">ROUND(SUMIF(INDIRECT(Formulas!$B$1),"10-"&amp;LEFT($B64,3)&amp;"*-"&amp;MID(I$1,2,1)&amp;"*",INDIRECT(Formulas!$B$3)),0)</f>
        <v>0</v>
      </c>
      <c r="J64" s="466">
        <f ca="1">ROUND(SUMIF(INDIRECT(Formulas!$B$1),"10-"&amp;LEFT($B64,3)&amp;"*-"&amp;MID(J$1,2,1)&amp;"*",INDIRECT(Formulas!$B$3)),0)</f>
        <v>0</v>
      </c>
      <c r="K64" s="1642">
        <f t="shared" ca="1" si="7"/>
        <v>26587</v>
      </c>
      <c r="L64" s="466">
        <f ca="1">ROUND(SUMIF(INDIRECT(Formulas!$B$1),"10-"&amp;LEFT($B64,3)&amp;"*",INDIRECT(Formulas!$B$7)),0)</f>
        <v>23903</v>
      </c>
    </row>
    <row r="65" spans="1:14" s="343" customFormat="1" ht="12.75" customHeight="1" thickBot="1" x14ac:dyDescent="0.25">
      <c r="A65" s="1638" t="s">
        <v>719</v>
      </c>
      <c r="B65" s="1639" t="s">
        <v>35</v>
      </c>
      <c r="C65" s="1640">
        <f ca="1">SUM(C59:C64)</f>
        <v>281305</v>
      </c>
      <c r="D65" s="1640">
        <f t="shared" ref="D65:L65" ca="1" si="8">SUM(D59:D64)</f>
        <v>80167</v>
      </c>
      <c r="E65" s="1640">
        <f t="shared" ca="1" si="8"/>
        <v>86340</v>
      </c>
      <c r="F65" s="1640">
        <f t="shared" ca="1" si="8"/>
        <v>567805</v>
      </c>
      <c r="G65" s="1640">
        <f t="shared" ca="1" si="8"/>
        <v>20798</v>
      </c>
      <c r="H65" s="1640">
        <f t="shared" ca="1" si="8"/>
        <v>626</v>
      </c>
      <c r="I65" s="1640">
        <f t="shared" ca="1" si="8"/>
        <v>0</v>
      </c>
      <c r="J65" s="1640">
        <f t="shared" ca="1" si="8"/>
        <v>0</v>
      </c>
      <c r="K65" s="1640">
        <f t="shared" ca="1" si="8"/>
        <v>1037041</v>
      </c>
      <c r="L65" s="1640">
        <f t="shared" ca="1" si="8"/>
        <v>1090030</v>
      </c>
      <c r="M65" s="585"/>
      <c r="N65" s="585"/>
    </row>
    <row r="66" spans="1:14" s="343" customFormat="1" ht="15.75" customHeight="1" thickTop="1" x14ac:dyDescent="0.2">
      <c r="A66" s="600" t="s">
        <v>613</v>
      </c>
      <c r="B66" s="607"/>
      <c r="C66" s="592"/>
      <c r="D66" s="592"/>
      <c r="E66" s="592"/>
      <c r="F66" s="592"/>
      <c r="G66" s="592"/>
      <c r="H66" s="592"/>
      <c r="I66" s="592"/>
      <c r="J66" s="592"/>
      <c r="K66" s="602"/>
      <c r="L66" s="602"/>
      <c r="M66" s="585"/>
      <c r="N66" s="585"/>
    </row>
    <row r="67" spans="1:14" s="343" customFormat="1" x14ac:dyDescent="0.2">
      <c r="A67" s="1474" t="s">
        <v>1060</v>
      </c>
      <c r="B67" s="590">
        <v>2610</v>
      </c>
      <c r="C67" s="466">
        <f ca="1">ROUND(SUMIF(INDIRECT(Formulas!$B$1),"10-"&amp;LEFT($B67,3)&amp;"*-"&amp;MID(C$1,2,1)&amp;"*",INDIRECT(Formulas!$B$3)),0)</f>
        <v>0</v>
      </c>
      <c r="D67" s="466">
        <f ca="1">ROUND(SUMIF(INDIRECT(Formulas!$B$1),"10-"&amp;LEFT($B67,3)&amp;"*-"&amp;MID(D$1,2,1)&amp;"*",INDIRECT(Formulas!$B$3)),0)</f>
        <v>0</v>
      </c>
      <c r="E67" s="466">
        <f ca="1">ROUND(SUMIF(INDIRECT(Formulas!$B$1),"10-"&amp;LEFT($B67,3)&amp;"*-"&amp;MID(E$1,2,1)&amp;"*",INDIRECT(Formulas!$B$3)),0)</f>
        <v>0</v>
      </c>
      <c r="F67" s="466">
        <f ca="1">ROUND(SUMIF(INDIRECT(Formulas!$B$1),"10-"&amp;LEFT($B67,3)&amp;"*-"&amp;MID(F$1,2,1)&amp;"*",INDIRECT(Formulas!$B$3)),0)</f>
        <v>0</v>
      </c>
      <c r="G67" s="466">
        <f ca="1">ROUND(SUMIF(INDIRECT(Formulas!$B$1),"10-"&amp;LEFT($B67,3)&amp;"*-"&amp;MID(G$1,2,1)&amp;"*",INDIRECT(Formulas!$B$3)),0)</f>
        <v>0</v>
      </c>
      <c r="H67" s="466">
        <f ca="1">ROUND(SUMIF(INDIRECT(Formulas!$B$1),"10-"&amp;LEFT($B67,3)&amp;"*-"&amp;MID(H$1,2,1)&amp;"*",INDIRECT(Formulas!$B$3)),0)</f>
        <v>0</v>
      </c>
      <c r="I67" s="466">
        <f ca="1">ROUND(SUMIF(INDIRECT(Formulas!$B$1),"10-"&amp;LEFT($B67,3)&amp;"*-"&amp;MID(I$1,2,1)&amp;"*",INDIRECT(Formulas!$B$3)),0)</f>
        <v>0</v>
      </c>
      <c r="J67" s="466">
        <f ca="1">ROUND(SUMIF(INDIRECT(Formulas!$B$1),"10-"&amp;LEFT($B67,3)&amp;"*-"&amp;MID(J$1,2,1)&amp;"*",INDIRECT(Formulas!$B$3)),0)</f>
        <v>0</v>
      </c>
      <c r="K67" s="1642">
        <f ca="1">SUM(C67:J67)</f>
        <v>0</v>
      </c>
      <c r="L67" s="466">
        <f ca="1">ROUND(SUMIF(INDIRECT(Formulas!$B$1),"10-"&amp;LEFT($B67,3)&amp;"*",INDIRECT(Formulas!$B$7)),0)</f>
        <v>0</v>
      </c>
      <c r="M67" s="585"/>
      <c r="N67" s="585"/>
    </row>
    <row r="68" spans="1:14" s="343" customFormat="1" x14ac:dyDescent="0.2">
      <c r="A68" s="1474" t="s">
        <v>607</v>
      </c>
      <c r="B68" s="590">
        <v>2620</v>
      </c>
      <c r="C68" s="466">
        <f ca="1">ROUND(SUMIF(INDIRECT(Formulas!$B$1),"10-"&amp;LEFT($B68,3)&amp;"*-"&amp;MID(C$1,2,1)&amp;"*",INDIRECT(Formulas!$B$3)),0)</f>
        <v>0</v>
      </c>
      <c r="D68" s="466">
        <f ca="1">ROUND(SUMIF(INDIRECT(Formulas!$B$1),"10-"&amp;LEFT($B68,3)&amp;"*-"&amp;MID(D$1,2,1)&amp;"*",INDIRECT(Formulas!$B$3)),0)</f>
        <v>0</v>
      </c>
      <c r="E68" s="466">
        <f ca="1">ROUND(SUMIF(INDIRECT(Formulas!$B$1),"10-"&amp;LEFT($B68,3)&amp;"*-"&amp;MID(E$1,2,1)&amp;"*",INDIRECT(Formulas!$B$3)),0)</f>
        <v>0</v>
      </c>
      <c r="F68" s="466">
        <f ca="1">ROUND(SUMIF(INDIRECT(Formulas!$B$1),"10-"&amp;LEFT($B68,3)&amp;"*-"&amp;MID(F$1,2,1)&amp;"*",INDIRECT(Formulas!$B$3)),0)</f>
        <v>23500</v>
      </c>
      <c r="G68" s="466">
        <f ca="1">ROUND(SUMIF(INDIRECT(Formulas!$B$1),"10-"&amp;LEFT($B68,3)&amp;"*-"&amp;MID(G$1,2,1)&amp;"*",INDIRECT(Formulas!$B$3)),0)</f>
        <v>0</v>
      </c>
      <c r="H68" s="466">
        <f ca="1">ROUND(SUMIF(INDIRECT(Formulas!$B$1),"10-"&amp;LEFT($B68,3)&amp;"*-"&amp;MID(H$1,2,1)&amp;"*",INDIRECT(Formulas!$B$3)),0)</f>
        <v>0</v>
      </c>
      <c r="I68" s="466">
        <f ca="1">ROUND(SUMIF(INDIRECT(Formulas!$B$1),"10-"&amp;LEFT($B68,3)&amp;"*-"&amp;MID(I$1,2,1)&amp;"*",INDIRECT(Formulas!$B$3)),0)</f>
        <v>0</v>
      </c>
      <c r="J68" s="466">
        <f ca="1">ROUND(SUMIF(INDIRECT(Formulas!$B$1),"10-"&amp;LEFT($B68,3)&amp;"*-"&amp;MID(J$1,2,1)&amp;"*",INDIRECT(Formulas!$B$3)),0)</f>
        <v>0</v>
      </c>
      <c r="K68" s="1642">
        <f ca="1">SUM(C68:J68)</f>
        <v>23500</v>
      </c>
      <c r="L68" s="466">
        <f ca="1">ROUND(SUMIF(INDIRECT(Formulas!$B$1),"10-"&amp;LEFT($B68,3)&amp;"*",INDIRECT(Formulas!$B$7)),0)</f>
        <v>24000</v>
      </c>
      <c r="M68" s="585"/>
      <c r="N68" s="585"/>
    </row>
    <row r="69" spans="1:14" s="343" customFormat="1" x14ac:dyDescent="0.2">
      <c r="A69" s="1474" t="s">
        <v>1061</v>
      </c>
      <c r="B69" s="590">
        <v>2630</v>
      </c>
      <c r="C69" s="466">
        <f ca="1">ROUND(SUMIF(INDIRECT(Formulas!$B$1),"10-"&amp;LEFT($B69,3)&amp;"*-"&amp;MID(C$1,2,1)&amp;"*",INDIRECT(Formulas!$B$3)),0)</f>
        <v>0</v>
      </c>
      <c r="D69" s="466">
        <f ca="1">ROUND(SUMIF(INDIRECT(Formulas!$B$1),"10-"&amp;LEFT($B69,3)&amp;"*-"&amp;MID(D$1,2,1)&amp;"*",INDIRECT(Formulas!$B$3)),0)</f>
        <v>0</v>
      </c>
      <c r="E69" s="466">
        <f ca="1">ROUND(SUMIF(INDIRECT(Formulas!$B$1),"10-"&amp;LEFT($B69,3)&amp;"*-"&amp;MID(E$1,2,1)&amp;"*",INDIRECT(Formulas!$B$3)),0)</f>
        <v>7152</v>
      </c>
      <c r="F69" s="466">
        <f ca="1">ROUND(SUMIF(INDIRECT(Formulas!$B$1),"10-"&amp;LEFT($B69,3)&amp;"*-"&amp;MID(F$1,2,1)&amp;"*",INDIRECT(Formulas!$B$3)),0)</f>
        <v>0</v>
      </c>
      <c r="G69" s="466">
        <f ca="1">ROUND(SUMIF(INDIRECT(Formulas!$B$1),"10-"&amp;LEFT($B69,3)&amp;"*-"&amp;MID(G$1,2,1)&amp;"*",INDIRECT(Formulas!$B$3)),0)</f>
        <v>0</v>
      </c>
      <c r="H69" s="466">
        <f ca="1">ROUND(SUMIF(INDIRECT(Formulas!$B$1),"10-"&amp;LEFT($B69,3)&amp;"*-"&amp;MID(H$1,2,1)&amp;"*",INDIRECT(Formulas!$B$3)),0)</f>
        <v>0</v>
      </c>
      <c r="I69" s="466">
        <f ca="1">ROUND(SUMIF(INDIRECT(Formulas!$B$1),"10-"&amp;LEFT($B69,3)&amp;"*-"&amp;MID(I$1,2,1)&amp;"*",INDIRECT(Formulas!$B$3)),0)</f>
        <v>0</v>
      </c>
      <c r="J69" s="466">
        <f ca="1">ROUND(SUMIF(INDIRECT(Formulas!$B$1),"10-"&amp;LEFT($B69,3)&amp;"*-"&amp;MID(J$1,2,1)&amp;"*",INDIRECT(Formulas!$B$3)),0)</f>
        <v>0</v>
      </c>
      <c r="K69" s="1642">
        <f ca="1">SUM(C69:J69)</f>
        <v>7152</v>
      </c>
      <c r="L69" s="466">
        <f ca="1">ROUND(SUMIF(INDIRECT(Formulas!$B$1),"10-"&amp;LEFT($B69,3)&amp;"*",INDIRECT(Formulas!$B$7)),0)</f>
        <v>9500</v>
      </c>
      <c r="M69" s="585"/>
      <c r="N69" s="585"/>
    </row>
    <row r="70" spans="1:14" s="343" customFormat="1" x14ac:dyDescent="0.2">
      <c r="A70" s="1474" t="s">
        <v>403</v>
      </c>
      <c r="B70" s="590">
        <v>2640</v>
      </c>
      <c r="C70" s="466">
        <f ca="1">ROUND(SUMIF(INDIRECT(Formulas!$B$1),"10-"&amp;LEFT($B70,3)&amp;"*-"&amp;MID(C$1,2,1)&amp;"*",INDIRECT(Formulas!$B$3)),0)</f>
        <v>3275</v>
      </c>
      <c r="D70" s="466">
        <f ca="1">ROUND(SUMIF(INDIRECT(Formulas!$B$1),"10-"&amp;LEFT($B70,3)&amp;"*-"&amp;MID(D$1,2,1)&amp;"*",INDIRECT(Formulas!$B$3)),0)</f>
        <v>219</v>
      </c>
      <c r="E70" s="466">
        <f ca="1">ROUND(SUMIF(INDIRECT(Formulas!$B$1),"10-"&amp;LEFT($B70,3)&amp;"*-"&amp;MID(E$1,2,1)&amp;"*",INDIRECT(Formulas!$B$3)),0)</f>
        <v>2870</v>
      </c>
      <c r="F70" s="466">
        <f ca="1">ROUND(SUMIF(INDIRECT(Formulas!$B$1),"10-"&amp;LEFT($B70,3)&amp;"*-"&amp;MID(F$1,2,1)&amp;"*",INDIRECT(Formulas!$B$3)),0)</f>
        <v>0</v>
      </c>
      <c r="G70" s="466">
        <f ca="1">ROUND(SUMIF(INDIRECT(Formulas!$B$1),"10-"&amp;LEFT($B70,3)&amp;"*-"&amp;MID(G$1,2,1)&amp;"*",INDIRECT(Formulas!$B$3)),0)</f>
        <v>0</v>
      </c>
      <c r="H70" s="466">
        <f ca="1">ROUND(SUMIF(INDIRECT(Formulas!$B$1),"10-"&amp;LEFT($B70,3)&amp;"*-"&amp;MID(H$1,2,1)&amp;"*",INDIRECT(Formulas!$B$3)),0)</f>
        <v>0</v>
      </c>
      <c r="I70" s="466">
        <f ca="1">ROUND(SUMIF(INDIRECT(Formulas!$B$1),"10-"&amp;LEFT($B70,3)&amp;"*-"&amp;MID(I$1,2,1)&amp;"*",INDIRECT(Formulas!$B$3)),0)</f>
        <v>0</v>
      </c>
      <c r="J70" s="466">
        <f ca="1">ROUND(SUMIF(INDIRECT(Formulas!$B$1),"10-"&amp;LEFT($B70,3)&amp;"*-"&amp;MID(J$1,2,1)&amp;"*",INDIRECT(Formulas!$B$3)),0)</f>
        <v>0</v>
      </c>
      <c r="K70" s="1642">
        <f ca="1">SUM(C70:J70)</f>
        <v>6364</v>
      </c>
      <c r="L70" s="466">
        <f ca="1">ROUND(SUMIF(INDIRECT(Formulas!$B$1),"10-"&amp;LEFT($B70,3)&amp;"*",INDIRECT(Formulas!$B$7)),0)</f>
        <v>9000</v>
      </c>
      <c r="M70" s="585"/>
      <c r="N70" s="585"/>
    </row>
    <row r="71" spans="1:14" s="343" customFormat="1" x14ac:dyDescent="0.2">
      <c r="A71" s="1474" t="s">
        <v>404</v>
      </c>
      <c r="B71" s="590">
        <v>2660</v>
      </c>
      <c r="C71" s="466">
        <f ca="1">ROUND(SUMIF(INDIRECT(Formulas!$B$1),"10-"&amp;LEFT($B71,3)&amp;"*-"&amp;MID(C$1,2,1)&amp;"*",INDIRECT(Formulas!$B$3)),0)</f>
        <v>0</v>
      </c>
      <c r="D71" s="466">
        <f ca="1">ROUND(SUMIF(INDIRECT(Formulas!$B$1),"10-"&amp;LEFT($B71,3)&amp;"*-"&amp;MID(D$1,2,1)&amp;"*",INDIRECT(Formulas!$B$3)),0)</f>
        <v>0</v>
      </c>
      <c r="E71" s="466">
        <f ca="1">ROUND(SUMIF(INDIRECT(Formulas!$B$1),"10-"&amp;LEFT($B71,3)&amp;"*-"&amp;MID(E$1,2,1)&amp;"*",INDIRECT(Formulas!$B$3)),0)</f>
        <v>0</v>
      </c>
      <c r="F71" s="466">
        <f ca="1">ROUND(SUMIF(INDIRECT(Formulas!$B$1),"10-"&amp;LEFT($B71,3)&amp;"*-"&amp;MID(F$1,2,1)&amp;"*",INDIRECT(Formulas!$B$3)),0)</f>
        <v>0</v>
      </c>
      <c r="G71" s="466">
        <f ca="1">ROUND(SUMIF(INDIRECT(Formulas!$B$1),"10-"&amp;LEFT($B71,3)&amp;"*-"&amp;MID(G$1,2,1)&amp;"*",INDIRECT(Formulas!$B$3)),0)</f>
        <v>0</v>
      </c>
      <c r="H71" s="466">
        <f ca="1">ROUND(SUMIF(INDIRECT(Formulas!$B$1),"10-"&amp;LEFT($B71,3)&amp;"*-"&amp;MID(H$1,2,1)&amp;"*",INDIRECT(Formulas!$B$3)),0)</f>
        <v>0</v>
      </c>
      <c r="I71" s="466">
        <f ca="1">ROUND(SUMIF(INDIRECT(Formulas!$B$1),"10-"&amp;LEFT($B71,3)&amp;"*-"&amp;MID(I$1,2,1)&amp;"*",INDIRECT(Formulas!$B$3)),0)</f>
        <v>0</v>
      </c>
      <c r="J71" s="466">
        <f ca="1">ROUND(SUMIF(INDIRECT(Formulas!$B$1),"10-"&amp;LEFT($B71,3)&amp;"*-"&amp;MID(J$1,2,1)&amp;"*",INDIRECT(Formulas!$B$3)),0)</f>
        <v>0</v>
      </c>
      <c r="K71" s="1642">
        <f ca="1">SUM(C71:J71)</f>
        <v>0</v>
      </c>
      <c r="L71" s="466">
        <f ca="1">ROUND(SUMIF(INDIRECT(Formulas!$B$1),"10-"&amp;LEFT($B71,3)&amp;"*",INDIRECT(Formulas!$B$7)),0)</f>
        <v>0</v>
      </c>
      <c r="M71" s="585"/>
      <c r="N71" s="585"/>
    </row>
    <row r="72" spans="1:14" s="343" customFormat="1" ht="12.75" customHeight="1" thickBot="1" x14ac:dyDescent="0.25">
      <c r="A72" s="1638" t="s">
        <v>37</v>
      </c>
      <c r="B72" s="1645" t="s">
        <v>36</v>
      </c>
      <c r="C72" s="1640">
        <f ca="1">SUM(C67:C71)</f>
        <v>3275</v>
      </c>
      <c r="D72" s="1640">
        <f t="shared" ref="D72:K72" ca="1" si="9">SUM(D67:D71)</f>
        <v>219</v>
      </c>
      <c r="E72" s="1640">
        <f t="shared" ca="1" si="9"/>
        <v>10022</v>
      </c>
      <c r="F72" s="1640">
        <f t="shared" ca="1" si="9"/>
        <v>23500</v>
      </c>
      <c r="G72" s="1640">
        <f t="shared" ca="1" si="9"/>
        <v>0</v>
      </c>
      <c r="H72" s="1640">
        <f t="shared" ca="1" si="9"/>
        <v>0</v>
      </c>
      <c r="I72" s="1640">
        <f t="shared" ca="1" si="9"/>
        <v>0</v>
      </c>
      <c r="J72" s="1640">
        <f t="shared" ca="1" si="9"/>
        <v>0</v>
      </c>
      <c r="K72" s="1640">
        <f t="shared" ca="1" si="9"/>
        <v>37016</v>
      </c>
      <c r="L72" s="1640">
        <f ca="1">SUM(L67:L71)</f>
        <v>42500</v>
      </c>
      <c r="M72" s="585"/>
      <c r="N72" s="585"/>
    </row>
    <row r="73" spans="1:14" s="343" customFormat="1" ht="14.25" thickTop="1" thickBot="1" x14ac:dyDescent="0.25">
      <c r="A73" s="1480" t="s">
        <v>980</v>
      </c>
      <c r="B73" s="608" t="s">
        <v>574</v>
      </c>
      <c r="C73" s="466">
        <f ca="1">ROUND(SUMIF(INDIRECT(Formulas!$B$1),"10-"&amp;LEFT($B73,3)&amp;"*-"&amp;MID(C$1,2,1)&amp;"*",INDIRECT(Formulas!$B$3)),0)</f>
        <v>0</v>
      </c>
      <c r="D73" s="466">
        <f ca="1">ROUND(SUMIF(INDIRECT(Formulas!$B$1),"10-"&amp;LEFT($B73,3)&amp;"*-"&amp;MID(D$1,2,1)&amp;"*",INDIRECT(Formulas!$B$3)),0)</f>
        <v>0</v>
      </c>
      <c r="E73" s="466">
        <f ca="1">ROUND(SUMIF(INDIRECT(Formulas!$B$1),"10-"&amp;LEFT($B73,3)&amp;"*-"&amp;MID(E$1,2,1)&amp;"*",INDIRECT(Formulas!$B$3)),0)</f>
        <v>0</v>
      </c>
      <c r="F73" s="466">
        <f ca="1">ROUND(SUMIF(INDIRECT(Formulas!$B$1),"10-"&amp;LEFT($B73,3)&amp;"*-"&amp;MID(F$1,2,1)&amp;"*",INDIRECT(Formulas!$B$3)),0)</f>
        <v>0</v>
      </c>
      <c r="G73" s="466">
        <f ca="1">ROUND(SUMIF(INDIRECT(Formulas!$B$1),"10-"&amp;LEFT($B73,3)&amp;"*-"&amp;MID(G$1,2,1)&amp;"*",INDIRECT(Formulas!$B$3)),0)</f>
        <v>0</v>
      </c>
      <c r="H73" s="466">
        <f ca="1">ROUND(SUMIF(INDIRECT(Formulas!$B$1),"10-"&amp;LEFT($B73,3)&amp;"*-"&amp;MID(H$1,2,1)&amp;"*",INDIRECT(Formulas!$B$3)),0)</f>
        <v>0</v>
      </c>
      <c r="I73" s="466">
        <f ca="1">ROUND(SUMIF(INDIRECT(Formulas!$B$1),"10-"&amp;LEFT($B73,3)&amp;"*-"&amp;MID(I$1,2,1)&amp;"*",INDIRECT(Formulas!$B$3)),0)</f>
        <v>0</v>
      </c>
      <c r="J73" s="466">
        <f ca="1">ROUND(SUMIF(INDIRECT(Formulas!$B$1),"10-"&amp;LEFT($B73,3)&amp;"*-"&amp;MID(J$1,2,1)&amp;"*",INDIRECT(Formulas!$B$3)),0)</f>
        <v>0</v>
      </c>
      <c r="K73" s="1640">
        <f ca="1">SUM(C73:J73)</f>
        <v>0</v>
      </c>
      <c r="L73" s="466">
        <f ca="1">ROUND(SUMIF(INDIRECT(Formulas!$B$1),"10-"&amp;LEFT($B73,3)&amp;"*",INDIRECT(Formulas!$B$7)),0)</f>
        <v>0</v>
      </c>
      <c r="M73" s="585"/>
      <c r="N73" s="585"/>
    </row>
    <row r="74" spans="1:14" ht="12.75" customHeight="1" thickTop="1" thickBot="1" x14ac:dyDescent="0.25">
      <c r="A74" s="1638" t="s">
        <v>811</v>
      </c>
      <c r="B74" s="1646">
        <v>2000</v>
      </c>
      <c r="C74" s="1647">
        <f ca="1">SUM(C42,C47,C53,C57,C65,C72,C73)</f>
        <v>2675236</v>
      </c>
      <c r="D74" s="1647">
        <f t="shared" ref="D74:K74" ca="1" si="10">SUM(D42,D47,D53,D57,D65,D72,D73)</f>
        <v>832974</v>
      </c>
      <c r="E74" s="1647">
        <f t="shared" ca="1" si="10"/>
        <v>690990</v>
      </c>
      <c r="F74" s="1647">
        <f t="shared" ca="1" si="10"/>
        <v>650750</v>
      </c>
      <c r="G74" s="1647">
        <f t="shared" ca="1" si="10"/>
        <v>152333</v>
      </c>
      <c r="H74" s="1647">
        <f t="shared" ca="1" si="10"/>
        <v>19720</v>
      </c>
      <c r="I74" s="1647">
        <f t="shared" ca="1" si="10"/>
        <v>0</v>
      </c>
      <c r="J74" s="1647">
        <f t="shared" ca="1" si="10"/>
        <v>0</v>
      </c>
      <c r="K74" s="1647">
        <f t="shared" ca="1" si="10"/>
        <v>5022003</v>
      </c>
      <c r="L74" s="1647">
        <f ca="1">SUM(L42,L47,L53,L57,L65,L72,L73)</f>
        <v>5455640</v>
      </c>
    </row>
    <row r="75" spans="1:14" s="259" customFormat="1" ht="15.75" customHeight="1" thickTop="1" thickBot="1" x14ac:dyDescent="0.25">
      <c r="A75" s="1580" t="s">
        <v>47</v>
      </c>
      <c r="B75" s="1581" t="s">
        <v>575</v>
      </c>
      <c r="C75" s="466">
        <f ca="1">ROUND(SUMIF(INDIRECT(Formulas!$B$1),"10-"&amp;LEFT($B75,3)&amp;"*-"&amp;MID(C$1,2,1)&amp;"*",INDIRECT(Formulas!$B$3)),0)</f>
        <v>0</v>
      </c>
      <c r="D75" s="466">
        <f ca="1">ROUND(SUMIF(INDIRECT(Formulas!$B$1),"10-"&amp;LEFT($B75,3)&amp;"*-"&amp;MID(D$1,2,1)&amp;"*",INDIRECT(Formulas!$B$3)),0)</f>
        <v>1562</v>
      </c>
      <c r="E75" s="466">
        <f ca="1">ROUND(SUMIF(INDIRECT(Formulas!$B$1),"10-"&amp;LEFT($B75,3)&amp;"*-"&amp;MID(E$1,2,1)&amp;"*",INDIRECT(Formulas!$B$3)),0)</f>
        <v>0</v>
      </c>
      <c r="F75" s="466">
        <f ca="1">ROUND(SUMIF(INDIRECT(Formulas!$B$1),"10-"&amp;LEFT($B75,3)&amp;"*-"&amp;MID(F$1,2,1)&amp;"*",INDIRECT(Formulas!$B$3)),0)</f>
        <v>1709</v>
      </c>
      <c r="G75" s="466">
        <f ca="1">ROUND(SUMIF(INDIRECT(Formulas!$B$1),"10-"&amp;LEFT($B75,3)&amp;"*-"&amp;MID(G$1,2,1)&amp;"*",INDIRECT(Formulas!$B$3)),0)</f>
        <v>0</v>
      </c>
      <c r="H75" s="466">
        <f ca="1">ROUND(SUMIF(INDIRECT(Formulas!$B$1),"10-"&amp;LEFT($B75,3)&amp;"*-"&amp;MID(H$1,2,1)&amp;"*",INDIRECT(Formulas!$B$3)),0)</f>
        <v>0</v>
      </c>
      <c r="I75" s="466">
        <f ca="1">ROUND(SUMIF(INDIRECT(Formulas!$B$1),"10-"&amp;LEFT($B75,3)&amp;"*-"&amp;MID(I$1,2,1)&amp;"*",INDIRECT(Formulas!$B$3)),0)</f>
        <v>0</v>
      </c>
      <c r="J75" s="466">
        <f ca="1">ROUND(SUMIF(INDIRECT(Formulas!$B$1),"10-"&amp;LEFT($B75,3)&amp;"*-"&amp;MID(J$1,2,1)&amp;"*",INDIRECT(Formulas!$B$3)),0)</f>
        <v>0</v>
      </c>
      <c r="K75" s="1640">
        <f ca="1">SUM(C75:J75)</f>
        <v>3271</v>
      </c>
      <c r="L75" s="466">
        <f ca="1">ROUND(SUMIF(INDIRECT(Formulas!$B$1),"10-"&amp;LEFT($B75,3)&amp;"*",INDIRECT(Formulas!$B$7)),0)</f>
        <v>4054</v>
      </c>
      <c r="M75" s="589"/>
      <c r="N75" s="589"/>
    </row>
    <row r="76" spans="1:14" s="609" customFormat="1" ht="15.75" customHeight="1" thickTop="1" x14ac:dyDescent="0.2">
      <c r="A76" s="1582" t="s">
        <v>365</v>
      </c>
      <c r="B76" s="1579" t="s">
        <v>860</v>
      </c>
      <c r="C76" s="594"/>
      <c r="D76" s="594"/>
      <c r="E76" s="592"/>
      <c r="F76" s="594"/>
      <c r="G76" s="594"/>
      <c r="H76" s="592"/>
      <c r="I76" s="592"/>
      <c r="J76" s="592"/>
      <c r="K76" s="592"/>
      <c r="L76" s="592"/>
      <c r="M76" s="184"/>
      <c r="N76" s="184"/>
    </row>
    <row r="77" spans="1:14" s="259" customFormat="1" ht="15.75" customHeight="1" x14ac:dyDescent="0.2">
      <c r="A77" s="597" t="s">
        <v>614</v>
      </c>
      <c r="B77" s="598"/>
      <c r="C77" s="592"/>
      <c r="D77" s="592"/>
      <c r="E77" s="599"/>
      <c r="F77" s="592"/>
      <c r="G77" s="592"/>
      <c r="H77" s="599"/>
      <c r="I77" s="592"/>
      <c r="J77" s="592"/>
      <c r="K77" s="599"/>
      <c r="L77" s="599"/>
      <c r="M77" s="589"/>
      <c r="N77" s="589"/>
    </row>
    <row r="78" spans="1:14" x14ac:dyDescent="0.2">
      <c r="A78" s="1474" t="s">
        <v>496</v>
      </c>
      <c r="B78" s="590">
        <v>4110</v>
      </c>
      <c r="C78" s="592"/>
      <c r="D78" s="592"/>
      <c r="E78" s="466">
        <f ca="1">ROUND(SUMIF(INDIRECT(Formulas!$B$1),"10-"&amp;LEFT($B78,3)&amp;"*-"&amp;MID(E$1,2,1)&amp;"*",INDIRECT(Formulas!$B$3)),0)</f>
        <v>0</v>
      </c>
      <c r="F78" s="592"/>
      <c r="G78" s="592"/>
      <c r="H78" s="466">
        <f ca="1">ROUND(SUMIF(INDIRECT(Formulas!$B$1),"10-"&amp;LEFT($B78,3)&amp;"*-"&amp;MID(H$1,2,1)&amp;"*",INDIRECT(Formulas!$B$3)),0)</f>
        <v>0</v>
      </c>
      <c r="I78" s="474"/>
      <c r="J78" s="474"/>
      <c r="K78" s="1641">
        <f t="shared" ref="K78:K83" ca="1" si="11">SUM(C78:J78)</f>
        <v>0</v>
      </c>
      <c r="L78" s="466">
        <f ca="1">ROUND(SUMIF(INDIRECT(Formulas!$B$1),"10-"&amp;LEFT($B78,3)&amp;"*",INDIRECT(Formulas!$B$7)),0)</f>
        <v>0</v>
      </c>
    </row>
    <row r="79" spans="1:14" x14ac:dyDescent="0.2">
      <c r="A79" s="1474" t="s">
        <v>304</v>
      </c>
      <c r="B79" s="590">
        <v>4120</v>
      </c>
      <c r="C79" s="592"/>
      <c r="D79" s="592"/>
      <c r="E79" s="466">
        <f ca="1">ROUND(SUMIF(INDIRECT(Formulas!$B$1),"10-"&amp;LEFT($B79,3)&amp;"*-"&amp;MID(E$1,2,1)&amp;"*",INDIRECT(Formulas!$B$3)),0)</f>
        <v>0</v>
      </c>
      <c r="F79" s="592"/>
      <c r="G79" s="592"/>
      <c r="H79" s="466">
        <f ca="1">ROUND(SUMIF(INDIRECT(Formulas!$B$1),"10-"&amp;LEFT($B79,3)&amp;"*-"&amp;MID(H$1,2,1)&amp;"*",INDIRECT(Formulas!$B$3)),0)</f>
        <v>533034</v>
      </c>
      <c r="I79" s="474"/>
      <c r="J79" s="474"/>
      <c r="K79" s="1641">
        <f t="shared" ca="1" si="11"/>
        <v>533034</v>
      </c>
      <c r="L79" s="466">
        <f ca="1">ROUND(SUMIF(INDIRECT(Formulas!$B$1),"10-"&amp;LEFT($B79,3)&amp;"*",INDIRECT(Formulas!$B$7)),0)</f>
        <v>567377</v>
      </c>
    </row>
    <row r="80" spans="1:14" x14ac:dyDescent="0.2">
      <c r="A80" s="1474" t="s">
        <v>305</v>
      </c>
      <c r="B80" s="590">
        <v>4130</v>
      </c>
      <c r="C80" s="592"/>
      <c r="D80" s="592"/>
      <c r="E80" s="466">
        <f ca="1">ROUND(SUMIF(INDIRECT(Formulas!$B$1),"10-"&amp;LEFT($B80,3)&amp;"*-"&amp;MID(E$1,2,1)&amp;"*",INDIRECT(Formulas!$B$3)),0)</f>
        <v>0</v>
      </c>
      <c r="F80" s="592"/>
      <c r="G80" s="592"/>
      <c r="H80" s="466">
        <f ca="1">ROUND(SUMIF(INDIRECT(Formulas!$B$1),"10-"&amp;LEFT($B80,3)&amp;"*-"&amp;MID(H$1,2,1)&amp;"*",INDIRECT(Formulas!$B$3)),0)</f>
        <v>0</v>
      </c>
      <c r="I80" s="474"/>
      <c r="J80" s="474"/>
      <c r="K80" s="1641">
        <f t="shared" ca="1" si="11"/>
        <v>0</v>
      </c>
      <c r="L80" s="466">
        <f ca="1">ROUND(SUMIF(INDIRECT(Formulas!$B$1),"10-"&amp;LEFT($B80,3)&amp;"*",INDIRECT(Formulas!$B$7)),0)</f>
        <v>0</v>
      </c>
    </row>
    <row r="81" spans="1:12" x14ac:dyDescent="0.2">
      <c r="A81" s="1474" t="s">
        <v>697</v>
      </c>
      <c r="B81" s="590">
        <v>4140</v>
      </c>
      <c r="C81" s="592"/>
      <c r="D81" s="592"/>
      <c r="E81" s="466">
        <f ca="1">ROUND(SUMIF(INDIRECT(Formulas!$B$1),"10-"&amp;LEFT($B81,3)&amp;"*-"&amp;MID(E$1,2,1)&amp;"*",INDIRECT(Formulas!$B$3)),0)</f>
        <v>0</v>
      </c>
      <c r="F81" s="592"/>
      <c r="G81" s="592"/>
      <c r="H81" s="466">
        <f ca="1">ROUND(SUMIF(INDIRECT(Formulas!$B$1),"10-"&amp;LEFT($B81,3)&amp;"*-"&amp;MID(H$1,2,1)&amp;"*",INDIRECT(Formulas!$B$3)),0)</f>
        <v>0</v>
      </c>
      <c r="I81" s="474"/>
      <c r="J81" s="474"/>
      <c r="K81" s="1641">
        <f t="shared" ca="1" si="11"/>
        <v>0</v>
      </c>
      <c r="L81" s="466">
        <f ca="1">ROUND(SUMIF(INDIRECT(Formulas!$B$1),"10-"&amp;LEFT($B81,3)&amp;"*",INDIRECT(Formulas!$B$7)),0)</f>
        <v>0</v>
      </c>
    </row>
    <row r="82" spans="1:12" x14ac:dyDescent="0.2">
      <c r="A82" s="1474" t="s">
        <v>86</v>
      </c>
      <c r="B82" s="590">
        <v>4170</v>
      </c>
      <c r="C82" s="592"/>
      <c r="D82" s="592"/>
      <c r="E82" s="466">
        <f ca="1">ROUND(SUMIF(INDIRECT(Formulas!$B$1),"10-"&amp;LEFT($B82,3)&amp;"*-"&amp;MID(E$1,2,1)&amp;"*",INDIRECT(Formulas!$B$3)),0)</f>
        <v>0</v>
      </c>
      <c r="F82" s="592"/>
      <c r="G82" s="592"/>
      <c r="H82" s="466">
        <f ca="1">ROUND(SUMIF(INDIRECT(Formulas!$B$1),"10-"&amp;LEFT($B82,3)&amp;"*-"&amp;MID(H$1,2,1)&amp;"*",INDIRECT(Formulas!$B$3)),0)</f>
        <v>0</v>
      </c>
      <c r="I82" s="474"/>
      <c r="J82" s="474"/>
      <c r="K82" s="1641">
        <f t="shared" ca="1" si="11"/>
        <v>0</v>
      </c>
      <c r="L82" s="466">
        <f ca="1">ROUND(SUMIF(INDIRECT(Formulas!$B$1),"10-"&amp;LEFT($B82,3)&amp;"*",INDIRECT(Formulas!$B$7)),0)</f>
        <v>0</v>
      </c>
    </row>
    <row r="83" spans="1:12" x14ac:dyDescent="0.2">
      <c r="A83" s="1478" t="s">
        <v>698</v>
      </c>
      <c r="B83" s="604">
        <v>4190</v>
      </c>
      <c r="C83" s="592"/>
      <c r="D83" s="592"/>
      <c r="E83" s="466">
        <f ca="1">ROUND(SUMIF(INDIRECT(Formulas!$B$1),"10-"&amp;LEFT($B83,3)&amp;"*-"&amp;MID(E$1,2,1)&amp;"*",INDIRECT(Formulas!$B$3)),0)</f>
        <v>11500</v>
      </c>
      <c r="F83" s="592"/>
      <c r="G83" s="592"/>
      <c r="H83" s="466">
        <f ca="1">ROUND(SUMIF(INDIRECT(Formulas!$B$1),"10-"&amp;LEFT($B83,3)&amp;"*-"&amp;MID(H$1,2,1)&amp;"*",INDIRECT(Formulas!$B$3)),0)</f>
        <v>0</v>
      </c>
      <c r="I83" s="474"/>
      <c r="J83" s="474"/>
      <c r="K83" s="1641">
        <f t="shared" ca="1" si="11"/>
        <v>11500</v>
      </c>
      <c r="L83" s="466">
        <f ca="1">ROUND(SUMIF(INDIRECT(Formulas!$B$1),"10-"&amp;LEFT($B83,3)&amp;"*",INDIRECT(Formulas!$B$7)),0)</f>
        <v>11500</v>
      </c>
    </row>
    <row r="84" spans="1:12" ht="13.5" thickBot="1" x14ac:dyDescent="0.25">
      <c r="A84" s="1638" t="s">
        <v>1485</v>
      </c>
      <c r="B84" s="1648">
        <v>4100</v>
      </c>
      <c r="C84" s="592"/>
      <c r="D84" s="592"/>
      <c r="E84" s="1640">
        <f ca="1">SUM(E78:E83)</f>
        <v>11500</v>
      </c>
      <c r="F84" s="592"/>
      <c r="G84" s="592"/>
      <c r="H84" s="1640">
        <f ca="1">SUM(H78:H83)</f>
        <v>533034</v>
      </c>
      <c r="I84" s="474"/>
      <c r="J84" s="474"/>
      <c r="K84" s="1640">
        <f ca="1">SUM(K78:K83)</f>
        <v>544534</v>
      </c>
      <c r="L84" s="1640">
        <f ca="1">SUM(L78:L83)</f>
        <v>578877</v>
      </c>
    </row>
    <row r="85" spans="1:12" ht="12.75" customHeight="1" thickTop="1" thickBot="1" x14ac:dyDescent="0.25">
      <c r="A85" s="1481" t="s">
        <v>255</v>
      </c>
      <c r="B85" s="610">
        <v>4210</v>
      </c>
      <c r="C85" s="592"/>
      <c r="D85" s="592"/>
      <c r="E85" s="611"/>
      <c r="F85" s="592"/>
      <c r="G85" s="592"/>
      <c r="H85" s="466">
        <f ca="1">ROUND(SUMIF(INDIRECT(Formulas!$B$1),"10-"&amp;LEFT($B85,3)&amp;"*-"&amp;MID(H$1,2,1)&amp;"*",INDIRECT(Formulas!$B$3)),0)</f>
        <v>0</v>
      </c>
      <c r="I85" s="474"/>
      <c r="J85" s="474"/>
      <c r="K85" s="1647">
        <f ca="1">H85</f>
        <v>0</v>
      </c>
      <c r="L85" s="466">
        <f ca="1">ROUND(SUMIF(INDIRECT(Formulas!$B$1),"10-"&amp;LEFT($B85,3)&amp;"*",INDIRECT(Formulas!$B$7)),0)</f>
        <v>0</v>
      </c>
    </row>
    <row r="86" spans="1:12" ht="12.75" customHeight="1" thickTop="1" thickBot="1" x14ac:dyDescent="0.25">
      <c r="A86" s="1482" t="s">
        <v>699</v>
      </c>
      <c r="B86" s="612">
        <v>4220</v>
      </c>
      <c r="C86" s="592"/>
      <c r="D86" s="592"/>
      <c r="E86" s="613"/>
      <c r="F86" s="592"/>
      <c r="G86" s="592"/>
      <c r="H86" s="466">
        <f ca="1">ROUND(SUMIF(INDIRECT(Formulas!$B$1),"10-"&amp;LEFT($B86,3)&amp;"*-"&amp;MID(H$1,2,1)&amp;"*",INDIRECT(Formulas!$B$3)),0)</f>
        <v>0</v>
      </c>
      <c r="I86" s="474"/>
      <c r="J86" s="474"/>
      <c r="K86" s="1647">
        <f t="shared" ref="K86:K98" ca="1" si="12">H86</f>
        <v>0</v>
      </c>
      <c r="L86" s="466">
        <f ca="1">ROUND(SUMIF(INDIRECT(Formulas!$B$1),"10-"&amp;LEFT($B86,3)&amp;"*",INDIRECT(Formulas!$B$7)),0)</f>
        <v>0</v>
      </c>
    </row>
    <row r="87" spans="1:12" ht="14.25" thickTop="1" thickBot="1" x14ac:dyDescent="0.25">
      <c r="A87" s="1483" t="s">
        <v>700</v>
      </c>
      <c r="B87" s="614">
        <v>4230</v>
      </c>
      <c r="C87" s="592"/>
      <c r="D87" s="592"/>
      <c r="E87" s="613"/>
      <c r="F87" s="592"/>
      <c r="G87" s="592"/>
      <c r="H87" s="466">
        <f ca="1">ROUND(SUMIF(INDIRECT(Formulas!$B$1),"10-"&amp;LEFT($B87,3)&amp;"*-"&amp;MID(H$1,2,1)&amp;"*",INDIRECT(Formulas!$B$3)),0)</f>
        <v>0</v>
      </c>
      <c r="I87" s="474"/>
      <c r="J87" s="474"/>
      <c r="K87" s="1647">
        <f t="shared" ca="1" si="12"/>
        <v>0</v>
      </c>
      <c r="L87" s="466">
        <f ca="1">ROUND(SUMIF(INDIRECT(Formulas!$B$1),"10-"&amp;LEFT($B87,3)&amp;"*",INDIRECT(Formulas!$B$7)),0)</f>
        <v>0</v>
      </c>
    </row>
    <row r="88" spans="1:12" ht="12.75" customHeight="1" thickTop="1" thickBot="1" x14ac:dyDescent="0.25">
      <c r="A88" s="1483" t="s">
        <v>765</v>
      </c>
      <c r="B88" s="614">
        <v>4240</v>
      </c>
      <c r="C88" s="592"/>
      <c r="D88" s="592"/>
      <c r="E88" s="613"/>
      <c r="F88" s="592"/>
      <c r="G88" s="592"/>
      <c r="H88" s="466">
        <f ca="1">ROUND(SUMIF(INDIRECT(Formulas!$B$1),"10-"&amp;LEFT($B88,3)&amp;"*-"&amp;MID(H$1,2,1)&amp;"*",INDIRECT(Formulas!$B$3)),0)</f>
        <v>0</v>
      </c>
      <c r="I88" s="474"/>
      <c r="J88" s="474"/>
      <c r="K88" s="1647">
        <f t="shared" ca="1" si="12"/>
        <v>0</v>
      </c>
      <c r="L88" s="466">
        <f ca="1">ROUND(SUMIF(INDIRECT(Formulas!$B$1),"10-"&amp;LEFT($B88,3)&amp;"*",INDIRECT(Formulas!$B$7)),0)</f>
        <v>0</v>
      </c>
    </row>
    <row r="89" spans="1:12" ht="12.75" customHeight="1" thickTop="1" thickBot="1" x14ac:dyDescent="0.25">
      <c r="A89" s="1483" t="s">
        <v>701</v>
      </c>
      <c r="B89" s="614">
        <v>4270</v>
      </c>
      <c r="C89" s="592"/>
      <c r="D89" s="592"/>
      <c r="E89" s="613"/>
      <c r="F89" s="592"/>
      <c r="G89" s="592"/>
      <c r="H89" s="466">
        <f ca="1">ROUND(SUMIF(INDIRECT(Formulas!$B$1),"10-"&amp;LEFT($B89,3)&amp;"*-"&amp;MID(H$1,2,1)&amp;"*",INDIRECT(Formulas!$B$3)),0)</f>
        <v>0</v>
      </c>
      <c r="I89" s="474"/>
      <c r="J89" s="474"/>
      <c r="K89" s="1647">
        <f t="shared" ca="1" si="12"/>
        <v>0</v>
      </c>
      <c r="L89" s="466">
        <f ca="1">ROUND(SUMIF(INDIRECT(Formulas!$B$1),"10-"&amp;LEFT($B89,3)&amp;"*",INDIRECT(Formulas!$B$7)),0)</f>
        <v>0</v>
      </c>
    </row>
    <row r="90" spans="1:12" ht="12.75" customHeight="1" thickTop="1" thickBot="1" x14ac:dyDescent="0.25">
      <c r="A90" s="1483" t="s">
        <v>686</v>
      </c>
      <c r="B90" s="614">
        <v>4280</v>
      </c>
      <c r="C90" s="592"/>
      <c r="D90" s="592"/>
      <c r="E90" s="613"/>
      <c r="F90" s="592"/>
      <c r="G90" s="592"/>
      <c r="H90" s="466">
        <f ca="1">ROUND(SUMIF(INDIRECT(Formulas!$B$1),"10-"&amp;LEFT($B90,3)&amp;"*-"&amp;MID(H$1,2,1)&amp;"*",INDIRECT(Formulas!$B$3)),0)</f>
        <v>0</v>
      </c>
      <c r="I90" s="474"/>
      <c r="J90" s="474"/>
      <c r="K90" s="1647">
        <f t="shared" ca="1" si="12"/>
        <v>0</v>
      </c>
      <c r="L90" s="466">
        <f ca="1">ROUND(SUMIF(INDIRECT(Formulas!$B$1),"10-"&amp;LEFT($B90,3)&amp;"*",INDIRECT(Formulas!$B$7)),0)</f>
        <v>0</v>
      </c>
    </row>
    <row r="91" spans="1:12" ht="12.75" customHeight="1" thickTop="1" thickBot="1" x14ac:dyDescent="0.25">
      <c r="A91" s="1483" t="s">
        <v>687</v>
      </c>
      <c r="B91" s="614">
        <v>4290</v>
      </c>
      <c r="C91" s="592"/>
      <c r="D91" s="592"/>
      <c r="E91" s="613"/>
      <c r="F91" s="592"/>
      <c r="G91" s="592"/>
      <c r="H91" s="466">
        <f ca="1">ROUND(SUMIF(INDIRECT(Formulas!$B$1),"10-"&amp;LEFT($B91,3)&amp;"*-"&amp;MID(H$1,2,1)&amp;"*",INDIRECT(Formulas!$B$3)),0)</f>
        <v>0</v>
      </c>
      <c r="I91" s="474"/>
      <c r="J91" s="474"/>
      <c r="K91" s="1647">
        <f t="shared" ca="1" si="12"/>
        <v>0</v>
      </c>
      <c r="L91" s="466">
        <f ca="1">ROUND(SUMIF(INDIRECT(Formulas!$B$1),"10-"&amp;LEFT($B91,3)&amp;"*",INDIRECT(Formulas!$B$7)),0)</f>
        <v>0</v>
      </c>
    </row>
    <row r="92" spans="1:12" ht="14.25" thickTop="1" thickBot="1" x14ac:dyDescent="0.25">
      <c r="A92" s="1650" t="s">
        <v>1560</v>
      </c>
      <c r="B92" s="1648">
        <v>4200</v>
      </c>
      <c r="C92" s="592"/>
      <c r="D92" s="592"/>
      <c r="E92" s="613"/>
      <c r="F92" s="592"/>
      <c r="G92" s="592"/>
      <c r="H92" s="1640">
        <f ca="1">SUM(H85:H91)</f>
        <v>0</v>
      </c>
      <c r="I92" s="474"/>
      <c r="J92" s="474"/>
      <c r="K92" s="1647">
        <f t="shared" ca="1" si="12"/>
        <v>0</v>
      </c>
      <c r="L92" s="1640">
        <f ca="1">SUM(L85:L91)</f>
        <v>0</v>
      </c>
    </row>
    <row r="93" spans="1:12" ht="14.25" thickTop="1" thickBot="1" x14ac:dyDescent="0.25">
      <c r="A93" s="1482" t="s">
        <v>688</v>
      </c>
      <c r="B93" s="615">
        <v>4310</v>
      </c>
      <c r="C93" s="592"/>
      <c r="D93" s="592"/>
      <c r="E93" s="613"/>
      <c r="F93" s="592"/>
      <c r="G93" s="592"/>
      <c r="H93" s="466">
        <f ca="1">ROUND(SUMIF(INDIRECT(Formulas!$B$1),"10-"&amp;LEFT($B93,3)&amp;"*-"&amp;MID(H$1,2,1)&amp;"*",INDIRECT(Formulas!$B$3)),0)</f>
        <v>0</v>
      </c>
      <c r="I93" s="474"/>
      <c r="J93" s="474"/>
      <c r="K93" s="1647">
        <f t="shared" ca="1" si="12"/>
        <v>0</v>
      </c>
      <c r="L93" s="466">
        <f ca="1">ROUND(SUMIF(INDIRECT(Formulas!$B$1),"10-"&amp;LEFT($B93,3)&amp;"*",INDIRECT(Formulas!$B$7)),0)</f>
        <v>0</v>
      </c>
    </row>
    <row r="94" spans="1:12" ht="12.75" customHeight="1" thickTop="1" thickBot="1" x14ac:dyDescent="0.25">
      <c r="A94" s="1483" t="s">
        <v>689</v>
      </c>
      <c r="B94" s="614">
        <v>4320</v>
      </c>
      <c r="C94" s="592"/>
      <c r="D94" s="592"/>
      <c r="E94" s="613"/>
      <c r="F94" s="592"/>
      <c r="G94" s="592"/>
      <c r="H94" s="466">
        <f ca="1">ROUND(SUMIF(INDIRECT(Formulas!$B$1),"10-"&amp;LEFT($B94,3)&amp;"*-"&amp;MID(H$1,2,1)&amp;"*",INDIRECT(Formulas!$B$3)),0)</f>
        <v>0</v>
      </c>
      <c r="I94" s="474"/>
      <c r="J94" s="474"/>
      <c r="K94" s="1647">
        <f t="shared" ca="1" si="12"/>
        <v>0</v>
      </c>
      <c r="L94" s="466">
        <f ca="1">ROUND(SUMIF(INDIRECT(Formulas!$B$1),"10-"&amp;LEFT($B94,3)&amp;"*",INDIRECT(Formulas!$B$7)),0)</f>
        <v>0</v>
      </c>
    </row>
    <row r="95" spans="1:12" ht="15" customHeight="1" thickTop="1" thickBot="1" x14ac:dyDescent="0.25">
      <c r="A95" s="1483" t="s">
        <v>1488</v>
      </c>
      <c r="B95" s="614">
        <v>4330</v>
      </c>
      <c r="C95" s="592"/>
      <c r="D95" s="592"/>
      <c r="E95" s="613"/>
      <c r="F95" s="592"/>
      <c r="G95" s="592"/>
      <c r="H95" s="466">
        <f ca="1">ROUND(SUMIF(INDIRECT(Formulas!$B$1),"10-"&amp;LEFT($B95,3)&amp;"*-"&amp;MID(H$1,2,1)&amp;"*",INDIRECT(Formulas!$B$3)),0)</f>
        <v>0</v>
      </c>
      <c r="I95" s="474"/>
      <c r="J95" s="474"/>
      <c r="K95" s="1647">
        <f t="shared" ca="1" si="12"/>
        <v>0</v>
      </c>
      <c r="L95" s="466">
        <f ca="1">ROUND(SUMIF(INDIRECT(Formulas!$B$1),"10-"&amp;LEFT($B95,3)&amp;"*",INDIRECT(Formulas!$B$7)),0)</f>
        <v>0</v>
      </c>
    </row>
    <row r="96" spans="1:12" ht="14.25" thickTop="1" thickBot="1" x14ac:dyDescent="0.25">
      <c r="A96" s="1483" t="s">
        <v>690</v>
      </c>
      <c r="B96" s="614">
        <v>4340</v>
      </c>
      <c r="C96" s="592"/>
      <c r="D96" s="592"/>
      <c r="E96" s="613"/>
      <c r="F96" s="592"/>
      <c r="G96" s="592"/>
      <c r="H96" s="466">
        <f ca="1">ROUND(SUMIF(INDIRECT(Formulas!$B$1),"10-"&amp;LEFT($B96,3)&amp;"*-"&amp;MID(H$1,2,1)&amp;"*",INDIRECT(Formulas!$B$3)),0)</f>
        <v>0</v>
      </c>
      <c r="I96" s="474"/>
      <c r="J96" s="474"/>
      <c r="K96" s="1647">
        <f t="shared" ca="1" si="12"/>
        <v>0</v>
      </c>
      <c r="L96" s="466">
        <f ca="1">ROUND(SUMIF(INDIRECT(Formulas!$B$1),"10-"&amp;LEFT($B96,3)&amp;"*",INDIRECT(Formulas!$B$7)),0)</f>
        <v>0</v>
      </c>
    </row>
    <row r="97" spans="1:14" ht="12.75" customHeight="1" thickTop="1" thickBot="1" x14ac:dyDescent="0.25">
      <c r="A97" s="1483" t="s">
        <v>763</v>
      </c>
      <c r="B97" s="614">
        <v>4370</v>
      </c>
      <c r="C97" s="592"/>
      <c r="D97" s="592"/>
      <c r="E97" s="613"/>
      <c r="F97" s="592"/>
      <c r="G97" s="592"/>
      <c r="H97" s="466">
        <f ca="1">ROUND(SUMIF(INDIRECT(Formulas!$B$1),"10-"&amp;LEFT($B97,3)&amp;"*-"&amp;MID(H$1,2,1)&amp;"*",INDIRECT(Formulas!$B$3)),0)</f>
        <v>0</v>
      </c>
      <c r="I97" s="474"/>
      <c r="J97" s="474"/>
      <c r="K97" s="1647">
        <f t="shared" ca="1" si="12"/>
        <v>0</v>
      </c>
      <c r="L97" s="466">
        <f ca="1">ROUND(SUMIF(INDIRECT(Formulas!$B$1),"10-"&amp;LEFT($B97,3)&amp;"*",INDIRECT(Formulas!$B$7)),0)</f>
        <v>0</v>
      </c>
    </row>
    <row r="98" spans="1:14" ht="14.25" thickTop="1" thickBot="1" x14ac:dyDescent="0.25">
      <c r="A98" s="1483" t="s">
        <v>764</v>
      </c>
      <c r="B98" s="614">
        <v>4380</v>
      </c>
      <c r="C98" s="592"/>
      <c r="D98" s="592"/>
      <c r="E98" s="616"/>
      <c r="F98" s="592"/>
      <c r="G98" s="592"/>
      <c r="H98" s="466">
        <f ca="1">ROUND(SUMIF(INDIRECT(Formulas!$B$1),"10-"&amp;LEFT($B98,3)&amp;"*-"&amp;MID(H$1,2,1)&amp;"*",INDIRECT(Formulas!$B$3)),0)</f>
        <v>0</v>
      </c>
      <c r="I98" s="474"/>
      <c r="J98" s="474"/>
      <c r="K98" s="1647">
        <f t="shared" ca="1" si="12"/>
        <v>0</v>
      </c>
      <c r="L98" s="466">
        <f ca="1">ROUND(SUMIF(INDIRECT(Formulas!$B$1),"10-"&amp;LEFT($B98,3)&amp;"*",INDIRECT(Formulas!$B$7)),0)</f>
        <v>0</v>
      </c>
    </row>
    <row r="99" spans="1:14" ht="14.25" thickTop="1" thickBot="1" x14ac:dyDescent="0.25">
      <c r="A99" s="1483" t="s">
        <v>367</v>
      </c>
      <c r="B99" s="614">
        <v>4390</v>
      </c>
      <c r="C99" s="592"/>
      <c r="D99" s="592"/>
      <c r="E99" s="466">
        <f ca="1">ROUND(SUMIF(INDIRECT(Formulas!$B$1),"10-"&amp;LEFT($B99,3)&amp;"*-"&amp;MID(E$1,2,1)&amp;"*",INDIRECT(Formulas!$B$3)),0)</f>
        <v>0</v>
      </c>
      <c r="F99" s="592"/>
      <c r="G99" s="592"/>
      <c r="H99" s="466">
        <f ca="1">ROUND(SUMIF(INDIRECT(Formulas!$B$1),"10-"&amp;LEFT($B99,3)&amp;"*-"&amp;MID(H$1,2,1)&amp;"*",INDIRECT(Formulas!$B$3)),0)</f>
        <v>0</v>
      </c>
      <c r="I99" s="474"/>
      <c r="J99" s="474"/>
      <c r="K99" s="1647">
        <f ca="1">SUM(E99,H99)</f>
        <v>0</v>
      </c>
      <c r="L99" s="466">
        <f ca="1">ROUND(SUMIF(INDIRECT(Formulas!$B$1),"10-"&amp;LEFT($B99,3)&amp;"*",INDIRECT(Formulas!$B$7)),0)</f>
        <v>0</v>
      </c>
    </row>
    <row r="100" spans="1:14" ht="14.25" thickTop="1" thickBot="1" x14ac:dyDescent="0.25">
      <c r="A100" s="1650" t="s">
        <v>1486</v>
      </c>
      <c r="B100" s="1651">
        <v>4300</v>
      </c>
      <c r="C100" s="592"/>
      <c r="D100" s="592"/>
      <c r="E100" s="1647">
        <f ca="1">SUM(E93:E99)</f>
        <v>0</v>
      </c>
      <c r="F100" s="592"/>
      <c r="G100" s="592"/>
      <c r="H100" s="1647">
        <f ca="1">SUM(H93:H99)</f>
        <v>0</v>
      </c>
      <c r="I100" s="474"/>
      <c r="J100" s="474"/>
      <c r="K100" s="1647">
        <f ca="1">SUM(K93:K99)</f>
        <v>0</v>
      </c>
      <c r="L100" s="1647">
        <f ca="1">SUM(L93:L99)</f>
        <v>0</v>
      </c>
    </row>
    <row r="101" spans="1:14" ht="12.75" customHeight="1" thickTop="1" thickBot="1" x14ac:dyDescent="0.25">
      <c r="A101" s="1480" t="s">
        <v>1489</v>
      </c>
      <c r="B101" s="617" t="s">
        <v>931</v>
      </c>
      <c r="C101" s="592"/>
      <c r="D101" s="592"/>
      <c r="E101" s="466">
        <f ca="1">ROUND(SUMIF(INDIRECT(Formulas!$B$1),"10-"&amp;LEFT($B101,3)&amp;"*-"&amp;MID(E$1,2,1)&amp;"*",INDIRECT(Formulas!$B$3)),0)</f>
        <v>0</v>
      </c>
      <c r="F101" s="592"/>
      <c r="G101" s="592"/>
      <c r="H101" s="466">
        <f ca="1">ROUND(SUMIF(INDIRECT(Formulas!$B$1),"10-"&amp;LEFT($B101,3)&amp;"*-"&amp;MID(H$1,2,1)&amp;"*",INDIRECT(Formulas!$B$3)),0)</f>
        <v>0</v>
      </c>
      <c r="I101" s="474"/>
      <c r="J101" s="474"/>
      <c r="K101" s="1649">
        <f ca="1">SUM(C101:J101)</f>
        <v>0</v>
      </c>
      <c r="L101" s="466">
        <f ca="1">ROUND(SUMIF(INDIRECT(Formulas!$B$1),"10-"&amp;LEFT($B101,3)&amp;"*",INDIRECT(Formulas!$B$7)),0)</f>
        <v>0</v>
      </c>
    </row>
    <row r="102" spans="1:14" ht="12.75" customHeight="1" thickTop="1" thickBot="1" x14ac:dyDescent="0.25">
      <c r="A102" s="1638" t="s">
        <v>1487</v>
      </c>
      <c r="B102" s="1648">
        <v>4000</v>
      </c>
      <c r="C102" s="592"/>
      <c r="D102" s="592"/>
      <c r="E102" s="1647">
        <f ca="1">SUM(E84,E92,E100,E101)</f>
        <v>11500</v>
      </c>
      <c r="F102" s="592"/>
      <c r="G102" s="592"/>
      <c r="H102" s="1647">
        <f ca="1">SUM(H84,H92,H100,H101)</f>
        <v>533034</v>
      </c>
      <c r="I102" s="474"/>
      <c r="J102" s="474"/>
      <c r="K102" s="1647">
        <f ca="1">SUM(K84,K92,K100,K101)</f>
        <v>544534</v>
      </c>
      <c r="L102" s="1647">
        <f ca="1">SUM(L84,L92,L100,L101)</f>
        <v>578877</v>
      </c>
    </row>
    <row r="103" spans="1:14" s="609" customFormat="1" ht="15.75" customHeight="1" thickTop="1" x14ac:dyDescent="0.2">
      <c r="A103" s="1582" t="s">
        <v>513</v>
      </c>
      <c r="B103" s="1579" t="s">
        <v>492</v>
      </c>
      <c r="C103" s="592"/>
      <c r="D103" s="592"/>
      <c r="E103" s="592"/>
      <c r="F103" s="592"/>
      <c r="G103" s="592"/>
      <c r="H103" s="594"/>
      <c r="I103" s="468"/>
      <c r="J103" s="468"/>
      <c r="K103" s="594"/>
      <c r="L103" s="594"/>
      <c r="M103" s="184"/>
      <c r="N103" s="184"/>
    </row>
    <row r="104" spans="1:14" s="620" customFormat="1" ht="15.75" customHeight="1" x14ac:dyDescent="0.2">
      <c r="A104" s="618" t="s">
        <v>615</v>
      </c>
      <c r="B104" s="619"/>
      <c r="C104" s="592"/>
      <c r="D104" s="592"/>
      <c r="E104" s="592"/>
      <c r="F104" s="592"/>
      <c r="G104" s="592"/>
      <c r="H104" s="599"/>
      <c r="I104" s="468"/>
      <c r="J104" s="468"/>
      <c r="K104" s="599"/>
      <c r="L104" s="599"/>
      <c r="M104" s="589"/>
      <c r="N104" s="589"/>
    </row>
    <row r="105" spans="1:14" s="573" customFormat="1" x14ac:dyDescent="0.2">
      <c r="A105" s="1474" t="s">
        <v>87</v>
      </c>
      <c r="B105" s="590">
        <v>5110</v>
      </c>
      <c r="C105" s="592"/>
      <c r="D105" s="592"/>
      <c r="E105" s="592"/>
      <c r="F105" s="592"/>
      <c r="G105" s="592"/>
      <c r="H105" s="466">
        <f ca="1">ROUND(SUMIF(INDIRECT(Formulas!$B$1),"10-"&amp;LEFT($B105,3)&amp;"*-"&amp;MID(H$1,2,1)&amp;"*",INDIRECT(Formulas!$B$3)),0)</f>
        <v>0</v>
      </c>
      <c r="I105" s="468"/>
      <c r="J105" s="468"/>
      <c r="K105" s="1641">
        <f ca="1">H105</f>
        <v>0</v>
      </c>
      <c r="L105" s="466">
        <f ca="1">ROUND(SUMIF(INDIRECT(Formulas!$B$1),"10-"&amp;LEFT($B105,3)&amp;"*",INDIRECT(Formulas!$B$7)),0)</f>
        <v>0</v>
      </c>
      <c r="M105" s="210"/>
      <c r="N105" s="210"/>
    </row>
    <row r="106" spans="1:14" s="573" customFormat="1" x14ac:dyDescent="0.2">
      <c r="A106" s="1474" t="s">
        <v>88</v>
      </c>
      <c r="B106" s="590">
        <v>5120</v>
      </c>
      <c r="C106" s="592"/>
      <c r="D106" s="592"/>
      <c r="E106" s="592"/>
      <c r="F106" s="592"/>
      <c r="G106" s="592"/>
      <c r="H106" s="466">
        <f ca="1">ROUND(SUMIF(INDIRECT(Formulas!$B$1),"10-"&amp;LEFT($B106,3)&amp;"*-"&amp;MID(H$1,2,1)&amp;"*",INDIRECT(Formulas!$B$3)),0)</f>
        <v>0</v>
      </c>
      <c r="I106" s="468"/>
      <c r="J106" s="468"/>
      <c r="K106" s="1641">
        <f ca="1">H106</f>
        <v>0</v>
      </c>
      <c r="L106" s="466">
        <f ca="1">ROUND(SUMIF(INDIRECT(Formulas!$B$1),"10-"&amp;LEFT($B106,3)&amp;"*",INDIRECT(Formulas!$B$7)),0)</f>
        <v>0</v>
      </c>
      <c r="M106" s="210"/>
      <c r="N106" s="210"/>
    </row>
    <row r="107" spans="1:14" s="573" customFormat="1" ht="12.75" customHeight="1" x14ac:dyDescent="0.2">
      <c r="A107" s="1474" t="s">
        <v>1170</v>
      </c>
      <c r="B107" s="590">
        <v>5130</v>
      </c>
      <c r="C107" s="592"/>
      <c r="D107" s="592"/>
      <c r="E107" s="592"/>
      <c r="F107" s="592"/>
      <c r="G107" s="592"/>
      <c r="H107" s="466">
        <f ca="1">ROUND(SUMIF(INDIRECT(Formulas!$B$1),"10-"&amp;LEFT($B107,3)&amp;"*-"&amp;MID(H$1,2,1)&amp;"*",INDIRECT(Formulas!$B$3)),0)</f>
        <v>0</v>
      </c>
      <c r="I107" s="468"/>
      <c r="J107" s="468"/>
      <c r="K107" s="1641">
        <f ca="1">H107</f>
        <v>0</v>
      </c>
      <c r="L107" s="466">
        <f ca="1">ROUND(SUMIF(INDIRECT(Formulas!$B$1),"10-"&amp;LEFT($B107,3)&amp;"*",INDIRECT(Formulas!$B$7)),0)</f>
        <v>0</v>
      </c>
      <c r="M107" s="210"/>
      <c r="N107" s="210"/>
    </row>
    <row r="108" spans="1:14" s="573" customFormat="1" x14ac:dyDescent="0.2">
      <c r="A108" s="1474" t="s">
        <v>89</v>
      </c>
      <c r="B108" s="590" t="s">
        <v>589</v>
      </c>
      <c r="C108" s="592"/>
      <c r="D108" s="592"/>
      <c r="E108" s="592"/>
      <c r="F108" s="592"/>
      <c r="G108" s="592"/>
      <c r="H108" s="466">
        <f ca="1">ROUND(SUMIF(INDIRECT(Formulas!$B$1),"10-"&amp;LEFT($B108,3)&amp;"*-"&amp;MID(H$1,2,1)&amp;"*",INDIRECT(Formulas!$B$3)),0)</f>
        <v>0</v>
      </c>
      <c r="I108" s="468"/>
      <c r="J108" s="468"/>
      <c r="K108" s="1641">
        <f ca="1">H108</f>
        <v>0</v>
      </c>
      <c r="L108" s="466">
        <f ca="1">ROUND(SUMIF(INDIRECT(Formulas!$B$1),"10-"&amp;LEFT($B108,3)&amp;"*",INDIRECT(Formulas!$B$7)),0)</f>
        <v>0</v>
      </c>
      <c r="M108" s="210"/>
      <c r="N108" s="210"/>
    </row>
    <row r="109" spans="1:14" s="573" customFormat="1" x14ac:dyDescent="0.2">
      <c r="A109" s="1474" t="s">
        <v>254</v>
      </c>
      <c r="B109" s="604">
        <v>5150</v>
      </c>
      <c r="C109" s="592"/>
      <c r="D109" s="592"/>
      <c r="E109" s="592"/>
      <c r="F109" s="592"/>
      <c r="G109" s="592"/>
      <c r="H109" s="466">
        <f ca="1">ROUND(SUMIF(INDIRECT(Formulas!$B$1),"10-"&amp;LEFT($B109,3)&amp;"*-"&amp;MID(H$1,2,1)&amp;"*",INDIRECT(Formulas!$B$3)),0)</f>
        <v>0</v>
      </c>
      <c r="I109" s="468"/>
      <c r="J109" s="468"/>
      <c r="K109" s="1641">
        <f ca="1">H109</f>
        <v>0</v>
      </c>
      <c r="L109" s="466">
        <f ca="1">ROUND(SUMIF(INDIRECT(Formulas!$B$1),"10-"&amp;LEFT($B109,3)&amp;"*",INDIRECT(Formulas!$B$7)),0)</f>
        <v>0</v>
      </c>
      <c r="M109" s="210"/>
      <c r="N109" s="210"/>
    </row>
    <row r="110" spans="1:14" s="573" customFormat="1" ht="12.75" customHeight="1" thickBot="1" x14ac:dyDescent="0.25">
      <c r="A110" s="1638" t="s">
        <v>1102</v>
      </c>
      <c r="B110" s="1645" t="s">
        <v>718</v>
      </c>
      <c r="C110" s="592"/>
      <c r="D110" s="592"/>
      <c r="E110" s="592"/>
      <c r="F110" s="592"/>
      <c r="G110" s="592"/>
      <c r="H110" s="1640">
        <f ca="1">SUM(H105:H109)</f>
        <v>0</v>
      </c>
      <c r="I110" s="468"/>
      <c r="J110" s="468"/>
      <c r="K110" s="1640">
        <f ca="1">SUM(K105:K109)</f>
        <v>0</v>
      </c>
      <c r="L110" s="1640">
        <f ca="1">SUM(L105:L109)</f>
        <v>0</v>
      </c>
      <c r="M110" s="210"/>
      <c r="N110" s="210"/>
    </row>
    <row r="111" spans="1:14" s="573" customFormat="1" ht="12.75" customHeight="1" thickTop="1" x14ac:dyDescent="0.2">
      <c r="A111" s="1484" t="s">
        <v>368</v>
      </c>
      <c r="B111" s="621" t="s">
        <v>38</v>
      </c>
      <c r="C111" s="592"/>
      <c r="D111" s="592"/>
      <c r="E111" s="592"/>
      <c r="F111" s="592"/>
      <c r="G111" s="592"/>
      <c r="H111" s="466">
        <f ca="1">ROUND(SUMIF(INDIRECT(Formulas!$B$1),"10-"&amp;LEFT($B111,3)&amp;"*-"&amp;MID(H$1,2,1)&amp;"*",INDIRECT(Formulas!$B$3)),0)</f>
        <v>0</v>
      </c>
      <c r="I111" s="468"/>
      <c r="J111" s="468"/>
      <c r="K111" s="1653">
        <f ca="1">H111</f>
        <v>0</v>
      </c>
      <c r="L111" s="466">
        <f ca="1">ROUND(SUMIF(INDIRECT(Formulas!$B$1),"10-"&amp;LEFT($B111,3)&amp;"*",INDIRECT(Formulas!$B$7)),0)</f>
        <v>0</v>
      </c>
      <c r="M111" s="210"/>
      <c r="N111" s="210"/>
    </row>
    <row r="112" spans="1:14" s="573" customFormat="1" ht="12.75" customHeight="1" thickBot="1" x14ac:dyDescent="0.25">
      <c r="A112" s="1638" t="s">
        <v>638</v>
      </c>
      <c r="B112" s="1639" t="s">
        <v>492</v>
      </c>
      <c r="C112" s="592"/>
      <c r="D112" s="592"/>
      <c r="E112" s="592"/>
      <c r="F112" s="592"/>
      <c r="G112" s="592"/>
      <c r="H112" s="1640">
        <f ca="1">SUM(H110:H111)</f>
        <v>0</v>
      </c>
      <c r="I112" s="468"/>
      <c r="J112" s="468"/>
      <c r="K112" s="1640">
        <f ca="1">SUM(K110:K111)</f>
        <v>0</v>
      </c>
      <c r="L112" s="1647">
        <f ca="1">SUM(L110,L111)</f>
        <v>0</v>
      </c>
      <c r="M112" s="210"/>
      <c r="N112" s="210"/>
    </row>
    <row r="113" spans="1:14" s="259" customFormat="1" ht="15.75" customHeight="1" thickTop="1" x14ac:dyDescent="0.2">
      <c r="A113" s="1576" t="s">
        <v>514</v>
      </c>
      <c r="B113" s="1583" t="s">
        <v>861</v>
      </c>
      <c r="C113" s="599"/>
      <c r="D113" s="599"/>
      <c r="E113" s="592"/>
      <c r="F113" s="592"/>
      <c r="G113" s="592"/>
      <c r="H113" s="599"/>
      <c r="I113" s="468"/>
      <c r="J113" s="468"/>
      <c r="K113" s="599"/>
      <c r="L113" s="466">
        <f ca="1">ROUND(SUMIF(INDIRECT(Formulas!$B$1),"10-"&amp;LEFT($B113,3)&amp;"*",INDIRECT(Formulas!$B$7)),0)</f>
        <v>0</v>
      </c>
      <c r="M113" s="589"/>
      <c r="N113" s="589"/>
    </row>
    <row r="114" spans="1:14" ht="12.75" customHeight="1" thickBot="1" x14ac:dyDescent="0.25">
      <c r="A114" s="1638" t="s">
        <v>48</v>
      </c>
      <c r="B114" s="1652"/>
      <c r="C114" s="1640">
        <f ca="1">SUM(C33,C74,C75,C102,C112,C113)</f>
        <v>11258583</v>
      </c>
      <c r="D114" s="1640">
        <f t="shared" ref="D114:K114" ca="1" si="13">SUM(D33,D74,D75,D102,D112,D113)</f>
        <v>3288239</v>
      </c>
      <c r="E114" s="1640">
        <f t="shared" ca="1" si="13"/>
        <v>769331</v>
      </c>
      <c r="F114" s="1640">
        <f t="shared" ca="1" si="13"/>
        <v>892360</v>
      </c>
      <c r="G114" s="1640">
        <f t="shared" ca="1" si="13"/>
        <v>175296</v>
      </c>
      <c r="H114" s="1640">
        <f ca="1">SUM(H33,H74,H75,H102,H112,H113)</f>
        <v>791894</v>
      </c>
      <c r="I114" s="1640">
        <f t="shared" ca="1" si="13"/>
        <v>0</v>
      </c>
      <c r="J114" s="1640">
        <f t="shared" ca="1" si="13"/>
        <v>0</v>
      </c>
      <c r="K114" s="1640">
        <f t="shared" ca="1" si="13"/>
        <v>17175703</v>
      </c>
      <c r="L114" s="1640">
        <f ca="1">SUM(L33,L74,L75,L102,L112,L113)</f>
        <v>18030445</v>
      </c>
    </row>
    <row r="115" spans="1:14" ht="13.5" thickTop="1" x14ac:dyDescent="0.2">
      <c r="A115" s="2207" t="s">
        <v>996</v>
      </c>
      <c r="B115" s="2208"/>
      <c r="C115" s="594"/>
      <c r="D115" s="594"/>
      <c r="E115" s="594"/>
      <c r="F115" s="594"/>
      <c r="G115" s="594"/>
      <c r="H115" s="594"/>
      <c r="I115" s="594"/>
      <c r="J115" s="594"/>
      <c r="K115" s="1654">
        <f ca="1">'Revenues 9-14'!C268-'Expenditures 15-22'!K114</f>
        <v>299342</v>
      </c>
      <c r="L115" s="594"/>
    </row>
    <row r="116" spans="1:14" s="180" customFormat="1" ht="9" customHeight="1" x14ac:dyDescent="0.2">
      <c r="A116" s="622"/>
      <c r="B116" s="623"/>
      <c r="C116" s="624"/>
      <c r="D116" s="624"/>
      <c r="E116" s="624"/>
      <c r="F116" s="624"/>
      <c r="G116" s="624"/>
      <c r="H116" s="624"/>
      <c r="I116" s="624"/>
      <c r="J116" s="624"/>
      <c r="K116" s="624"/>
      <c r="L116" s="624"/>
      <c r="M116" s="210"/>
      <c r="N116" s="210"/>
    </row>
    <row r="117" spans="1:14" s="625" customFormat="1" ht="16.7" customHeight="1" x14ac:dyDescent="0.2">
      <c r="A117" s="2212" t="s">
        <v>296</v>
      </c>
      <c r="B117" s="2213"/>
      <c r="C117" s="1596"/>
      <c r="D117" s="1597"/>
      <c r="E117" s="1597"/>
      <c r="F117" s="1597"/>
      <c r="G117" s="1597"/>
      <c r="H117" s="1597"/>
      <c r="I117" s="1597"/>
      <c r="J117" s="1597"/>
      <c r="K117" s="1597"/>
      <c r="L117" s="1598"/>
      <c r="M117" s="175"/>
      <c r="N117" s="175"/>
    </row>
    <row r="118" spans="1:14" ht="15.75" customHeight="1" x14ac:dyDescent="0.2">
      <c r="A118" s="1584" t="s">
        <v>1035</v>
      </c>
      <c r="B118" s="1585" t="s">
        <v>569</v>
      </c>
      <c r="C118" s="592"/>
      <c r="D118" s="592"/>
      <c r="E118" s="592"/>
      <c r="F118" s="592"/>
      <c r="G118" s="592"/>
      <c r="H118" s="592"/>
      <c r="I118" s="592"/>
      <c r="J118" s="592"/>
      <c r="K118" s="592"/>
      <c r="L118" s="592"/>
    </row>
    <row r="119" spans="1:14" ht="15.75" customHeight="1" x14ac:dyDescent="0.2">
      <c r="A119" s="626" t="s">
        <v>591</v>
      </c>
      <c r="B119" s="598"/>
      <c r="C119" s="599"/>
      <c r="D119" s="599"/>
      <c r="E119" s="599"/>
      <c r="F119" s="592"/>
      <c r="G119" s="592"/>
      <c r="H119" s="599"/>
      <c r="I119" s="592"/>
      <c r="J119" s="592"/>
      <c r="K119" s="599"/>
      <c r="L119" s="599"/>
    </row>
    <row r="120" spans="1:14" ht="12.75" customHeight="1" x14ac:dyDescent="0.2">
      <c r="A120" s="1478" t="s">
        <v>2057</v>
      </c>
      <c r="B120" s="604" t="s">
        <v>716</v>
      </c>
      <c r="C120" s="466">
        <f ca="1">ROUND(SUMIF(INDIRECT(Formulas!$B$1),"20-"&amp;LEFT($B120,3)&amp;"*-"&amp;MID(C$1,2,1)&amp;"*",INDIRECT(Formulas!$B$3)),0)</f>
        <v>0</v>
      </c>
      <c r="D120" s="466">
        <f ca="1">ROUND(SUMIF(INDIRECT(Formulas!$B$1),"20-"&amp;LEFT($B120,3)&amp;"*-"&amp;MID(D$1,2,1)&amp;"*",INDIRECT(Formulas!$B$3)),0)</f>
        <v>0</v>
      </c>
      <c r="E120" s="466">
        <f ca="1">ROUND(SUMIF(INDIRECT(Formulas!$B$1),"20-"&amp;LEFT($B120,3)&amp;"*-"&amp;MID(E$1,2,1)&amp;"*",INDIRECT(Formulas!$B$3)),0)</f>
        <v>0</v>
      </c>
      <c r="F120" s="466">
        <f ca="1">ROUND(SUMIF(INDIRECT(Formulas!$B$1),"20-"&amp;LEFT($B120,3)&amp;"*-"&amp;MID(F$1,2,1)&amp;"*",INDIRECT(Formulas!$B$3)),0)</f>
        <v>0</v>
      </c>
      <c r="G120" s="466">
        <f ca="1">ROUND(SUMIF(INDIRECT(Formulas!$B$1),"20-"&amp;LEFT($B120,3)&amp;"*-"&amp;MID(G$1,2,1)&amp;"*",INDIRECT(Formulas!$B$3)),0)</f>
        <v>0</v>
      </c>
      <c r="H120" s="466">
        <f ca="1">ROUND(SUMIF(INDIRECT(Formulas!$B$1),"20-"&amp;LEFT($B120,3)&amp;"*-"&amp;MID(H$1,2,1)&amp;"*",INDIRECT(Formulas!$B$3)),0)</f>
        <v>0</v>
      </c>
      <c r="I120" s="466">
        <f ca="1">ROUND(SUMIF(INDIRECT(Formulas!$B$1),"20-"&amp;LEFT($B120,3)&amp;"*-"&amp;MID(I$1,2,1)&amp;"*",INDIRECT(Formulas!$B$3)),0)</f>
        <v>0</v>
      </c>
      <c r="J120" s="466">
        <f ca="1">ROUND(SUMIF(INDIRECT(Formulas!$B$1),"20-"&amp;LEFT($B120,3)&amp;"*-"&amp;MID(J$1,2,1)&amp;"*",INDIRECT(Formulas!$B$3)),0)</f>
        <v>0</v>
      </c>
      <c r="K120" s="1641">
        <f ca="1">SUM(C120:J120)</f>
        <v>0</v>
      </c>
      <c r="L120" s="466">
        <f ca="1">ROUND(SUMIF(INDIRECT(Formulas!$B$1),"20-"&amp;LEFT($B120,3)&amp;"*",INDIRECT(Formulas!$B$7)),0)</f>
        <v>0</v>
      </c>
    </row>
    <row r="121" spans="1:14" ht="15.75" customHeight="1" x14ac:dyDescent="0.2">
      <c r="A121" s="627" t="s">
        <v>612</v>
      </c>
      <c r="B121" s="598"/>
      <c r="C121" s="514"/>
      <c r="D121" s="514"/>
      <c r="E121" s="514"/>
      <c r="F121" s="514"/>
      <c r="G121" s="514"/>
      <c r="H121" s="514"/>
      <c r="I121" s="592"/>
      <c r="J121" s="592"/>
      <c r="K121" s="599"/>
      <c r="L121" s="514"/>
    </row>
    <row r="122" spans="1:14" ht="13.5" thickBot="1" x14ac:dyDescent="0.25">
      <c r="A122" s="1474" t="s">
        <v>1068</v>
      </c>
      <c r="B122" s="590">
        <v>2510</v>
      </c>
      <c r="C122" s="466">
        <f ca="1">ROUND(SUMIF(INDIRECT(Formulas!$B$1),"20-"&amp;LEFT($B122,3)&amp;"*-"&amp;MID(C$1,2,1)&amp;"*",INDIRECT(Formulas!$B$3)),0)</f>
        <v>0</v>
      </c>
      <c r="D122" s="466">
        <f ca="1">ROUND(SUMIF(INDIRECT(Formulas!$B$1),"20-"&amp;LEFT($B122,3)&amp;"*-"&amp;MID(D$1,2,1)&amp;"*",INDIRECT(Formulas!$B$3)),0)</f>
        <v>0</v>
      </c>
      <c r="E122" s="466">
        <f ca="1">ROUND(SUMIF(INDIRECT(Formulas!$B$1),"20-"&amp;LEFT($B122,3)&amp;"*-"&amp;MID(E$1,2,1)&amp;"*",INDIRECT(Formulas!$B$3)),0)</f>
        <v>0</v>
      </c>
      <c r="F122" s="466">
        <f ca="1">ROUND(SUMIF(INDIRECT(Formulas!$B$1),"20-"&amp;LEFT($B122,3)&amp;"*-"&amp;MID(F$1,2,1)&amp;"*",INDIRECT(Formulas!$B$3)),0)</f>
        <v>0</v>
      </c>
      <c r="G122" s="466">
        <f ca="1">ROUND(SUMIF(INDIRECT(Formulas!$B$1),"20-"&amp;LEFT($B122,3)&amp;"*-"&amp;MID(G$1,2,1)&amp;"*",INDIRECT(Formulas!$B$3)),0)</f>
        <v>0</v>
      </c>
      <c r="H122" s="466">
        <f ca="1">ROUND(SUMIF(INDIRECT(Formulas!$B$1),"20-"&amp;LEFT($B122,3)&amp;"*-"&amp;MID(H$1,2,1)&amp;"*",INDIRECT(Formulas!$B$3)),0)</f>
        <v>0</v>
      </c>
      <c r="I122" s="466">
        <f ca="1">ROUND(SUMIF(INDIRECT(Formulas!$B$1),"20-"&amp;LEFT($B122,3)&amp;"*-"&amp;MID(I$1,2,1)&amp;"*",INDIRECT(Formulas!$B$3)),0)</f>
        <v>0</v>
      </c>
      <c r="J122" s="466">
        <f ca="1">ROUND(SUMIF(INDIRECT(Formulas!$B$1),"20-"&amp;LEFT($B122,3)&amp;"*-"&amp;MID(J$1,2,1)&amp;"*",INDIRECT(Formulas!$B$3)),0)</f>
        <v>0</v>
      </c>
      <c r="K122" s="1640">
        <f ca="1">SUM(C122:J122)</f>
        <v>0</v>
      </c>
      <c r="L122" s="466">
        <f ca="1">ROUND(SUMIF(INDIRECT(Formulas!$B$1),"20-"&amp;LEFT($B122,3)&amp;"*",INDIRECT(Formulas!$B$7)),0)</f>
        <v>0</v>
      </c>
    </row>
    <row r="123" spans="1:14" ht="14.25" thickTop="1" thickBot="1" x14ac:dyDescent="0.25">
      <c r="A123" s="1474" t="s">
        <v>4</v>
      </c>
      <c r="B123" s="590">
        <v>2530</v>
      </c>
      <c r="C123" s="466">
        <f ca="1">ROUND(SUMIF(INDIRECT(Formulas!$B$1),"20-"&amp;LEFT($B123,3)&amp;"*-"&amp;MID(C$1,2,1)&amp;"*",INDIRECT(Formulas!$B$3)),0)</f>
        <v>0</v>
      </c>
      <c r="D123" s="466">
        <f ca="1">ROUND(SUMIF(INDIRECT(Formulas!$B$1),"20-"&amp;LEFT($B123,3)&amp;"*-"&amp;MID(D$1,2,1)&amp;"*",INDIRECT(Formulas!$B$3)),0)</f>
        <v>0</v>
      </c>
      <c r="E123" s="466">
        <f ca="1">ROUND(SUMIF(INDIRECT(Formulas!$B$1),"20-"&amp;LEFT($B123,3)&amp;"*-"&amp;MID(E$1,2,1)&amp;"*",INDIRECT(Formulas!$B$3)),0)</f>
        <v>0</v>
      </c>
      <c r="F123" s="466">
        <f ca="1">ROUND(SUMIF(INDIRECT(Formulas!$B$1),"20-"&amp;LEFT($B123,3)&amp;"*-"&amp;MID(F$1,2,1)&amp;"*",INDIRECT(Formulas!$B$3)),0)</f>
        <v>0</v>
      </c>
      <c r="G123" s="466">
        <f ca="1">ROUND(SUMIF(INDIRECT(Formulas!$B$1),"20-"&amp;LEFT($B123,3)&amp;"*-"&amp;MID(G$1,2,1)&amp;"*",INDIRECT(Formulas!$B$3)),0)</f>
        <v>0</v>
      </c>
      <c r="H123" s="466">
        <f ca="1">ROUND(SUMIF(INDIRECT(Formulas!$B$1),"20-"&amp;LEFT($B123,3)&amp;"*-"&amp;MID(H$1,2,1)&amp;"*",INDIRECT(Formulas!$B$3)),0)</f>
        <v>0</v>
      </c>
      <c r="I123" s="466">
        <f ca="1">ROUND(SUMIF(INDIRECT(Formulas!$B$1),"20-"&amp;LEFT($B123,3)&amp;"*-"&amp;MID(I$1,2,1)&amp;"*",INDIRECT(Formulas!$B$3)),0)</f>
        <v>0</v>
      </c>
      <c r="J123" s="466">
        <f ca="1">ROUND(SUMIF(INDIRECT(Formulas!$B$1),"20-"&amp;LEFT($B123,3)&amp;"*-"&amp;MID(J$1,2,1)&amp;"*",INDIRECT(Formulas!$B$3)),0)</f>
        <v>0</v>
      </c>
      <c r="K123" s="1640">
        <f ca="1">SUM(C123:J123)</f>
        <v>0</v>
      </c>
      <c r="L123" s="466">
        <f ca="1">ROUND(SUMIF(INDIRECT(Formulas!$B$1),"20-"&amp;LEFT($B123,3)&amp;"*",INDIRECT(Formulas!$B$7)),0)</f>
        <v>0</v>
      </c>
    </row>
    <row r="124" spans="1:14" ht="14.25" thickTop="1" thickBot="1" x14ac:dyDescent="0.25">
      <c r="A124" s="1474" t="s">
        <v>197</v>
      </c>
      <c r="B124" s="590">
        <v>2540</v>
      </c>
      <c r="C124" s="466">
        <f ca="1">ROUND(SUMIF(INDIRECT(Formulas!$B$1),"20-"&amp;LEFT($B124,3)&amp;"*-"&amp;MID(C$1,2,1)&amp;"*",INDIRECT(Formulas!$B$3)),0)</f>
        <v>894032</v>
      </c>
      <c r="D124" s="466">
        <f ca="1">ROUND(SUMIF(INDIRECT(Formulas!$B$1),"20-"&amp;LEFT($B124,3)&amp;"*-"&amp;MID(D$1,2,1)&amp;"*",INDIRECT(Formulas!$B$3)),0)</f>
        <v>178052</v>
      </c>
      <c r="E124" s="466">
        <f ca="1">ROUND(SUMIF(INDIRECT(Formulas!$B$1),"20-"&amp;LEFT($B124,3)&amp;"*-"&amp;MID(E$1,2,1)&amp;"*",INDIRECT(Formulas!$B$3)),0)</f>
        <v>183687</v>
      </c>
      <c r="F124" s="466">
        <f ca="1">ROUND(SUMIF(INDIRECT(Formulas!$B$1),"20-"&amp;LEFT($B124,3)&amp;"*-"&amp;MID(F$1,2,1)&amp;"*",INDIRECT(Formulas!$B$3)),0)</f>
        <v>93435</v>
      </c>
      <c r="G124" s="466">
        <f ca="1">ROUND(SUMIF(INDIRECT(Formulas!$B$1),"20-"&amp;LEFT($B124,3)&amp;"*-"&amp;MID(G$1,2,1)&amp;"*",INDIRECT(Formulas!$B$3)),0)</f>
        <v>735396</v>
      </c>
      <c r="H124" s="466">
        <f ca="1">ROUND(SUMIF(INDIRECT(Formulas!$B$1),"20-"&amp;LEFT($B124,3)&amp;"*-"&amp;MID(H$1,2,1)&amp;"*",INDIRECT(Formulas!$B$3)),0)</f>
        <v>0</v>
      </c>
      <c r="I124" s="466">
        <f ca="1">ROUND(SUMIF(INDIRECT(Formulas!$B$1),"20-"&amp;LEFT($B124,3)&amp;"*-"&amp;MID(I$1,2,1)&amp;"*",INDIRECT(Formulas!$B$3)),0)</f>
        <v>0</v>
      </c>
      <c r="J124" s="466">
        <f ca="1">ROUND(SUMIF(INDIRECT(Formulas!$B$1),"20-"&amp;LEFT($B124,3)&amp;"*-"&amp;MID(J$1,2,1)&amp;"*",INDIRECT(Formulas!$B$3)),0)</f>
        <v>0</v>
      </c>
      <c r="K124" s="1640">
        <f ca="1">SUM(C124:J124)</f>
        <v>2084602</v>
      </c>
      <c r="L124" s="466">
        <f ca="1">ROUND(SUMIF(INDIRECT(Formulas!$B$1),"20-"&amp;LEFT($B124,3)&amp;"*",INDIRECT(Formulas!$B$7)),0)</f>
        <v>2261183</v>
      </c>
    </row>
    <row r="125" spans="1:14" ht="14.25" thickTop="1" thickBot="1" x14ac:dyDescent="0.25">
      <c r="A125" s="1474" t="s">
        <v>953</v>
      </c>
      <c r="B125" s="590">
        <v>2550</v>
      </c>
      <c r="C125" s="466">
        <f ca="1">ROUND(SUMIF(INDIRECT(Formulas!$B$1),"20-"&amp;LEFT($B125,3)&amp;"*-"&amp;MID(C$1,2,1)&amp;"*",INDIRECT(Formulas!$B$3)),0)</f>
        <v>0</v>
      </c>
      <c r="D125" s="466">
        <f ca="1">ROUND(SUMIF(INDIRECT(Formulas!$B$1),"20-"&amp;LEFT($B125,3)&amp;"*-"&amp;MID(D$1,2,1)&amp;"*",INDIRECT(Formulas!$B$3)),0)</f>
        <v>0</v>
      </c>
      <c r="E125" s="466">
        <f ca="1">ROUND(SUMIF(INDIRECT(Formulas!$B$1),"20-"&amp;LEFT($B125,3)&amp;"*-"&amp;MID(E$1,2,1)&amp;"*",INDIRECT(Formulas!$B$3)),0)</f>
        <v>0</v>
      </c>
      <c r="F125" s="466">
        <f ca="1">ROUND(SUMIF(INDIRECT(Formulas!$B$1),"20-"&amp;LEFT($B125,3)&amp;"*-"&amp;MID(F$1,2,1)&amp;"*",INDIRECT(Formulas!$B$3)),0)</f>
        <v>0</v>
      </c>
      <c r="G125" s="466">
        <f ca="1">ROUND(SUMIF(INDIRECT(Formulas!$B$1),"20-"&amp;LEFT($B125,3)&amp;"*-"&amp;MID(G$1,2,1)&amp;"*",INDIRECT(Formulas!$B$3)),0)</f>
        <v>0</v>
      </c>
      <c r="H125" s="466">
        <f ca="1">ROUND(SUMIF(INDIRECT(Formulas!$B$1),"20-"&amp;LEFT($B125,3)&amp;"*-"&amp;MID(H$1,2,1)&amp;"*",INDIRECT(Formulas!$B$3)),0)</f>
        <v>0</v>
      </c>
      <c r="I125" s="466">
        <f ca="1">ROUND(SUMIF(INDIRECT(Formulas!$B$1),"20-"&amp;LEFT($B125,3)&amp;"*-"&amp;MID(I$1,2,1)&amp;"*",INDIRECT(Formulas!$B$3)),0)</f>
        <v>0</v>
      </c>
      <c r="J125" s="466">
        <f ca="1">ROUND(SUMIF(INDIRECT(Formulas!$B$1),"20-"&amp;LEFT($B125,3)&amp;"*-"&amp;MID(J$1,2,1)&amp;"*",INDIRECT(Formulas!$B$3)),0)</f>
        <v>0</v>
      </c>
      <c r="K125" s="1640">
        <f ca="1">SUM(C125:J125)</f>
        <v>0</v>
      </c>
      <c r="L125" s="466">
        <f ca="1">ROUND(SUMIF(INDIRECT(Formulas!$B$1),"20-"&amp;LEFT($B125,3)&amp;"*",INDIRECT(Formulas!$B$7)),0)</f>
        <v>0</v>
      </c>
    </row>
    <row r="126" spans="1:14" ht="14.25" thickTop="1" thickBot="1" x14ac:dyDescent="0.25">
      <c r="A126" s="1474" t="s">
        <v>100</v>
      </c>
      <c r="B126" s="590">
        <v>2560</v>
      </c>
      <c r="C126" s="628"/>
      <c r="D126" s="628"/>
      <c r="E126" s="628"/>
      <c r="F126" s="628"/>
      <c r="G126" s="466">
        <f ca="1">ROUND(SUMIF(INDIRECT(Formulas!$B$1),"20-"&amp;LEFT($B126,3)&amp;"*-"&amp;MID(G$1,2,1)&amp;"*",INDIRECT(Formulas!$B$3)),0)</f>
        <v>0</v>
      </c>
      <c r="H126" s="628"/>
      <c r="I126" s="466">
        <f ca="1">ROUND(SUMIF(INDIRECT(Formulas!$B$1),"20-"&amp;LEFT($B126,3)&amp;"*-"&amp;MID(I$1,2,1)&amp;"*",INDIRECT(Formulas!$B$3)),0)</f>
        <v>0</v>
      </c>
      <c r="J126" s="592"/>
      <c r="K126" s="1640">
        <f ca="1">SUM(C126:J126)</f>
        <v>0</v>
      </c>
      <c r="L126" s="466">
        <f ca="1">ROUND(SUMIF(INDIRECT(Formulas!$B$1),"20-"&amp;LEFT($B126,3)&amp;"*",INDIRECT(Formulas!$B$7)),0)</f>
        <v>0</v>
      </c>
    </row>
    <row r="127" spans="1:14" ht="12.75" customHeight="1" thickTop="1" thickBot="1" x14ac:dyDescent="0.25">
      <c r="A127" s="1638" t="s">
        <v>719</v>
      </c>
      <c r="B127" s="1639" t="s">
        <v>35</v>
      </c>
      <c r="C127" s="1640">
        <f ca="1">SUM(C122:C126)</f>
        <v>894032</v>
      </c>
      <c r="D127" s="1640">
        <f t="shared" ref="D127:L127" ca="1" si="14">SUM(D122:D126)</f>
        <v>178052</v>
      </c>
      <c r="E127" s="1640">
        <f t="shared" ca="1" si="14"/>
        <v>183687</v>
      </c>
      <c r="F127" s="1640">
        <f t="shared" ca="1" si="14"/>
        <v>93435</v>
      </c>
      <c r="G127" s="1640">
        <f t="shared" ca="1" si="14"/>
        <v>735396</v>
      </c>
      <c r="H127" s="1640">
        <f t="shared" ca="1" si="14"/>
        <v>0</v>
      </c>
      <c r="I127" s="1640">
        <f t="shared" ca="1" si="14"/>
        <v>0</v>
      </c>
      <c r="J127" s="1640">
        <f t="shared" ca="1" si="14"/>
        <v>0</v>
      </c>
      <c r="K127" s="1640">
        <f t="shared" ca="1" si="14"/>
        <v>2084602</v>
      </c>
      <c r="L127" s="1640">
        <f t="shared" ca="1" si="14"/>
        <v>2261183</v>
      </c>
    </row>
    <row r="128" spans="1:14" ht="12.75" customHeight="1" thickTop="1" x14ac:dyDescent="0.2">
      <c r="A128" s="1481" t="s">
        <v>980</v>
      </c>
      <c r="B128" s="629" t="s">
        <v>574</v>
      </c>
      <c r="C128" s="466">
        <f ca="1">ROUND(SUMIF(INDIRECT(Formulas!$B$1),"20-"&amp;LEFT($B128,3)&amp;"*-"&amp;MID(C$1,2,1)&amp;"*",INDIRECT(Formulas!$B$3)),0)</f>
        <v>0</v>
      </c>
      <c r="D128" s="466">
        <f ca="1">ROUND(SUMIF(INDIRECT(Formulas!$B$1),"20-"&amp;LEFT($B128,3)&amp;"*-"&amp;MID(D$1,2,1)&amp;"*",INDIRECT(Formulas!$B$3)),0)</f>
        <v>0</v>
      </c>
      <c r="E128" s="466">
        <f ca="1">ROUND(SUMIF(INDIRECT(Formulas!$B$1),"20-"&amp;LEFT($B128,3)&amp;"*-"&amp;MID(E$1,2,1)&amp;"*",INDIRECT(Formulas!$B$3)),0)</f>
        <v>0</v>
      </c>
      <c r="F128" s="466">
        <f ca="1">ROUND(SUMIF(INDIRECT(Formulas!$B$1),"20-"&amp;LEFT($B128,3)&amp;"*-"&amp;MID(F$1,2,1)&amp;"*",INDIRECT(Formulas!$B$3)),0)</f>
        <v>0</v>
      </c>
      <c r="G128" s="466">
        <f ca="1">ROUND(SUMIF(INDIRECT(Formulas!$B$1),"20-"&amp;LEFT($B128,3)&amp;"*-"&amp;MID(G$1,2,1)&amp;"*",INDIRECT(Formulas!$B$3)),0)</f>
        <v>0</v>
      </c>
      <c r="H128" s="466">
        <f ca="1">ROUND(SUMIF(INDIRECT(Formulas!$B$1),"20-"&amp;LEFT($B128,3)&amp;"*-"&amp;MID(H$1,2,1)&amp;"*",INDIRECT(Formulas!$B$3)),0)</f>
        <v>0</v>
      </c>
      <c r="I128" s="466">
        <f ca="1">ROUND(SUMIF(INDIRECT(Formulas!$B$1),"20-"&amp;LEFT($B128,3)&amp;"*-"&amp;MID(I$1,2,1)&amp;"*",INDIRECT(Formulas!$B$3)),0)</f>
        <v>0</v>
      </c>
      <c r="J128" s="466">
        <f ca="1">ROUND(SUMIF(INDIRECT(Formulas!$B$1),"20-"&amp;LEFT($B128,3)&amp;"*-"&amp;MID(J$1,2,1)&amp;"*",INDIRECT(Formulas!$B$3)),0)</f>
        <v>0</v>
      </c>
      <c r="K128" s="1655">
        <f ca="1">SUM(C128:J128)</f>
        <v>0</v>
      </c>
      <c r="L128" s="466">
        <f ca="1">ROUND(SUMIF(INDIRECT(Formulas!$B$1),"20-"&amp;LEFT($B128,3)&amp;"*",INDIRECT(Formulas!$B$7)),0)</f>
        <v>0</v>
      </c>
    </row>
    <row r="129" spans="1:14" ht="12.75" customHeight="1" thickBot="1" x14ac:dyDescent="0.25">
      <c r="A129" s="1656" t="s">
        <v>811</v>
      </c>
      <c r="B129" s="1657" t="s">
        <v>569</v>
      </c>
      <c r="C129" s="1647">
        <f ca="1">SUM(C120,C127,C128)</f>
        <v>894032</v>
      </c>
      <c r="D129" s="1647">
        <f t="shared" ref="D129:L129" ca="1" si="15">SUM(D120,D127,D128)</f>
        <v>178052</v>
      </c>
      <c r="E129" s="1647">
        <f t="shared" ca="1" si="15"/>
        <v>183687</v>
      </c>
      <c r="F129" s="1647">
        <f t="shared" ca="1" si="15"/>
        <v>93435</v>
      </c>
      <c r="G129" s="1647">
        <f t="shared" ca="1" si="15"/>
        <v>735396</v>
      </c>
      <c r="H129" s="1647">
        <f t="shared" ca="1" si="15"/>
        <v>0</v>
      </c>
      <c r="I129" s="1647">
        <f t="shared" ca="1" si="15"/>
        <v>0</v>
      </c>
      <c r="J129" s="1647">
        <f t="shared" ca="1" si="15"/>
        <v>0</v>
      </c>
      <c r="K129" s="1647">
        <f t="shared" ca="1" si="15"/>
        <v>2084602</v>
      </c>
      <c r="L129" s="1647">
        <f t="shared" ca="1" si="15"/>
        <v>2261183</v>
      </c>
    </row>
    <row r="130" spans="1:14" ht="15.75" customHeight="1" thickTop="1" thickBot="1" x14ac:dyDescent="0.25">
      <c r="A130" s="1580" t="s">
        <v>1036</v>
      </c>
      <c r="B130" s="1581" t="s">
        <v>575</v>
      </c>
      <c r="C130" s="466">
        <f ca="1">ROUND(SUMIF(INDIRECT(Formulas!$B$1),"20-"&amp;LEFT($B130,3)&amp;"*-"&amp;MID(C$1,2,1)&amp;"*",INDIRECT(Formulas!$B$3)),0)</f>
        <v>0</v>
      </c>
      <c r="D130" s="466">
        <f ca="1">ROUND(SUMIF(INDIRECT(Formulas!$B$1),"20-"&amp;LEFT($B130,3)&amp;"*-"&amp;MID(D$1,2,1)&amp;"*",INDIRECT(Formulas!$B$3)),0)</f>
        <v>0</v>
      </c>
      <c r="E130" s="466">
        <f ca="1">ROUND(SUMIF(INDIRECT(Formulas!$B$1),"20-"&amp;LEFT($B130,3)&amp;"*-"&amp;MID(E$1,2,1)&amp;"*",INDIRECT(Formulas!$B$3)),0)</f>
        <v>0</v>
      </c>
      <c r="F130" s="466">
        <f ca="1">ROUND(SUMIF(INDIRECT(Formulas!$B$1),"20-"&amp;LEFT($B130,3)&amp;"*-"&amp;MID(F$1,2,1)&amp;"*",INDIRECT(Formulas!$B$3)),0)</f>
        <v>0</v>
      </c>
      <c r="G130" s="466">
        <f ca="1">ROUND(SUMIF(INDIRECT(Formulas!$B$1),"20-"&amp;LEFT($B130,3)&amp;"*-"&amp;MID(G$1,2,1)&amp;"*",INDIRECT(Formulas!$B$3)),0)</f>
        <v>0</v>
      </c>
      <c r="H130" s="466">
        <f ca="1">ROUND(SUMIF(INDIRECT(Formulas!$B$1),"20-"&amp;LEFT($B130,3)&amp;"*-"&amp;MID(H$1,2,1)&amp;"*",INDIRECT(Formulas!$B$3)),0)</f>
        <v>0</v>
      </c>
      <c r="I130" s="466">
        <f ca="1">ROUND(SUMIF(INDIRECT(Formulas!$B$1),"20-"&amp;LEFT($B130,3)&amp;"*-"&amp;MID(I$1,2,1)&amp;"*",INDIRECT(Formulas!$B$3)),0)</f>
        <v>0</v>
      </c>
      <c r="J130" s="466">
        <f ca="1">ROUND(SUMIF(INDIRECT(Formulas!$B$1),"20-"&amp;LEFT($B130,3)&amp;"*-"&amp;MID(J$1,2,1)&amp;"*",INDIRECT(Formulas!$B$3)),0)</f>
        <v>0</v>
      </c>
      <c r="K130" s="1640">
        <f ca="1">SUM(C130:J130)</f>
        <v>0</v>
      </c>
      <c r="L130" s="466">
        <f ca="1">ROUND(SUMIF(INDIRECT(Formulas!$B$1),"20-"&amp;LEFT($B130,3)&amp;"*",INDIRECT(Formulas!$B$7)),0)</f>
        <v>0</v>
      </c>
    </row>
    <row r="131" spans="1:14" ht="15.75" customHeight="1" thickTop="1" x14ac:dyDescent="0.2">
      <c r="A131" s="1586" t="s">
        <v>616</v>
      </c>
      <c r="B131" s="1579" t="s">
        <v>860</v>
      </c>
      <c r="C131" s="468"/>
      <c r="D131" s="468"/>
      <c r="E131" s="553"/>
      <c r="F131" s="468"/>
      <c r="G131" s="468"/>
      <c r="H131" s="553"/>
      <c r="I131" s="468"/>
      <c r="J131" s="468"/>
      <c r="K131" s="553"/>
      <c r="L131" s="553"/>
    </row>
    <row r="132" spans="1:14" s="384" customFormat="1" ht="13.5" customHeight="1" x14ac:dyDescent="0.2">
      <c r="A132" s="630" t="s">
        <v>614</v>
      </c>
      <c r="B132" s="631"/>
      <c r="C132" s="468"/>
      <c r="D132" s="468"/>
      <c r="E132" s="514"/>
      <c r="F132" s="468"/>
      <c r="G132" s="468"/>
      <c r="H132" s="514"/>
      <c r="I132" s="468"/>
      <c r="J132" s="468"/>
      <c r="K132" s="514"/>
      <c r="L132" s="514"/>
      <c r="M132" s="206"/>
      <c r="N132" s="206"/>
    </row>
    <row r="133" spans="1:14" s="384" customFormat="1" ht="13.5" customHeight="1" x14ac:dyDescent="0.2">
      <c r="A133" s="1460" t="s">
        <v>496</v>
      </c>
      <c r="B133" s="1811" t="s">
        <v>1842</v>
      </c>
      <c r="C133" s="468"/>
      <c r="D133" s="468"/>
      <c r="E133" s="466">
        <f ca="1">ROUND(SUMIF(INDIRECT(Formulas!$B$1),"20-"&amp;LEFT($B133,3)&amp;"*-"&amp;MID(E$1,2,1)&amp;"*",INDIRECT(Formulas!$B$3)),0)</f>
        <v>0</v>
      </c>
      <c r="F133" s="468"/>
      <c r="G133" s="468"/>
      <c r="H133" s="466">
        <f ca="1">ROUND(SUMIF(INDIRECT(Formulas!$B$1),"20-"&amp;LEFT($B133,3)&amp;"*-"&amp;MID(H$1,2,1)&amp;"*",INDIRECT(Formulas!$B$3)),0)</f>
        <v>0</v>
      </c>
      <c r="I133" s="468"/>
      <c r="J133" s="468"/>
      <c r="K133" s="1791">
        <f ca="1">SUM(E133,H133)</f>
        <v>0</v>
      </c>
      <c r="L133" s="466">
        <f ca="1">ROUND(SUMIF(INDIRECT(Formulas!$B$1),"20-"&amp;LEFT($B133,3)&amp;"*",INDIRECT(Formulas!$B$7)),0)</f>
        <v>0</v>
      </c>
      <c r="M133" s="206"/>
      <c r="N133" s="206"/>
    </row>
    <row r="134" spans="1:14" x14ac:dyDescent="0.2">
      <c r="A134" s="1474" t="s">
        <v>304</v>
      </c>
      <c r="B134" s="590">
        <v>4120</v>
      </c>
      <c r="C134" s="592"/>
      <c r="D134" s="592"/>
      <c r="E134" s="466">
        <f ca="1">ROUND(SUMIF(INDIRECT(Formulas!$B$1),"20-"&amp;LEFT($B134,3)&amp;"*-"&amp;MID(E$1,2,1)&amp;"*",INDIRECT(Formulas!$B$3)),0)</f>
        <v>0</v>
      </c>
      <c r="F134" s="592"/>
      <c r="G134" s="592"/>
      <c r="H134" s="466">
        <f ca="1">ROUND(SUMIF(INDIRECT(Formulas!$B$1),"20-"&amp;LEFT($B134,3)&amp;"*-"&amp;MID(H$1,2,1)&amp;"*",INDIRECT(Formulas!$B$3)),0)</f>
        <v>0</v>
      </c>
      <c r="I134" s="474"/>
      <c r="J134" s="592"/>
      <c r="K134" s="1642">
        <f ca="1">SUM(E134,H134)</f>
        <v>0</v>
      </c>
      <c r="L134" s="466">
        <f ca="1">ROUND(SUMIF(INDIRECT(Formulas!$B$1),"20-"&amp;LEFT($B134,3)&amp;"*",INDIRECT(Formulas!$B$7)),0)</f>
        <v>0</v>
      </c>
    </row>
    <row r="135" spans="1:14" x14ac:dyDescent="0.2">
      <c r="A135" s="1474" t="s">
        <v>697</v>
      </c>
      <c r="B135" s="590">
        <v>4140</v>
      </c>
      <c r="C135" s="592"/>
      <c r="D135" s="592"/>
      <c r="E135" s="466">
        <f ca="1">ROUND(SUMIF(INDIRECT(Formulas!$B$1),"20-"&amp;LEFT($B135,3)&amp;"*-"&amp;MID(E$1,2,1)&amp;"*",INDIRECT(Formulas!$B$3)),0)</f>
        <v>0</v>
      </c>
      <c r="F135" s="592"/>
      <c r="G135" s="592"/>
      <c r="H135" s="466">
        <f ca="1">ROUND(SUMIF(INDIRECT(Formulas!$B$1),"20-"&amp;LEFT($B135,3)&amp;"*-"&amp;MID(H$1,2,1)&amp;"*",INDIRECT(Formulas!$B$3)),0)</f>
        <v>0</v>
      </c>
      <c r="I135" s="474"/>
      <c r="J135" s="592"/>
      <c r="K135" s="1642">
        <f ca="1">SUM(E135,H135)</f>
        <v>0</v>
      </c>
      <c r="L135" s="466">
        <f ca="1">ROUND(SUMIF(INDIRECT(Formulas!$B$1),"20-"&amp;LEFT($B135,3)&amp;"*",INDIRECT(Formulas!$B$7)),0)</f>
        <v>0</v>
      </c>
    </row>
    <row r="136" spans="1:14" x14ac:dyDescent="0.2">
      <c r="A136" s="1478" t="s">
        <v>698</v>
      </c>
      <c r="B136" s="604">
        <v>4190</v>
      </c>
      <c r="C136" s="592"/>
      <c r="D136" s="592"/>
      <c r="E136" s="466">
        <f ca="1">ROUND(SUMIF(INDIRECT(Formulas!$B$1),"20-"&amp;LEFT($B136,3)&amp;"*-"&amp;MID(E$1,2,1)&amp;"*",INDIRECT(Formulas!$B$3)),0)</f>
        <v>0</v>
      </c>
      <c r="F136" s="592"/>
      <c r="G136" s="592"/>
      <c r="H136" s="466">
        <f ca="1">ROUND(SUMIF(INDIRECT(Formulas!$B$1),"20-"&amp;LEFT($B136,3)&amp;"*-"&amp;MID(H$1,2,1)&amp;"*",INDIRECT(Formulas!$B$3)),0)</f>
        <v>0</v>
      </c>
      <c r="I136" s="474"/>
      <c r="J136" s="592"/>
      <c r="K136" s="1642">
        <f ca="1">SUM(E136,H136)</f>
        <v>0</v>
      </c>
      <c r="L136" s="466">
        <f ca="1">ROUND(SUMIF(INDIRECT(Formulas!$B$1),"20-"&amp;LEFT($B136,3)&amp;"*",INDIRECT(Formulas!$B$7)),0)</f>
        <v>0</v>
      </c>
    </row>
    <row r="137" spans="1:14" ht="12.75" customHeight="1" thickBot="1" x14ac:dyDescent="0.25">
      <c r="A137" s="1638" t="s">
        <v>480</v>
      </c>
      <c r="B137" s="1648">
        <v>4100</v>
      </c>
      <c r="C137" s="592"/>
      <c r="D137" s="592"/>
      <c r="E137" s="1640">
        <f ca="1">SUM(E133:E136)</f>
        <v>0</v>
      </c>
      <c r="F137" s="592"/>
      <c r="G137" s="592"/>
      <c r="H137" s="1640">
        <f ca="1">SUM(H133:H136)</f>
        <v>0</v>
      </c>
      <c r="I137" s="474"/>
      <c r="J137" s="592"/>
      <c r="K137" s="1640">
        <f ca="1">SUM(K133:K136)</f>
        <v>0</v>
      </c>
      <c r="L137" s="1640">
        <f ca="1">SUM(L133:L136)</f>
        <v>0</v>
      </c>
    </row>
    <row r="138" spans="1:14" ht="12.75" customHeight="1" thickTop="1" thickBot="1" x14ac:dyDescent="0.25">
      <c r="A138" s="1480" t="s">
        <v>96</v>
      </c>
      <c r="B138" s="617" t="s">
        <v>931</v>
      </c>
      <c r="C138" s="592"/>
      <c r="D138" s="592"/>
      <c r="E138" s="466">
        <f ca="1">ROUND(SUMIF(INDIRECT(Formulas!$B$1),"20-"&amp;LEFT($B138,3)&amp;"*-"&amp;MID(E$1,2,1)&amp;"*",INDIRECT(Formulas!$B$3)),0)</f>
        <v>0</v>
      </c>
      <c r="F138" s="592"/>
      <c r="G138" s="592"/>
      <c r="H138" s="466">
        <f ca="1">ROUND(SUMIF(INDIRECT(Formulas!$B$1),"20-"&amp;LEFT($B138,3)&amp;"*-"&amp;MID(H$1,2,1)&amp;"*",INDIRECT(Formulas!$B$3)),0)</f>
        <v>0</v>
      </c>
      <c r="I138" s="474"/>
      <c r="J138" s="592"/>
      <c r="K138" s="1642">
        <f ca="1">SUM(E138,H138)</f>
        <v>0</v>
      </c>
      <c r="L138" s="466">
        <f ca="1">ROUND(SUMIF(INDIRECT(Formulas!$B$1),"20-"&amp;LEFT($B138,3)&amp;"*",INDIRECT(Formulas!$B$7)),0)</f>
        <v>0</v>
      </c>
    </row>
    <row r="139" spans="1:14" ht="12.75" customHeight="1" thickTop="1" thickBot="1" x14ac:dyDescent="0.25">
      <c r="A139" s="1638" t="s">
        <v>1487</v>
      </c>
      <c r="B139" s="1648">
        <v>4000</v>
      </c>
      <c r="C139" s="592"/>
      <c r="D139" s="592"/>
      <c r="E139" s="1640">
        <f ca="1">SUM(E137,E138)</f>
        <v>0</v>
      </c>
      <c r="F139" s="592"/>
      <c r="G139" s="592"/>
      <c r="H139" s="1649">
        <f ca="1">SUM(H137:H138)</f>
        <v>0</v>
      </c>
      <c r="I139" s="474"/>
      <c r="J139" s="592"/>
      <c r="K139" s="1642">
        <f ca="1">SUM(K137,K138)</f>
        <v>0</v>
      </c>
      <c r="L139" s="1649">
        <f ca="1">SUM(L137,L138)</f>
        <v>0</v>
      </c>
    </row>
    <row r="140" spans="1:14" ht="15.75" customHeight="1" thickTop="1" x14ac:dyDescent="0.2">
      <c r="A140" s="1582" t="s">
        <v>1037</v>
      </c>
      <c r="B140" s="1583" t="s">
        <v>492</v>
      </c>
      <c r="C140" s="592"/>
      <c r="D140" s="592"/>
      <c r="E140" s="613"/>
      <c r="F140" s="613"/>
      <c r="G140" s="613"/>
      <c r="H140" s="611"/>
      <c r="I140" s="474"/>
      <c r="J140" s="613"/>
      <c r="K140" s="611"/>
      <c r="L140" s="611"/>
    </row>
    <row r="141" spans="1:14" ht="15.75" customHeight="1" x14ac:dyDescent="0.2">
      <c r="A141" s="627" t="s">
        <v>615</v>
      </c>
      <c r="B141" s="598"/>
      <c r="C141" s="592"/>
      <c r="D141" s="592"/>
      <c r="E141" s="592"/>
      <c r="F141" s="592"/>
      <c r="G141" s="592"/>
      <c r="H141" s="599"/>
      <c r="I141" s="468"/>
      <c r="J141" s="592"/>
      <c r="K141" s="599"/>
      <c r="L141" s="599"/>
    </row>
    <row r="142" spans="1:14" x14ac:dyDescent="0.2">
      <c r="A142" s="1474" t="s">
        <v>87</v>
      </c>
      <c r="B142" s="590">
        <v>5110</v>
      </c>
      <c r="C142" s="592"/>
      <c r="D142" s="592"/>
      <c r="E142" s="592"/>
      <c r="F142" s="592"/>
      <c r="G142" s="592"/>
      <c r="H142" s="466">
        <f ca="1">ROUND(SUMIF(INDIRECT(Formulas!$B$1),"20-"&amp;LEFT($B142,3)&amp;"*-"&amp;MID(H$1,2,1)&amp;"*",INDIRECT(Formulas!$B$3)),0)</f>
        <v>0</v>
      </c>
      <c r="I142" s="468"/>
      <c r="J142" s="592"/>
      <c r="K142" s="1642">
        <f ca="1">SUM(H142)</f>
        <v>0</v>
      </c>
      <c r="L142" s="466">
        <f ca="1">ROUND(SUMIF(INDIRECT(Formulas!$B$1),"20-"&amp;LEFT($B142,3)&amp;"*",INDIRECT(Formulas!$B$7)),0)</f>
        <v>0</v>
      </c>
    </row>
    <row r="143" spans="1:14" x14ac:dyDescent="0.2">
      <c r="A143" s="1474" t="s">
        <v>88</v>
      </c>
      <c r="B143" s="590">
        <v>5120</v>
      </c>
      <c r="C143" s="592"/>
      <c r="D143" s="592"/>
      <c r="E143" s="592"/>
      <c r="F143" s="592"/>
      <c r="G143" s="592"/>
      <c r="H143" s="466">
        <f ca="1">ROUND(SUMIF(INDIRECT(Formulas!$B$1),"20-"&amp;LEFT($B143,3)&amp;"*-"&amp;MID(H$1,2,1)&amp;"*",INDIRECT(Formulas!$B$3)),0)</f>
        <v>0</v>
      </c>
      <c r="I143" s="468"/>
      <c r="J143" s="592"/>
      <c r="K143" s="1642">
        <f ca="1">SUM(H143)</f>
        <v>0</v>
      </c>
      <c r="L143" s="466">
        <f ca="1">ROUND(SUMIF(INDIRECT(Formulas!$B$1),"20-"&amp;LEFT($B143,3)&amp;"*",INDIRECT(Formulas!$B$7)),0)</f>
        <v>0</v>
      </c>
    </row>
    <row r="144" spans="1:14" ht="12.75" customHeight="1" x14ac:dyDescent="0.2">
      <c r="A144" s="1474" t="s">
        <v>1170</v>
      </c>
      <c r="B144" s="604" t="s">
        <v>617</v>
      </c>
      <c r="C144" s="592"/>
      <c r="D144" s="592"/>
      <c r="E144" s="592"/>
      <c r="F144" s="592"/>
      <c r="G144" s="592"/>
      <c r="H144" s="466">
        <f ca="1">ROUND(SUMIF(INDIRECT(Formulas!$B$1),"20-"&amp;LEFT($B144,3)&amp;"*-"&amp;MID(H$1,2,1)&amp;"*",INDIRECT(Formulas!$B$3)),0)</f>
        <v>0</v>
      </c>
      <c r="I144" s="468"/>
      <c r="J144" s="592"/>
      <c r="K144" s="1642">
        <f ca="1">SUM(H144)</f>
        <v>0</v>
      </c>
      <c r="L144" s="466">
        <f ca="1">ROUND(SUMIF(INDIRECT(Formulas!$B$1),"20-"&amp;LEFT($B144,3)&amp;"*",INDIRECT(Formulas!$B$7)),0)</f>
        <v>0</v>
      </c>
    </row>
    <row r="145" spans="1:14" x14ac:dyDescent="0.2">
      <c r="A145" s="1474" t="s">
        <v>89</v>
      </c>
      <c r="B145" s="590" t="s">
        <v>589</v>
      </c>
      <c r="C145" s="592"/>
      <c r="D145" s="592"/>
      <c r="E145" s="592"/>
      <c r="F145" s="592"/>
      <c r="G145" s="592"/>
      <c r="H145" s="466">
        <f ca="1">ROUND(SUMIF(INDIRECT(Formulas!$B$1),"20-"&amp;LEFT($B145,3)&amp;"*-"&amp;MID(H$1,2,1)&amp;"*",INDIRECT(Formulas!$B$3)),0)</f>
        <v>0</v>
      </c>
      <c r="I145" s="468"/>
      <c r="J145" s="592"/>
      <c r="K145" s="1642">
        <f ca="1">SUM(H145)</f>
        <v>0</v>
      </c>
      <c r="L145" s="466">
        <f ca="1">ROUND(SUMIF(INDIRECT(Formulas!$B$1),"20-"&amp;LEFT($B145,3)&amp;"*",INDIRECT(Formulas!$B$7)),0)</f>
        <v>0</v>
      </c>
    </row>
    <row r="146" spans="1:14" ht="12.75" customHeight="1" x14ac:dyDescent="0.2">
      <c r="A146" s="1474" t="s">
        <v>619</v>
      </c>
      <c r="B146" s="590" t="s">
        <v>618</v>
      </c>
      <c r="C146" s="592"/>
      <c r="D146" s="592"/>
      <c r="E146" s="592"/>
      <c r="F146" s="592"/>
      <c r="G146" s="592"/>
      <c r="H146" s="466">
        <f ca="1">ROUND(SUMIF(INDIRECT(Formulas!$B$1),"20-"&amp;LEFT($B146,3)&amp;"*-"&amp;MID(H$1,2,1)&amp;"*",INDIRECT(Formulas!$B$3)),0)</f>
        <v>0</v>
      </c>
      <c r="I146" s="468"/>
      <c r="J146" s="592"/>
      <c r="K146" s="1642">
        <f ca="1">SUM(H146)</f>
        <v>0</v>
      </c>
      <c r="L146" s="466">
        <f ca="1">ROUND(SUMIF(INDIRECT(Formulas!$B$1),"20-"&amp;LEFT($B146,3)&amp;"*",INDIRECT(Formulas!$B$7)),0)</f>
        <v>0</v>
      </c>
    </row>
    <row r="147" spans="1:14" ht="12.75" customHeight="1" thickBot="1" x14ac:dyDescent="0.25">
      <c r="A147" s="1485" t="s">
        <v>626</v>
      </c>
      <c r="B147" s="632" t="s">
        <v>718</v>
      </c>
      <c r="C147" s="592"/>
      <c r="D147" s="592"/>
      <c r="E147" s="592"/>
      <c r="F147" s="592"/>
      <c r="G147" s="592"/>
      <c r="H147" s="1658">
        <f ca="1">SUM(H142:H146)</f>
        <v>0</v>
      </c>
      <c r="I147" s="468"/>
      <c r="J147" s="592"/>
      <c r="K147" s="1640">
        <f ca="1">SUM(K142:K146)</f>
        <v>0</v>
      </c>
      <c r="L147" s="1658">
        <f ca="1">SUM(L142:L146)</f>
        <v>0</v>
      </c>
    </row>
    <row r="148" spans="1:14" ht="15.75" customHeight="1" thickTop="1" x14ac:dyDescent="0.2">
      <c r="A148" s="633" t="s">
        <v>1103</v>
      </c>
      <c r="B148" s="634" t="s">
        <v>38</v>
      </c>
      <c r="C148" s="592"/>
      <c r="D148" s="592"/>
      <c r="E148" s="592"/>
      <c r="F148" s="592"/>
      <c r="G148" s="592"/>
      <c r="H148" s="466">
        <f ca="1">ROUND(SUMIF(INDIRECT(Formulas!$B$1),"20-"&amp;LEFT($B148,3)&amp;"*-"&amp;MID(H$1,2,1)&amp;"*",INDIRECT(Formulas!$B$3)),0)</f>
        <v>0</v>
      </c>
      <c r="I148" s="468"/>
      <c r="J148" s="592"/>
      <c r="K148" s="1642">
        <f ca="1">SUM(H148)</f>
        <v>0</v>
      </c>
      <c r="L148" s="466">
        <f ca="1">ROUND(SUMIF(INDIRECT(Formulas!$B$1),"20-"&amp;LEFT($B148,3)&amp;"*",INDIRECT(Formulas!$B$7)),0)</f>
        <v>0</v>
      </c>
    </row>
    <row r="149" spans="1:14" ht="12.75" customHeight="1" thickBot="1" x14ac:dyDescent="0.25">
      <c r="A149" s="1477" t="s">
        <v>638</v>
      </c>
      <c r="B149" s="593" t="s">
        <v>492</v>
      </c>
      <c r="C149" s="592"/>
      <c r="D149" s="592"/>
      <c r="E149" s="592"/>
      <c r="F149" s="592"/>
      <c r="G149" s="592"/>
      <c r="H149" s="1640">
        <f ca="1">SUM(H147,H148)</f>
        <v>0</v>
      </c>
      <c r="I149" s="468"/>
      <c r="J149" s="592"/>
      <c r="K149" s="1640">
        <f ca="1">SUM(K147:K148)</f>
        <v>0</v>
      </c>
      <c r="L149" s="1640">
        <f ca="1">SUM(L142:L146,L148)</f>
        <v>0</v>
      </c>
    </row>
    <row r="150" spans="1:14" ht="15.75" customHeight="1" thickTop="1" x14ac:dyDescent="0.2">
      <c r="A150" s="1576" t="s">
        <v>1038</v>
      </c>
      <c r="B150" s="1583" t="s">
        <v>861</v>
      </c>
      <c r="C150" s="592"/>
      <c r="D150" s="592"/>
      <c r="E150" s="592"/>
      <c r="F150" s="592"/>
      <c r="G150" s="592"/>
      <c r="H150" s="635"/>
      <c r="I150" s="514"/>
      <c r="J150" s="592"/>
      <c r="K150" s="599"/>
      <c r="L150" s="466">
        <f ca="1">ROUND(SUMIF(INDIRECT(Formulas!$B$1),"20-"&amp;LEFT($B150,3)&amp;"*",INDIRECT(Formulas!$B$7)),0)</f>
        <v>0</v>
      </c>
    </row>
    <row r="151" spans="1:14" ht="12.75" customHeight="1" thickBot="1" x14ac:dyDescent="0.25">
      <c r="A151" s="2224" t="s">
        <v>620</v>
      </c>
      <c r="B151" s="2204"/>
      <c r="C151" s="1640">
        <f ca="1">SUM(C129,C130,C139,C149,C150)</f>
        <v>894032</v>
      </c>
      <c r="D151" s="1640">
        <f t="shared" ref="D151:K151" ca="1" si="16">SUM(D129,D130,D139,D149,D150)</f>
        <v>178052</v>
      </c>
      <c r="E151" s="1640">
        <f t="shared" ca="1" si="16"/>
        <v>183687</v>
      </c>
      <c r="F151" s="1640">
        <f t="shared" ca="1" si="16"/>
        <v>93435</v>
      </c>
      <c r="G151" s="1640">
        <f t="shared" ca="1" si="16"/>
        <v>735396</v>
      </c>
      <c r="H151" s="1640">
        <f t="shared" ca="1" si="16"/>
        <v>0</v>
      </c>
      <c r="I151" s="1640">
        <f t="shared" ca="1" si="16"/>
        <v>0</v>
      </c>
      <c r="J151" s="1640">
        <f t="shared" ca="1" si="16"/>
        <v>0</v>
      </c>
      <c r="K151" s="1640">
        <f t="shared" ca="1" si="16"/>
        <v>2084602</v>
      </c>
      <c r="L151" s="1640">
        <f ca="1">SUM(L129,L130,L139,L149,L150)</f>
        <v>2261183</v>
      </c>
    </row>
    <row r="152" spans="1:14" ht="12.75" customHeight="1" thickTop="1" x14ac:dyDescent="0.2">
      <c r="A152" s="2227" t="s">
        <v>1178</v>
      </c>
      <c r="B152" s="2228"/>
      <c r="C152" s="594"/>
      <c r="D152" s="594"/>
      <c r="E152" s="594"/>
      <c r="F152" s="594"/>
      <c r="G152" s="594"/>
      <c r="H152" s="594"/>
      <c r="I152" s="594"/>
      <c r="J152" s="592"/>
      <c r="K152" s="1654">
        <f ca="1">'Revenues 9-14'!D268-'Expenditures 15-22'!K151</f>
        <v>-1073965</v>
      </c>
      <c r="L152" s="594"/>
    </row>
    <row r="153" spans="1:14" s="639" customFormat="1" ht="9" customHeight="1" x14ac:dyDescent="0.2">
      <c r="A153" s="636"/>
      <c r="B153" s="637"/>
      <c r="C153" s="624"/>
      <c r="D153" s="624"/>
      <c r="E153" s="624"/>
      <c r="F153" s="624"/>
      <c r="G153" s="624"/>
      <c r="H153" s="624"/>
      <c r="I153" s="624"/>
      <c r="J153" s="624"/>
      <c r="K153" s="624"/>
      <c r="L153" s="624"/>
      <c r="M153" s="638"/>
      <c r="N153" s="638"/>
    </row>
    <row r="154" spans="1:14" s="641" customFormat="1" ht="16.7" customHeight="1" x14ac:dyDescent="0.2">
      <c r="A154" s="2212" t="s">
        <v>621</v>
      </c>
      <c r="B154" s="2214"/>
      <c r="C154" s="1596"/>
      <c r="D154" s="1597"/>
      <c r="E154" s="1597"/>
      <c r="F154" s="1597"/>
      <c r="G154" s="1597"/>
      <c r="H154" s="1597"/>
      <c r="I154" s="1597"/>
      <c r="J154" s="1597"/>
      <c r="K154" s="1597"/>
      <c r="L154" s="1598"/>
      <c r="M154" s="640"/>
      <c r="N154" s="640"/>
    </row>
    <row r="155" spans="1:14" s="596" customFormat="1" ht="15.75" customHeight="1" thickBot="1" x14ac:dyDescent="0.25">
      <c r="A155" s="1587" t="s">
        <v>81</v>
      </c>
      <c r="B155" s="1588" t="s">
        <v>860</v>
      </c>
      <c r="C155" s="592"/>
      <c r="D155" s="592"/>
      <c r="E155" s="592"/>
      <c r="F155" s="592"/>
      <c r="G155" s="592"/>
      <c r="H155" s="1812"/>
      <c r="I155" s="592"/>
      <c r="J155" s="592"/>
      <c r="K155" s="1795"/>
      <c r="L155" s="1812"/>
      <c r="M155" s="595"/>
      <c r="N155" s="595"/>
    </row>
    <row r="156" spans="1:14" s="596" customFormat="1" ht="15.75" customHeight="1" thickTop="1" x14ac:dyDescent="0.2">
      <c r="A156" s="1792" t="s">
        <v>1843</v>
      </c>
      <c r="B156" s="1793"/>
      <c r="C156" s="592"/>
      <c r="D156" s="592"/>
      <c r="E156" s="592"/>
      <c r="F156" s="592"/>
      <c r="G156" s="592"/>
      <c r="H156" s="1813"/>
      <c r="I156" s="592"/>
      <c r="J156" s="592"/>
      <c r="K156" s="1794"/>
      <c r="L156" s="1813"/>
      <c r="M156" s="595"/>
      <c r="N156" s="595"/>
    </row>
    <row r="157" spans="1:14" s="596" customFormat="1" ht="12" x14ac:dyDescent="0.2">
      <c r="A157" s="1796" t="s">
        <v>496</v>
      </c>
      <c r="B157" s="1797" t="s">
        <v>1842</v>
      </c>
      <c r="C157" s="592"/>
      <c r="D157" s="592"/>
      <c r="E157" s="592"/>
      <c r="F157" s="592"/>
      <c r="G157" s="592"/>
      <c r="H157" s="466">
        <f ca="1">ROUND(SUMIF(INDIRECT(Formulas!$B$1),"30-"&amp;LEFT($B157,3)&amp;"*-"&amp;MID(H$1,2,1)&amp;"*",INDIRECT(Formulas!$B$3)),0)</f>
        <v>0</v>
      </c>
      <c r="I157" s="592"/>
      <c r="J157" s="592"/>
      <c r="K157" s="1641">
        <f ca="1">H157</f>
        <v>0</v>
      </c>
      <c r="L157" s="466">
        <f ca="1">ROUND(SUMIF(INDIRECT(Formulas!$B$1),"30-"&amp;LEFT($B157,3)&amp;"*",INDIRECT(Formulas!$B$7)),0)</f>
        <v>0</v>
      </c>
      <c r="M157" s="595"/>
      <c r="N157" s="595"/>
    </row>
    <row r="158" spans="1:14" s="596" customFormat="1" ht="12" x14ac:dyDescent="0.2">
      <c r="A158" s="1796" t="s">
        <v>304</v>
      </c>
      <c r="B158" s="1797" t="s">
        <v>1844</v>
      </c>
      <c r="C158" s="592"/>
      <c r="D158" s="592"/>
      <c r="E158" s="592"/>
      <c r="F158" s="592"/>
      <c r="G158" s="592"/>
      <c r="H158" s="466">
        <f ca="1">ROUND(SUMIF(INDIRECT(Formulas!$B$1),"30-"&amp;LEFT($B158,3)&amp;"*-"&amp;MID(H$1,2,1)&amp;"*",INDIRECT(Formulas!$B$3)),0)</f>
        <v>0</v>
      </c>
      <c r="I158" s="592"/>
      <c r="J158" s="592"/>
      <c r="K158" s="1641">
        <f ca="1">H158</f>
        <v>0</v>
      </c>
      <c r="L158" s="466">
        <f ca="1">ROUND(SUMIF(INDIRECT(Formulas!$B$1),"30-"&amp;LEFT($B158,3)&amp;"*",INDIRECT(Formulas!$B$7)),0)</f>
        <v>0</v>
      </c>
      <c r="M158" s="595"/>
      <c r="N158" s="595"/>
    </row>
    <row r="159" spans="1:14" s="596" customFormat="1" ht="12" x14ac:dyDescent="0.2">
      <c r="A159" s="1796" t="s">
        <v>1845</v>
      </c>
      <c r="B159" s="1797" t="s">
        <v>558</v>
      </c>
      <c r="C159" s="592"/>
      <c r="D159" s="592"/>
      <c r="E159" s="592"/>
      <c r="F159" s="592"/>
      <c r="G159" s="592"/>
      <c r="H159" s="466">
        <f ca="1">ROUND(SUMIF(INDIRECT(Formulas!$B$1),"30-"&amp;LEFT($B159,3)&amp;"*-"&amp;MID(H$1,2,1)&amp;"*",INDIRECT(Formulas!$B$3)),0)</f>
        <v>0</v>
      </c>
      <c r="I159" s="592"/>
      <c r="J159" s="592"/>
      <c r="K159" s="1641">
        <f ca="1">H159</f>
        <v>0</v>
      </c>
      <c r="L159" s="466">
        <f ca="1">ROUND(SUMIF(INDIRECT(Formulas!$B$1),"30-"&amp;LEFT($B159,3)&amp;"*",INDIRECT(Formulas!$B$7)),0)</f>
        <v>0</v>
      </c>
      <c r="M159" s="595"/>
      <c r="N159" s="595"/>
    </row>
    <row r="160" spans="1:14" s="596" customFormat="1" ht="15.75" customHeight="1" thickBot="1" x14ac:dyDescent="0.25">
      <c r="A160" s="1798" t="s">
        <v>1846</v>
      </c>
      <c r="B160" s="1799" t="s">
        <v>860</v>
      </c>
      <c r="C160" s="592"/>
      <c r="D160" s="592"/>
      <c r="E160" s="592"/>
      <c r="F160" s="592"/>
      <c r="G160" s="592"/>
      <c r="H160" s="1658">
        <f ca="1">SUM(H157:H159)</f>
        <v>0</v>
      </c>
      <c r="I160" s="592"/>
      <c r="J160" s="592"/>
      <c r="K160" s="1640">
        <f ca="1">SUM(K157:K159)</f>
        <v>0</v>
      </c>
      <c r="L160" s="1658">
        <f ca="1">SUM(L157:L159)</f>
        <v>0</v>
      </c>
      <c r="M160" s="595"/>
      <c r="N160" s="595"/>
    </row>
    <row r="161" spans="1:14" s="259" customFormat="1" ht="15.75" customHeight="1" thickTop="1" x14ac:dyDescent="0.2">
      <c r="A161" s="1582" t="s">
        <v>82</v>
      </c>
      <c r="B161" s="1583" t="s">
        <v>492</v>
      </c>
      <c r="C161" s="592"/>
      <c r="D161" s="592"/>
      <c r="E161" s="592"/>
      <c r="F161" s="592"/>
      <c r="G161" s="592"/>
      <c r="H161" s="592"/>
      <c r="I161" s="592"/>
      <c r="J161" s="592"/>
      <c r="K161" s="592"/>
      <c r="L161" s="592"/>
      <c r="M161" s="589"/>
      <c r="N161" s="589"/>
    </row>
    <row r="162" spans="1:14" s="259" customFormat="1" ht="15.75" customHeight="1" x14ac:dyDescent="0.2">
      <c r="A162" s="627" t="s">
        <v>615</v>
      </c>
      <c r="B162" s="598"/>
      <c r="C162" s="592"/>
      <c r="D162" s="592"/>
      <c r="E162" s="592"/>
      <c r="F162" s="592"/>
      <c r="G162" s="592"/>
      <c r="H162" s="592"/>
      <c r="I162" s="592"/>
      <c r="J162" s="592"/>
      <c r="K162" s="599"/>
      <c r="L162" s="599"/>
      <c r="M162" s="589"/>
      <c r="N162" s="589"/>
    </row>
    <row r="163" spans="1:14" x14ac:dyDescent="0.2">
      <c r="A163" s="1474" t="s">
        <v>87</v>
      </c>
      <c r="B163" s="590">
        <v>5110</v>
      </c>
      <c r="C163" s="592"/>
      <c r="D163" s="592"/>
      <c r="E163" s="592"/>
      <c r="F163" s="592"/>
      <c r="G163" s="592"/>
      <c r="H163" s="466">
        <f ca="1">ROUND(SUMIF(INDIRECT(Formulas!$B$1),"30-"&amp;LEFT($B163,3)&amp;"*-"&amp;MID(H$1,2,1)&amp;"*",INDIRECT(Formulas!$B$3)),0)</f>
        <v>0</v>
      </c>
      <c r="I163" s="592"/>
      <c r="J163" s="592"/>
      <c r="K163" s="1641">
        <f ca="1">SUM(C163:J163)</f>
        <v>0</v>
      </c>
      <c r="L163" s="466">
        <f ca="1">ROUND(SUMIF(INDIRECT(Formulas!$B$1),"30-"&amp;LEFT($B163,3)&amp;"*",INDIRECT(Formulas!$B$7)),0)</f>
        <v>0</v>
      </c>
    </row>
    <row r="164" spans="1:14" x14ac:dyDescent="0.2">
      <c r="A164" s="1474" t="s">
        <v>88</v>
      </c>
      <c r="B164" s="590">
        <v>5120</v>
      </c>
      <c r="C164" s="592"/>
      <c r="D164" s="592"/>
      <c r="E164" s="592"/>
      <c r="F164" s="592"/>
      <c r="G164" s="592"/>
      <c r="H164" s="466">
        <f ca="1">ROUND(SUMIF(INDIRECT(Formulas!$B$1),"30-"&amp;LEFT($B164,3)&amp;"*-"&amp;MID(H$1,2,1)&amp;"*",INDIRECT(Formulas!$B$3)),0)</f>
        <v>0</v>
      </c>
      <c r="I164" s="592"/>
      <c r="J164" s="592"/>
      <c r="K164" s="1641">
        <f ca="1">SUM(C164:J164)</f>
        <v>0</v>
      </c>
      <c r="L164" s="466">
        <f ca="1">ROUND(SUMIF(INDIRECT(Formulas!$B$1),"30-"&amp;LEFT($B164,3)&amp;"*",INDIRECT(Formulas!$B$7)),0)</f>
        <v>0</v>
      </c>
    </row>
    <row r="165" spans="1:14" ht="12.75" customHeight="1" x14ac:dyDescent="0.2">
      <c r="A165" s="1474" t="s">
        <v>1170</v>
      </c>
      <c r="B165" s="590" t="s">
        <v>617</v>
      </c>
      <c r="C165" s="592"/>
      <c r="D165" s="592"/>
      <c r="E165" s="592"/>
      <c r="F165" s="592"/>
      <c r="G165" s="592"/>
      <c r="H165" s="466">
        <f ca="1">ROUND(SUMIF(INDIRECT(Formulas!$B$1),"30-"&amp;LEFT($B165,3)&amp;"*-"&amp;MID(H$1,2,1)&amp;"*",INDIRECT(Formulas!$B$3)),0)</f>
        <v>0</v>
      </c>
      <c r="I165" s="592"/>
      <c r="J165" s="592"/>
      <c r="K165" s="1641">
        <f ca="1">SUM(C165:J165)</f>
        <v>0</v>
      </c>
      <c r="L165" s="466">
        <f ca="1">ROUND(SUMIF(INDIRECT(Formulas!$B$1),"30-"&amp;LEFT($B165,3)&amp;"*",INDIRECT(Formulas!$B$7)),0)</f>
        <v>0</v>
      </c>
    </row>
    <row r="166" spans="1:14" x14ac:dyDescent="0.2">
      <c r="A166" s="1474" t="s">
        <v>89</v>
      </c>
      <c r="B166" s="604" t="s">
        <v>589</v>
      </c>
      <c r="C166" s="592"/>
      <c r="D166" s="592"/>
      <c r="E166" s="592"/>
      <c r="F166" s="592"/>
      <c r="G166" s="592"/>
      <c r="H166" s="466">
        <f ca="1">ROUND(SUMIF(INDIRECT(Formulas!$B$1),"30-"&amp;LEFT($B166,3)&amp;"*-"&amp;MID(H$1,2,1)&amp;"*",INDIRECT(Formulas!$B$3)),0)</f>
        <v>0</v>
      </c>
      <c r="I166" s="592"/>
      <c r="J166" s="592"/>
      <c r="K166" s="1641">
        <f ca="1">SUM(C166:J166)</f>
        <v>0</v>
      </c>
      <c r="L166" s="466">
        <f ca="1">ROUND(SUMIF(INDIRECT(Formulas!$B$1),"30-"&amp;LEFT($B166,3)&amp;"*",INDIRECT(Formulas!$B$7)),0)</f>
        <v>0</v>
      </c>
    </row>
    <row r="167" spans="1:14" ht="12.75" customHeight="1" x14ac:dyDescent="0.2">
      <c r="A167" s="1474" t="s">
        <v>619</v>
      </c>
      <c r="B167" s="590" t="s">
        <v>618</v>
      </c>
      <c r="C167" s="592"/>
      <c r="D167" s="592"/>
      <c r="E167" s="592"/>
      <c r="F167" s="592"/>
      <c r="G167" s="592"/>
      <c r="H167" s="466">
        <f ca="1">ROUND(SUMIF(INDIRECT(Formulas!$B$1),"30-"&amp;LEFT($B167,3)&amp;"*-"&amp;MID(H$1,2,1)&amp;"*",INDIRECT(Formulas!$B$3)),0)</f>
        <v>0</v>
      </c>
      <c r="I167" s="592"/>
      <c r="J167" s="592"/>
      <c r="K167" s="1641">
        <f ca="1">SUM(C167:J167)</f>
        <v>0</v>
      </c>
      <c r="L167" s="466">
        <f ca="1">ROUND(SUMIF(INDIRECT(Formulas!$B$1),"30-"&amp;LEFT($B167,3)&amp;"*",INDIRECT(Formulas!$B$7)),0)</f>
        <v>0</v>
      </c>
    </row>
    <row r="168" spans="1:14" ht="13.5" thickBot="1" x14ac:dyDescent="0.25">
      <c r="A168" s="1638" t="s">
        <v>276</v>
      </c>
      <c r="B168" s="1645" t="s">
        <v>718</v>
      </c>
      <c r="C168" s="592"/>
      <c r="D168" s="592"/>
      <c r="E168" s="592"/>
      <c r="F168" s="592"/>
      <c r="G168" s="592"/>
      <c r="H168" s="1640">
        <f ca="1">SUM(H163:H167)</f>
        <v>0</v>
      </c>
      <c r="I168" s="592"/>
      <c r="J168" s="592"/>
      <c r="K168" s="1640">
        <f ca="1">SUM(K163:K167)</f>
        <v>0</v>
      </c>
      <c r="L168" s="1640">
        <f ca="1">SUM(L163:L167)</f>
        <v>0</v>
      </c>
    </row>
    <row r="169" spans="1:14" ht="15.75" customHeight="1" thickTop="1" x14ac:dyDescent="0.2">
      <c r="A169" s="642" t="s">
        <v>83</v>
      </c>
      <c r="B169" s="643" t="s">
        <v>38</v>
      </c>
      <c r="C169" s="592"/>
      <c r="D169" s="592"/>
      <c r="E169" s="592"/>
      <c r="F169" s="592"/>
      <c r="G169" s="592"/>
      <c r="H169" s="466">
        <f ca="1">ROUND(SUMIF(INDIRECT(Formulas!$B$1),"30-"&amp;LEFT($B169,3)&amp;"*-"&amp;MID(H$1,2,1)&amp;"*",INDIRECT(Formulas!$B$3)),0)</f>
        <v>524476</v>
      </c>
      <c r="I169" s="592"/>
      <c r="J169" s="592"/>
      <c r="K169" s="1641">
        <f ca="1">SUM(C169:H169)</f>
        <v>524476</v>
      </c>
      <c r="L169" s="466">
        <f ca="1">ROUND(SUMIF(INDIRECT(Formulas!$B$1),"30-"&amp;LEFT($B169,3)&amp;"*",INDIRECT(Formulas!$B$7)),0)</f>
        <v>3503008</v>
      </c>
    </row>
    <row r="170" spans="1:14" ht="33.75" customHeight="1" x14ac:dyDescent="0.2">
      <c r="A170" s="642" t="s">
        <v>1670</v>
      </c>
      <c r="B170" s="644" t="s">
        <v>31</v>
      </c>
      <c r="C170" s="592"/>
      <c r="D170" s="592"/>
      <c r="E170" s="592"/>
      <c r="F170" s="592"/>
      <c r="G170" s="592"/>
      <c r="H170" s="466">
        <f ca="1">ROUND(SUMIF(INDIRECT(Formulas!$B$1),"30-"&amp;LEFT($B170,3)&amp;"*-"&amp;MID(H$1,2,1)&amp;"*",INDIRECT(Formulas!$B$3)),0)</f>
        <v>7045486</v>
      </c>
      <c r="I170" s="592"/>
      <c r="J170" s="592"/>
      <c r="K170" s="1641">
        <f ca="1">SUM(C170:J170)</f>
        <v>7045486</v>
      </c>
      <c r="L170" s="466">
        <f ca="1">ROUND(SUMIF(INDIRECT(Formulas!$B$1),"30-"&amp;LEFT($B170,3)&amp;"*",INDIRECT(Formulas!$B$7)),0)</f>
        <v>5508046</v>
      </c>
    </row>
    <row r="171" spans="1:14" ht="15.75" customHeight="1" x14ac:dyDescent="0.2">
      <c r="A171" s="597" t="s">
        <v>766</v>
      </c>
      <c r="B171" s="645" t="s">
        <v>84</v>
      </c>
      <c r="C171" s="592"/>
      <c r="D171" s="592"/>
      <c r="E171" s="466">
        <f ca="1">ROUND(SUMIF(INDIRECT(Formulas!$B$1),"30-"&amp;LEFT($B171,3)&amp;"*-"&amp;MID(E$1,2,1)&amp;"*",INDIRECT(Formulas!$B$3)),0)</f>
        <v>0</v>
      </c>
      <c r="F171" s="592"/>
      <c r="G171" s="592"/>
      <c r="H171" s="466">
        <f ca="1">ROUND(SUMIF(INDIRECT(Formulas!$B$1),"30-"&amp;LEFT($B171,3)&amp;"*-"&amp;MID(H$1,2,1)&amp;"*",INDIRECT(Formulas!$B$3)),0)</f>
        <v>1500</v>
      </c>
      <c r="I171" s="474"/>
      <c r="J171" s="592"/>
      <c r="K171" s="1641">
        <f ca="1">SUM(C171:J171)</f>
        <v>1500</v>
      </c>
      <c r="L171" s="466">
        <f ca="1">ROUND(SUMIF(INDIRECT(Formulas!$B$1),"30-"&amp;LEFT($B171,3)&amp;"*",INDIRECT(Formulas!$B$7)),0)</f>
        <v>2500</v>
      </c>
    </row>
    <row r="172" spans="1:14" ht="12.75" customHeight="1" thickBot="1" x14ac:dyDescent="0.25">
      <c r="A172" s="1638" t="s">
        <v>638</v>
      </c>
      <c r="B172" s="1639" t="s">
        <v>492</v>
      </c>
      <c r="C172" s="592"/>
      <c r="D172" s="592"/>
      <c r="E172" s="1647">
        <f ca="1">SUM(E168,E169,E170,E171)</f>
        <v>0</v>
      </c>
      <c r="F172" s="592"/>
      <c r="G172" s="592"/>
      <c r="H172" s="1647">
        <f ca="1">SUM(H168,H169,H170,H171)</f>
        <v>7571462</v>
      </c>
      <c r="I172" s="613"/>
      <c r="J172" s="592"/>
      <c r="K172" s="1647">
        <f ca="1">SUM(K168,K169,K170,K171)</f>
        <v>7571462</v>
      </c>
      <c r="L172" s="1647">
        <f ca="1">SUM(L168,L169,L170,L171)</f>
        <v>9013554</v>
      </c>
    </row>
    <row r="173" spans="1:14" ht="15.75" customHeight="1" thickTop="1" thickBot="1" x14ac:dyDescent="0.25">
      <c r="A173" s="1589" t="s">
        <v>85</v>
      </c>
      <c r="B173" s="1581" t="s">
        <v>861</v>
      </c>
      <c r="C173" s="592"/>
      <c r="D173" s="592"/>
      <c r="E173" s="599"/>
      <c r="F173" s="592"/>
      <c r="G173" s="592"/>
      <c r="H173" s="602"/>
      <c r="I173" s="613"/>
      <c r="J173" s="592"/>
      <c r="K173" s="599"/>
      <c r="L173" s="466">
        <f ca="1">ROUND(SUMIF(INDIRECT(Formulas!$B$1),"30-"&amp;LEFT($B173,3)&amp;"*",INDIRECT(Formulas!$B$7)),0)</f>
        <v>0</v>
      </c>
    </row>
    <row r="174" spans="1:14" ht="12.75" customHeight="1" thickTop="1" thickBot="1" x14ac:dyDescent="0.25">
      <c r="A174" s="1659" t="s">
        <v>90</v>
      </c>
      <c r="B174" s="1660"/>
      <c r="C174" s="592"/>
      <c r="D174" s="592"/>
      <c r="E174" s="1647">
        <f ca="1">SUM(E172,E173)</f>
        <v>0</v>
      </c>
      <c r="F174" s="592"/>
      <c r="G174" s="592"/>
      <c r="H174" s="1647">
        <f ca="1">SUM(H160,H172,H173)</f>
        <v>7571462</v>
      </c>
      <c r="I174" s="613"/>
      <c r="J174" s="592"/>
      <c r="K174" s="1647">
        <f ca="1">SUM(K160,K172,K173)</f>
        <v>7571462</v>
      </c>
      <c r="L174" s="1647">
        <f ca="1">SUM(L160,L172,L173)</f>
        <v>9013554</v>
      </c>
    </row>
    <row r="175" spans="1:14" ht="13.5" thickTop="1" x14ac:dyDescent="0.2">
      <c r="A175" s="2207" t="s">
        <v>996</v>
      </c>
      <c r="B175" s="2208"/>
      <c r="C175" s="592"/>
      <c r="D175" s="592"/>
      <c r="E175" s="592"/>
      <c r="F175" s="592"/>
      <c r="G175" s="592"/>
      <c r="H175" s="594"/>
      <c r="I175" s="592"/>
      <c r="J175" s="592"/>
      <c r="K175" s="1654">
        <f ca="1">'Revenues 9-14'!E268-'Expenditures 15-22'!K174</f>
        <v>-4571778</v>
      </c>
      <c r="L175" s="594"/>
    </row>
    <row r="176" spans="1:14" s="639" customFormat="1" ht="9" customHeight="1" x14ac:dyDescent="0.2">
      <c r="A176" s="636"/>
      <c r="B176" s="646"/>
      <c r="C176" s="624"/>
      <c r="D176" s="624"/>
      <c r="E176" s="624"/>
      <c r="F176" s="624"/>
      <c r="G176" s="624"/>
      <c r="H176" s="624"/>
      <c r="I176" s="624"/>
      <c r="J176" s="624"/>
      <c r="K176" s="624"/>
      <c r="L176" s="624"/>
      <c r="M176" s="638"/>
      <c r="N176" s="638"/>
    </row>
    <row r="177" spans="1:14" s="343" customFormat="1" ht="16.7" customHeight="1" x14ac:dyDescent="0.2">
      <c r="A177" s="1524" t="s">
        <v>937</v>
      </c>
      <c r="B177" s="1525"/>
      <c r="C177" s="1521"/>
      <c r="D177" s="1522"/>
      <c r="E177" s="1522"/>
      <c r="F177" s="1522"/>
      <c r="G177" s="1522"/>
      <c r="H177" s="1522"/>
      <c r="I177" s="1522"/>
      <c r="J177" s="1522"/>
      <c r="K177" s="1522"/>
      <c r="L177" s="1523"/>
      <c r="M177" s="585"/>
      <c r="N177" s="585"/>
    </row>
    <row r="178" spans="1:14" s="647" customFormat="1" ht="15.75" customHeight="1" x14ac:dyDescent="0.2">
      <c r="A178" s="1590" t="s">
        <v>938</v>
      </c>
      <c r="B178" s="1591"/>
      <c r="C178" s="592"/>
      <c r="D178" s="592"/>
      <c r="E178" s="592"/>
      <c r="F178" s="592"/>
      <c r="G178" s="592"/>
      <c r="H178" s="592"/>
      <c r="I178" s="592"/>
      <c r="J178" s="592"/>
      <c r="K178" s="592"/>
      <c r="L178" s="592"/>
      <c r="M178" s="638"/>
      <c r="N178" s="638"/>
    </row>
    <row r="179" spans="1:14" s="647" customFormat="1" ht="15.75" customHeight="1" x14ac:dyDescent="0.2">
      <c r="A179" s="648" t="s">
        <v>591</v>
      </c>
      <c r="B179" s="598"/>
      <c r="C179" s="599"/>
      <c r="D179" s="599"/>
      <c r="E179" s="599"/>
      <c r="F179" s="592"/>
      <c r="G179" s="592"/>
      <c r="H179" s="599"/>
      <c r="I179" s="592"/>
      <c r="J179" s="592"/>
      <c r="K179" s="599"/>
      <c r="L179" s="599"/>
      <c r="M179" s="638"/>
      <c r="N179" s="638"/>
    </row>
    <row r="180" spans="1:14" ht="12.75" customHeight="1" x14ac:dyDescent="0.2">
      <c r="A180" s="1474" t="s">
        <v>2057</v>
      </c>
      <c r="B180" s="590" t="s">
        <v>716</v>
      </c>
      <c r="C180" s="466">
        <f ca="1">ROUND(SUMIF(INDIRECT(Formulas!$B$1),"40-"&amp;LEFT($B180,3)&amp;"*-"&amp;MID(C$1,2,1)&amp;"*",INDIRECT(Formulas!$B$3)),0)</f>
        <v>0</v>
      </c>
      <c r="D180" s="466">
        <f ca="1">ROUND(SUMIF(INDIRECT(Formulas!$B$1),"40-"&amp;LEFT($B180,3)&amp;"*-"&amp;MID(D$1,2,1)&amp;"*",INDIRECT(Formulas!$B$3)),0)</f>
        <v>0</v>
      </c>
      <c r="E180" s="466">
        <f ca="1">ROUND(SUMIF(INDIRECT(Formulas!$B$1),"40-"&amp;LEFT($B180,3)&amp;"*-"&amp;MID(E$1,2,1)&amp;"*",INDIRECT(Formulas!$B$3)),0)</f>
        <v>0</v>
      </c>
      <c r="F180" s="466">
        <f ca="1">ROUND(SUMIF(INDIRECT(Formulas!$B$1),"40-"&amp;LEFT($B180,3)&amp;"*-"&amp;MID(F$1,2,1)&amp;"*",INDIRECT(Formulas!$B$3)),0)</f>
        <v>0</v>
      </c>
      <c r="G180" s="466">
        <f ca="1">ROUND(SUMIF(INDIRECT(Formulas!$B$1),"40-"&amp;LEFT($B180,3)&amp;"*-"&amp;MID(G$1,2,1)&amp;"*",INDIRECT(Formulas!$B$3)),0)</f>
        <v>0</v>
      </c>
      <c r="H180" s="466">
        <f ca="1">ROUND(SUMIF(INDIRECT(Formulas!$B$1),"40-"&amp;LEFT($B180,3)&amp;"*-"&amp;MID(H$1,2,1)&amp;"*",INDIRECT(Formulas!$B$3)),0)</f>
        <v>0</v>
      </c>
      <c r="I180" s="466">
        <f ca="1">ROUND(SUMIF(INDIRECT(Formulas!$B$1),"40-"&amp;LEFT($B180,3)&amp;"*-"&amp;MID(I$1,2,1)&amp;"*",INDIRECT(Formulas!$B$3)),0)</f>
        <v>0</v>
      </c>
      <c r="J180" s="466">
        <f ca="1">ROUND(SUMIF(INDIRECT(Formulas!$B$1),"40-"&amp;LEFT($B180,3)&amp;"*-"&amp;MID(J$1,2,1)&amp;"*",INDIRECT(Formulas!$B$3)),0)</f>
        <v>0</v>
      </c>
      <c r="K180" s="1641">
        <f ca="1">SUM(C180:J180)</f>
        <v>0</v>
      </c>
      <c r="L180" s="466">
        <f ca="1">ROUND(SUMIF(INDIRECT(Formulas!$B$1),"40-"&amp;LEFT($B180,3)&amp;"*",INDIRECT(Formulas!$B$7)),0)</f>
        <v>0</v>
      </c>
    </row>
    <row r="181" spans="1:14" ht="15.75" customHeight="1" x14ac:dyDescent="0.2">
      <c r="A181" s="600" t="s">
        <v>612</v>
      </c>
      <c r="B181" s="649"/>
      <c r="C181" s="556"/>
      <c r="D181" s="556"/>
      <c r="E181" s="556"/>
      <c r="F181" s="556"/>
      <c r="G181" s="556"/>
      <c r="H181" s="556"/>
      <c r="I181" s="468"/>
      <c r="J181" s="468"/>
      <c r="K181" s="556"/>
      <c r="L181" s="556"/>
    </row>
    <row r="182" spans="1:14" ht="12.75" customHeight="1" x14ac:dyDescent="0.2">
      <c r="A182" s="1474" t="s">
        <v>953</v>
      </c>
      <c r="B182" s="590">
        <v>2550</v>
      </c>
      <c r="C182" s="466">
        <f ca="1">ROUND(SUMIF(INDIRECT(Formulas!$B$1),"40-"&amp;LEFT($B182,3)&amp;"*-"&amp;MID(C$1,2,1)&amp;"*",INDIRECT(Formulas!$B$3)),0)</f>
        <v>895489</v>
      </c>
      <c r="D182" s="466">
        <f ca="1">ROUND(SUMIF(INDIRECT(Formulas!$B$1),"40-"&amp;LEFT($B182,3)&amp;"*-"&amp;MID(D$1,2,1)&amp;"*",INDIRECT(Formulas!$B$3)),0)</f>
        <v>59509</v>
      </c>
      <c r="E182" s="466">
        <f ca="1">ROUND(SUMIF(INDIRECT(Formulas!$B$1),"40-"&amp;LEFT($B182,3)&amp;"*-"&amp;MID(E$1,2,1)&amp;"*",INDIRECT(Formulas!$B$3)),0)</f>
        <v>133087</v>
      </c>
      <c r="F182" s="466">
        <f ca="1">ROUND(SUMIF(INDIRECT(Formulas!$B$1),"40-"&amp;LEFT($B182,3)&amp;"*-"&amp;MID(F$1,2,1)&amp;"*",INDIRECT(Formulas!$B$3)),0)</f>
        <v>203419</v>
      </c>
      <c r="G182" s="466">
        <f ca="1">ROUND(SUMIF(INDIRECT(Formulas!$B$1),"40-"&amp;LEFT($B182,3)&amp;"*-"&amp;MID(G$1,2,1)&amp;"*",INDIRECT(Formulas!$B$3)),0)</f>
        <v>0</v>
      </c>
      <c r="H182" s="466">
        <f ca="1">ROUND(SUMIF(INDIRECT(Formulas!$B$1),"40-"&amp;LEFT($B182,3)&amp;"*-"&amp;MID(H$1,2,1)&amp;"*",INDIRECT(Formulas!$B$3)),0)</f>
        <v>0</v>
      </c>
      <c r="I182" s="466">
        <f ca="1">ROUND(SUMIF(INDIRECT(Formulas!$B$1),"40-"&amp;LEFT($B182,3)&amp;"*-"&amp;MID(I$1,2,1)&amp;"*",INDIRECT(Formulas!$B$3)),0)</f>
        <v>0</v>
      </c>
      <c r="J182" s="466">
        <f ca="1">ROUND(SUMIF(INDIRECT(Formulas!$B$1),"40-"&amp;LEFT($B182,3)&amp;"*-"&amp;MID(J$1,2,1)&amp;"*",INDIRECT(Formulas!$B$3)),0)</f>
        <v>0</v>
      </c>
      <c r="K182" s="1641">
        <f ca="1">SUM(C182:J182)</f>
        <v>1291504</v>
      </c>
      <c r="L182" s="466">
        <f ca="1">ROUND(SUMIF(INDIRECT(Formulas!$B$1),"40-"&amp;LEFT($B182,3)&amp;"*",INDIRECT(Formulas!$B$7)),0)</f>
        <v>1522413</v>
      </c>
    </row>
    <row r="183" spans="1:14" ht="12.75" customHeight="1" thickBot="1" x14ac:dyDescent="0.25">
      <c r="A183" s="1479" t="s">
        <v>980</v>
      </c>
      <c r="B183" s="650">
        <v>2900</v>
      </c>
      <c r="C183" s="466">
        <f ca="1">ROUND(SUMIF(INDIRECT(Formulas!$B$1),"40-"&amp;LEFT($B183,3)&amp;"*-"&amp;MID(C$1,2,1)&amp;"*",INDIRECT(Formulas!$B$3)),0)</f>
        <v>0</v>
      </c>
      <c r="D183" s="466">
        <f ca="1">ROUND(SUMIF(INDIRECT(Formulas!$B$1),"40-"&amp;LEFT($B183,3)&amp;"*-"&amp;MID(D$1,2,1)&amp;"*",INDIRECT(Formulas!$B$3)),0)</f>
        <v>0</v>
      </c>
      <c r="E183" s="466">
        <f ca="1">ROUND(SUMIF(INDIRECT(Formulas!$B$1),"40-"&amp;LEFT($B183,3)&amp;"*-"&amp;MID(E$1,2,1)&amp;"*",INDIRECT(Formulas!$B$3)),0)</f>
        <v>0</v>
      </c>
      <c r="F183" s="466">
        <f ca="1">ROUND(SUMIF(INDIRECT(Formulas!$B$1),"40-"&amp;LEFT($B183,3)&amp;"*-"&amp;MID(F$1,2,1)&amp;"*",INDIRECT(Formulas!$B$3)),0)</f>
        <v>0</v>
      </c>
      <c r="G183" s="466">
        <f ca="1">ROUND(SUMIF(INDIRECT(Formulas!$B$1),"40-"&amp;LEFT($B183,3)&amp;"*-"&amp;MID(G$1,2,1)&amp;"*",INDIRECT(Formulas!$B$3)),0)</f>
        <v>0</v>
      </c>
      <c r="H183" s="466">
        <f ca="1">ROUND(SUMIF(INDIRECT(Formulas!$B$1),"40-"&amp;LEFT($B183,3)&amp;"*-"&amp;MID(H$1,2,1)&amp;"*",INDIRECT(Formulas!$B$3)),0)</f>
        <v>0</v>
      </c>
      <c r="I183" s="466">
        <f ca="1">ROUND(SUMIF(INDIRECT(Formulas!$B$1),"40-"&amp;LEFT($B183,3)&amp;"*-"&amp;MID(I$1,2,1)&amp;"*",INDIRECT(Formulas!$B$3)),0)</f>
        <v>0</v>
      </c>
      <c r="J183" s="466">
        <f ca="1">ROUND(SUMIF(INDIRECT(Formulas!$B$1),"40-"&amp;LEFT($B183,3)&amp;"*-"&amp;MID(J$1,2,1)&amp;"*",INDIRECT(Formulas!$B$3)),0)</f>
        <v>0</v>
      </c>
      <c r="K183" s="1647">
        <f ca="1">SUM(C183:J183)</f>
        <v>0</v>
      </c>
      <c r="L183" s="466">
        <f ca="1">ROUND(SUMIF(INDIRECT(Formulas!$B$1),"40-"&amp;LEFT($B183,3)&amp;"*",INDIRECT(Formulas!$B$7)),0)</f>
        <v>0</v>
      </c>
    </row>
    <row r="184" spans="1:14" ht="12.75" customHeight="1" thickTop="1" thickBot="1" x14ac:dyDescent="0.25">
      <c r="A184" s="1661" t="s">
        <v>811</v>
      </c>
      <c r="B184" s="1639" t="s">
        <v>569</v>
      </c>
      <c r="C184" s="1647">
        <f ca="1">SUM(C180,C182,C183)</f>
        <v>895489</v>
      </c>
      <c r="D184" s="1647">
        <f t="shared" ref="D184:J184" ca="1" si="17">SUM(D180,D182,D183)</f>
        <v>59509</v>
      </c>
      <c r="E184" s="1647">
        <f t="shared" ca="1" si="17"/>
        <v>133087</v>
      </c>
      <c r="F184" s="1647">
        <f t="shared" ca="1" si="17"/>
        <v>203419</v>
      </c>
      <c r="G184" s="1647">
        <f t="shared" ca="1" si="17"/>
        <v>0</v>
      </c>
      <c r="H184" s="1647">
        <f t="shared" ca="1" si="17"/>
        <v>0</v>
      </c>
      <c r="I184" s="1647">
        <f t="shared" ca="1" si="17"/>
        <v>0</v>
      </c>
      <c r="J184" s="1647">
        <f t="shared" ca="1" si="17"/>
        <v>0</v>
      </c>
      <c r="K184" s="1647">
        <f ca="1">SUM(K180,K182,K183)</f>
        <v>1291504</v>
      </c>
      <c r="L184" s="1647">
        <f ca="1">SUM(L180, L182:L183)</f>
        <v>1522413</v>
      </c>
    </row>
    <row r="185" spans="1:14" ht="15.75" customHeight="1" thickTop="1" thickBot="1" x14ac:dyDescent="0.25">
      <c r="A185" s="1592" t="s">
        <v>939</v>
      </c>
      <c r="B185" s="1581">
        <v>3000</v>
      </c>
      <c r="C185" s="466">
        <f ca="1">ROUND(SUMIF(INDIRECT(Formulas!$B$1),"40-"&amp;LEFT($B185,3)&amp;"*-"&amp;MID(C$1,2,1)&amp;"*",INDIRECT(Formulas!$B$3)),0)</f>
        <v>0</v>
      </c>
      <c r="D185" s="466">
        <f ca="1">ROUND(SUMIF(INDIRECT(Formulas!$B$1),"40-"&amp;LEFT($B185,3)&amp;"*-"&amp;MID(D$1,2,1)&amp;"*",INDIRECT(Formulas!$B$3)),0)</f>
        <v>0</v>
      </c>
      <c r="E185" s="466">
        <f ca="1">ROUND(SUMIF(INDIRECT(Formulas!$B$1),"40-"&amp;LEFT($B185,3)&amp;"*-"&amp;MID(E$1,2,1)&amp;"*",INDIRECT(Formulas!$B$3)),0)</f>
        <v>0</v>
      </c>
      <c r="F185" s="466">
        <f ca="1">ROUND(SUMIF(INDIRECT(Formulas!$B$1),"40-"&amp;LEFT($B185,3)&amp;"*-"&amp;MID(F$1,2,1)&amp;"*",INDIRECT(Formulas!$B$3)),0)</f>
        <v>0</v>
      </c>
      <c r="G185" s="466">
        <f ca="1">ROUND(SUMIF(INDIRECT(Formulas!$B$1),"40-"&amp;LEFT($B185,3)&amp;"*-"&amp;MID(G$1,2,1)&amp;"*",INDIRECT(Formulas!$B$3)),0)</f>
        <v>0</v>
      </c>
      <c r="H185" s="466">
        <f ca="1">ROUND(SUMIF(INDIRECT(Formulas!$B$1),"40-"&amp;LEFT($B185,3)&amp;"*-"&amp;MID(H$1,2,1)&amp;"*",INDIRECT(Formulas!$B$3)),0)</f>
        <v>0</v>
      </c>
      <c r="I185" s="466">
        <f ca="1">ROUND(SUMIF(INDIRECT(Formulas!$B$1),"40-"&amp;LEFT($B185,3)&amp;"*-"&amp;MID(I$1,2,1)&amp;"*",INDIRECT(Formulas!$B$3)),0)</f>
        <v>0</v>
      </c>
      <c r="J185" s="466">
        <f ca="1">ROUND(SUMIF(INDIRECT(Formulas!$B$1),"40-"&amp;LEFT($B185,3)&amp;"*-"&amp;MID(J$1,2,1)&amp;"*",INDIRECT(Formulas!$B$3)),0)</f>
        <v>0</v>
      </c>
      <c r="K185" s="1640">
        <f ca="1">SUM(C185:J185)</f>
        <v>0</v>
      </c>
      <c r="L185" s="560"/>
    </row>
    <row r="186" spans="1:14" s="647" customFormat="1" ht="15.75" customHeight="1" thickTop="1" x14ac:dyDescent="0.2">
      <c r="A186" s="1576" t="s">
        <v>91</v>
      </c>
      <c r="B186" s="1579" t="s">
        <v>860</v>
      </c>
      <c r="C186" s="592"/>
      <c r="D186" s="592"/>
      <c r="E186" s="592"/>
      <c r="F186" s="592"/>
      <c r="G186" s="592"/>
      <c r="H186" s="592"/>
      <c r="I186" s="592"/>
      <c r="J186" s="592"/>
      <c r="K186" s="592"/>
      <c r="L186" s="592"/>
      <c r="M186" s="638"/>
      <c r="N186" s="638"/>
    </row>
    <row r="187" spans="1:14" s="647" customFormat="1" ht="15.75" customHeight="1" x14ac:dyDescent="0.2">
      <c r="A187" s="597" t="s">
        <v>1131</v>
      </c>
      <c r="B187" s="598"/>
      <c r="C187" s="592"/>
      <c r="D187" s="592"/>
      <c r="E187" s="592"/>
      <c r="F187" s="592"/>
      <c r="G187" s="592"/>
      <c r="H187" s="592"/>
      <c r="I187" s="592"/>
      <c r="J187" s="592"/>
      <c r="K187" s="592"/>
      <c r="L187" s="592"/>
      <c r="M187" s="638"/>
      <c r="N187" s="638"/>
    </row>
    <row r="188" spans="1:14" x14ac:dyDescent="0.2">
      <c r="A188" s="1474" t="s">
        <v>496</v>
      </c>
      <c r="B188" s="590">
        <v>4110</v>
      </c>
      <c r="C188" s="592"/>
      <c r="D188" s="592"/>
      <c r="E188" s="466">
        <f ca="1">ROUND(SUMIF(INDIRECT(Formulas!$B$1),"40-"&amp;LEFT($B188,3)&amp;"*-"&amp;MID(E$1,2,1)&amp;"*",INDIRECT(Formulas!$B$3)),0)</f>
        <v>0</v>
      </c>
      <c r="F188" s="592"/>
      <c r="G188" s="592"/>
      <c r="H188" s="466">
        <f ca="1">ROUND(SUMIF(INDIRECT(Formulas!$B$1),"40-"&amp;LEFT($B188,3)&amp;"*-"&amp;MID(H$1,2,1)&amp;"*",INDIRECT(Formulas!$B$3)),0)</f>
        <v>0</v>
      </c>
      <c r="I188" s="474"/>
      <c r="J188" s="592"/>
      <c r="K188" s="1641">
        <f t="shared" ref="K188:K193" ca="1" si="18">SUM(E188,H188)</f>
        <v>0</v>
      </c>
      <c r="L188" s="466">
        <f ca="1">ROUND(SUMIF(INDIRECT(Formulas!$B$1),"40-"&amp;LEFT($B188,3)&amp;"*",INDIRECT(Formulas!$B$7)),0)</f>
        <v>0</v>
      </c>
    </row>
    <row r="189" spans="1:14" x14ac:dyDescent="0.2">
      <c r="A189" s="1474" t="s">
        <v>304</v>
      </c>
      <c r="B189" s="590">
        <v>4120</v>
      </c>
      <c r="C189" s="592"/>
      <c r="D189" s="592"/>
      <c r="E189" s="466">
        <f ca="1">ROUND(SUMIF(INDIRECT(Formulas!$B$1),"40-"&amp;LEFT($B189,3)&amp;"*-"&amp;MID(E$1,2,1)&amp;"*",INDIRECT(Formulas!$B$3)),0)</f>
        <v>0</v>
      </c>
      <c r="F189" s="592"/>
      <c r="G189" s="592"/>
      <c r="H189" s="466">
        <f ca="1">ROUND(SUMIF(INDIRECT(Formulas!$B$1),"40-"&amp;LEFT($B189,3)&amp;"*-"&amp;MID(H$1,2,1)&amp;"*",INDIRECT(Formulas!$B$3)),0)</f>
        <v>0</v>
      </c>
      <c r="I189" s="474"/>
      <c r="J189" s="592"/>
      <c r="K189" s="1641">
        <f t="shared" ca="1" si="18"/>
        <v>0</v>
      </c>
      <c r="L189" s="466">
        <f ca="1">ROUND(SUMIF(INDIRECT(Formulas!$B$1),"40-"&amp;LEFT($B189,3)&amp;"*",INDIRECT(Formulas!$B$7)),0)</f>
        <v>0</v>
      </c>
    </row>
    <row r="190" spans="1:14" x14ac:dyDescent="0.2">
      <c r="A190" s="1474" t="s">
        <v>305</v>
      </c>
      <c r="B190" s="604">
        <v>4130</v>
      </c>
      <c r="C190" s="592"/>
      <c r="D190" s="592"/>
      <c r="E190" s="466">
        <f ca="1">ROUND(SUMIF(INDIRECT(Formulas!$B$1),"40-"&amp;LEFT($B190,3)&amp;"*-"&amp;MID(E$1,2,1)&amp;"*",INDIRECT(Formulas!$B$3)),0)</f>
        <v>0</v>
      </c>
      <c r="F190" s="592"/>
      <c r="G190" s="592"/>
      <c r="H190" s="466">
        <f ca="1">ROUND(SUMIF(INDIRECT(Formulas!$B$1),"40-"&amp;LEFT($B190,3)&amp;"*-"&amp;MID(H$1,2,1)&amp;"*",INDIRECT(Formulas!$B$3)),0)</f>
        <v>0</v>
      </c>
      <c r="I190" s="474"/>
      <c r="J190" s="592"/>
      <c r="K190" s="1641">
        <f t="shared" ca="1" si="18"/>
        <v>0</v>
      </c>
      <c r="L190" s="466">
        <f ca="1">ROUND(SUMIF(INDIRECT(Formulas!$B$1),"40-"&amp;LEFT($B190,3)&amp;"*",INDIRECT(Formulas!$B$7)),0)</f>
        <v>0</v>
      </c>
    </row>
    <row r="191" spans="1:14" x14ac:dyDescent="0.2">
      <c r="A191" s="1474" t="s">
        <v>697</v>
      </c>
      <c r="B191" s="590">
        <v>4140</v>
      </c>
      <c r="C191" s="592"/>
      <c r="D191" s="592"/>
      <c r="E191" s="466">
        <f ca="1">ROUND(SUMIF(INDIRECT(Formulas!$B$1),"40-"&amp;LEFT($B191,3)&amp;"*-"&amp;MID(E$1,2,1)&amp;"*",INDIRECT(Formulas!$B$3)),0)</f>
        <v>0</v>
      </c>
      <c r="F191" s="592"/>
      <c r="G191" s="592"/>
      <c r="H191" s="466">
        <f ca="1">ROUND(SUMIF(INDIRECT(Formulas!$B$1),"40-"&amp;LEFT($B191,3)&amp;"*-"&amp;MID(H$1,2,1)&amp;"*",INDIRECT(Formulas!$B$3)),0)</f>
        <v>0</v>
      </c>
      <c r="I191" s="474"/>
      <c r="J191" s="592"/>
      <c r="K191" s="1641">
        <f t="shared" ca="1" si="18"/>
        <v>0</v>
      </c>
      <c r="L191" s="466">
        <f ca="1">ROUND(SUMIF(INDIRECT(Formulas!$B$1),"40-"&amp;LEFT($B191,3)&amp;"*",INDIRECT(Formulas!$B$7)),0)</f>
        <v>0</v>
      </c>
    </row>
    <row r="192" spans="1:14" x14ac:dyDescent="0.2">
      <c r="A192" s="1474" t="s">
        <v>86</v>
      </c>
      <c r="B192" s="590">
        <v>4170</v>
      </c>
      <c r="C192" s="592"/>
      <c r="D192" s="592"/>
      <c r="E192" s="466">
        <f ca="1">ROUND(SUMIF(INDIRECT(Formulas!$B$1),"40-"&amp;LEFT($B192,3)&amp;"*-"&amp;MID(E$1,2,1)&amp;"*",INDIRECT(Formulas!$B$3)),0)</f>
        <v>0</v>
      </c>
      <c r="F192" s="592"/>
      <c r="G192" s="592"/>
      <c r="H192" s="466">
        <f ca="1">ROUND(SUMIF(INDIRECT(Formulas!$B$1),"40-"&amp;LEFT($B192,3)&amp;"*-"&amp;MID(H$1,2,1)&amp;"*",INDIRECT(Formulas!$B$3)),0)</f>
        <v>0</v>
      </c>
      <c r="I192" s="474"/>
      <c r="J192" s="592"/>
      <c r="K192" s="1641">
        <f t="shared" ca="1" si="18"/>
        <v>0</v>
      </c>
      <c r="L192" s="466">
        <f ca="1">ROUND(SUMIF(INDIRECT(Formulas!$B$1),"40-"&amp;LEFT($B192,3)&amp;"*",INDIRECT(Formulas!$B$7)),0)</f>
        <v>0</v>
      </c>
    </row>
    <row r="193" spans="1:14" x14ac:dyDescent="0.2">
      <c r="A193" s="1478" t="s">
        <v>698</v>
      </c>
      <c r="B193" s="604">
        <v>4190</v>
      </c>
      <c r="C193" s="592"/>
      <c r="D193" s="592"/>
      <c r="E193" s="466">
        <f ca="1">ROUND(SUMIF(INDIRECT(Formulas!$B$1),"40-"&amp;LEFT($B193,3)&amp;"*-"&amp;MID(E$1,2,1)&amp;"*",INDIRECT(Formulas!$B$3)),0)</f>
        <v>0</v>
      </c>
      <c r="F193" s="592"/>
      <c r="G193" s="592"/>
      <c r="H193" s="466">
        <f ca="1">ROUND(SUMIF(INDIRECT(Formulas!$B$1),"40-"&amp;LEFT($B193,3)&amp;"*-"&amp;MID(H$1,2,1)&amp;"*",INDIRECT(Formulas!$B$3)),0)</f>
        <v>0</v>
      </c>
      <c r="I193" s="474"/>
      <c r="J193" s="592"/>
      <c r="K193" s="1641">
        <f t="shared" ca="1" si="18"/>
        <v>0</v>
      </c>
      <c r="L193" s="466">
        <f ca="1">ROUND(SUMIF(INDIRECT(Formulas!$B$1),"40-"&amp;LEFT($B193,3)&amp;"*",INDIRECT(Formulas!$B$7)),0)</f>
        <v>0</v>
      </c>
    </row>
    <row r="194" spans="1:14" ht="12.75" customHeight="1" thickBot="1" x14ac:dyDescent="0.25">
      <c r="A194" s="1638" t="s">
        <v>1140</v>
      </c>
      <c r="B194" s="1639" t="s">
        <v>559</v>
      </c>
      <c r="C194" s="592"/>
      <c r="D194" s="592"/>
      <c r="E194" s="1640">
        <f ca="1">SUM(E188:E193)</f>
        <v>0</v>
      </c>
      <c r="F194" s="592"/>
      <c r="G194" s="592"/>
      <c r="H194" s="1640">
        <f ca="1">SUM(H188:H193)</f>
        <v>0</v>
      </c>
      <c r="I194" s="474"/>
      <c r="J194" s="592"/>
      <c r="K194" s="1640">
        <f ca="1">SUM(K188:K193)</f>
        <v>0</v>
      </c>
      <c r="L194" s="1640">
        <f ca="1">SUM(L188:L193)</f>
        <v>0</v>
      </c>
    </row>
    <row r="195" spans="1:14" ht="15.75" customHeight="1" thickTop="1" x14ac:dyDescent="0.2">
      <c r="A195" s="642" t="s">
        <v>92</v>
      </c>
      <c r="B195" s="651" t="s">
        <v>931</v>
      </c>
      <c r="C195" s="592"/>
      <c r="D195" s="592"/>
      <c r="E195" s="466">
        <f ca="1">ROUND(SUMIF(INDIRECT(Formulas!$B$1),"40-"&amp;LEFT($B195,3)&amp;"*-"&amp;MID(E$1,2,1)&amp;"*",INDIRECT(Formulas!$B$3)),0)</f>
        <v>0</v>
      </c>
      <c r="F195" s="592"/>
      <c r="G195" s="592"/>
      <c r="H195" s="466">
        <f ca="1">ROUND(SUMIF(INDIRECT(Formulas!$B$1),"40-"&amp;LEFT($B195,3)&amp;"*-"&amp;MID(H$1,2,1)&amp;"*",INDIRECT(Formulas!$B$3)),0)</f>
        <v>0</v>
      </c>
      <c r="I195" s="474"/>
      <c r="J195" s="592"/>
      <c r="K195" s="1655">
        <f ca="1">SUM(E195,H195)</f>
        <v>0</v>
      </c>
      <c r="L195" s="466">
        <f ca="1">ROUND(SUMIF(INDIRECT(Formulas!$B$1),"40-"&amp;LEFT($B195,3)&amp;"*",INDIRECT(Formulas!$B$7)),0)</f>
        <v>0</v>
      </c>
    </row>
    <row r="196" spans="1:14" ht="12.75" customHeight="1" thickBot="1" x14ac:dyDescent="0.25">
      <c r="A196" s="1638" t="s">
        <v>1487</v>
      </c>
      <c r="B196" s="1639" t="s">
        <v>860</v>
      </c>
      <c r="C196" s="592"/>
      <c r="D196" s="592"/>
      <c r="E196" s="1647">
        <f ca="1">SUM(E194,E195)</f>
        <v>0</v>
      </c>
      <c r="F196" s="592"/>
      <c r="G196" s="592"/>
      <c r="H196" s="1647">
        <f ca="1">SUM(H194,H195)</f>
        <v>0</v>
      </c>
      <c r="I196" s="474"/>
      <c r="J196" s="592"/>
      <c r="K196" s="1647">
        <f ca="1">SUM(K194,K195)</f>
        <v>0</v>
      </c>
      <c r="L196" s="1647">
        <f ca="1">SUM(L194,L195)</f>
        <v>0</v>
      </c>
    </row>
    <row r="197" spans="1:14" s="647" customFormat="1" ht="15.75" customHeight="1" thickTop="1" x14ac:dyDescent="0.2">
      <c r="A197" s="1582" t="s">
        <v>940</v>
      </c>
      <c r="B197" s="1579" t="s">
        <v>492</v>
      </c>
      <c r="C197" s="592"/>
      <c r="D197" s="592"/>
      <c r="E197" s="592"/>
      <c r="F197" s="592"/>
      <c r="G197" s="592"/>
      <c r="H197" s="592"/>
      <c r="I197" s="592"/>
      <c r="J197" s="592"/>
      <c r="K197" s="592"/>
      <c r="L197" s="592"/>
      <c r="M197" s="638"/>
      <c r="N197" s="638"/>
    </row>
    <row r="198" spans="1:14" s="647" customFormat="1" ht="15.75" customHeight="1" x14ac:dyDescent="0.2">
      <c r="A198" s="627" t="s">
        <v>93</v>
      </c>
      <c r="B198" s="598"/>
      <c r="C198" s="592"/>
      <c r="D198" s="592"/>
      <c r="E198" s="592"/>
      <c r="F198" s="592"/>
      <c r="G198" s="592"/>
      <c r="H198" s="592"/>
      <c r="I198" s="592"/>
      <c r="J198" s="592"/>
      <c r="K198" s="592"/>
      <c r="L198" s="592"/>
      <c r="M198" s="638"/>
      <c r="N198" s="638"/>
    </row>
    <row r="199" spans="1:14" x14ac:dyDescent="0.2">
      <c r="A199" s="1474" t="s">
        <v>87</v>
      </c>
      <c r="B199" s="590">
        <v>5110</v>
      </c>
      <c r="C199" s="592"/>
      <c r="D199" s="592"/>
      <c r="E199" s="592"/>
      <c r="F199" s="592"/>
      <c r="G199" s="592"/>
      <c r="H199" s="466">
        <f ca="1">ROUND(SUMIF(INDIRECT(Formulas!$B$1),"40-"&amp;LEFT($B199,3)&amp;"*-"&amp;MID(H$1,2,1)&amp;"*",INDIRECT(Formulas!$B$3)),0)</f>
        <v>0</v>
      </c>
      <c r="I199" s="592"/>
      <c r="J199" s="592"/>
      <c r="K199" s="1641">
        <f ca="1">SUM(H199)</f>
        <v>0</v>
      </c>
      <c r="L199" s="466">
        <f ca="1">ROUND(SUMIF(INDIRECT(Formulas!$B$1),"40-"&amp;LEFT($B199,3)&amp;"*",INDIRECT(Formulas!$B$7)),0)</f>
        <v>0</v>
      </c>
    </row>
    <row r="200" spans="1:14" x14ac:dyDescent="0.2">
      <c r="A200" s="1474" t="s">
        <v>88</v>
      </c>
      <c r="B200" s="590">
        <v>5120</v>
      </c>
      <c r="C200" s="592"/>
      <c r="D200" s="592"/>
      <c r="E200" s="592"/>
      <c r="F200" s="592"/>
      <c r="G200" s="592"/>
      <c r="H200" s="466">
        <f ca="1">ROUND(SUMIF(INDIRECT(Formulas!$B$1),"40-"&amp;LEFT($B200,3)&amp;"*-"&amp;MID(H$1,2,1)&amp;"*",INDIRECT(Formulas!$B$3)),0)</f>
        <v>0</v>
      </c>
      <c r="I200" s="592"/>
      <c r="J200" s="592"/>
      <c r="K200" s="1641">
        <f ca="1">SUM(H200)</f>
        <v>0</v>
      </c>
      <c r="L200" s="466">
        <f ca="1">ROUND(SUMIF(INDIRECT(Formulas!$B$1),"40-"&amp;LEFT($B200,3)&amp;"*",INDIRECT(Formulas!$B$7)),0)</f>
        <v>0</v>
      </c>
    </row>
    <row r="201" spans="1:14" ht="12.75" customHeight="1" x14ac:dyDescent="0.2">
      <c r="A201" s="1474" t="s">
        <v>1170</v>
      </c>
      <c r="B201" s="604" t="s">
        <v>617</v>
      </c>
      <c r="C201" s="592"/>
      <c r="D201" s="592"/>
      <c r="E201" s="592"/>
      <c r="F201" s="592"/>
      <c r="G201" s="592"/>
      <c r="H201" s="466">
        <f ca="1">ROUND(SUMIF(INDIRECT(Formulas!$B$1),"40-"&amp;LEFT($B201,3)&amp;"*-"&amp;MID(H$1,2,1)&amp;"*",INDIRECT(Formulas!$B$3)),0)</f>
        <v>0</v>
      </c>
      <c r="I201" s="592"/>
      <c r="J201" s="592"/>
      <c r="K201" s="1641">
        <f ca="1">SUM(H201)</f>
        <v>0</v>
      </c>
      <c r="L201" s="466">
        <f ca="1">ROUND(SUMIF(INDIRECT(Formulas!$B$1),"40-"&amp;LEFT($B201,3)&amp;"*",INDIRECT(Formulas!$B$7)),0)</f>
        <v>0</v>
      </c>
    </row>
    <row r="202" spans="1:14" x14ac:dyDescent="0.2">
      <c r="A202" s="1474" t="s">
        <v>89</v>
      </c>
      <c r="B202" s="590" t="s">
        <v>589</v>
      </c>
      <c r="C202" s="592"/>
      <c r="D202" s="592"/>
      <c r="E202" s="592"/>
      <c r="F202" s="592"/>
      <c r="G202" s="592"/>
      <c r="H202" s="466">
        <f ca="1">ROUND(SUMIF(INDIRECT(Formulas!$B$1),"40-"&amp;LEFT($B202,3)&amp;"*-"&amp;MID(H$1,2,1)&amp;"*",INDIRECT(Formulas!$B$3)),0)</f>
        <v>0</v>
      </c>
      <c r="I202" s="592"/>
      <c r="J202" s="592"/>
      <c r="K202" s="1641">
        <f ca="1">SUM(H202)</f>
        <v>0</v>
      </c>
      <c r="L202" s="466">
        <f ca="1">ROUND(SUMIF(INDIRECT(Formulas!$B$1),"40-"&amp;LEFT($B202,3)&amp;"*",INDIRECT(Formulas!$B$7)),0)</f>
        <v>0</v>
      </c>
    </row>
    <row r="203" spans="1:14" x14ac:dyDescent="0.2">
      <c r="A203" s="1486" t="s">
        <v>619</v>
      </c>
      <c r="B203" s="590" t="s">
        <v>618</v>
      </c>
      <c r="C203" s="592"/>
      <c r="D203" s="592"/>
      <c r="E203" s="592"/>
      <c r="F203" s="592"/>
      <c r="G203" s="592"/>
      <c r="H203" s="466">
        <f ca="1">ROUND(SUMIF(INDIRECT(Formulas!$B$1),"40-"&amp;LEFT($B203,3)&amp;"*-"&amp;MID(H$1,2,1)&amp;"*",INDIRECT(Formulas!$B$3)),0)</f>
        <v>0</v>
      </c>
      <c r="I203" s="592"/>
      <c r="J203" s="592"/>
      <c r="K203" s="1641">
        <f ca="1">SUM(H203)</f>
        <v>0</v>
      </c>
      <c r="L203" s="466">
        <f ca="1">ROUND(SUMIF(INDIRECT(Formulas!$B$1),"40-"&amp;LEFT($B203,3)&amp;"*",INDIRECT(Formulas!$B$7)),0)</f>
        <v>0</v>
      </c>
    </row>
    <row r="204" spans="1:14" ht="13.5" thickBot="1" x14ac:dyDescent="0.25">
      <c r="A204" s="1638" t="s">
        <v>276</v>
      </c>
      <c r="B204" s="1639" t="s">
        <v>718</v>
      </c>
      <c r="C204" s="592"/>
      <c r="D204" s="592"/>
      <c r="E204" s="592"/>
      <c r="F204" s="592"/>
      <c r="G204" s="592"/>
      <c r="H204" s="1640">
        <f ca="1">SUM(H199:H203)</f>
        <v>0</v>
      </c>
      <c r="I204" s="592"/>
      <c r="J204" s="592"/>
      <c r="K204" s="1640">
        <f ca="1">SUM(K199:K203)</f>
        <v>0</v>
      </c>
      <c r="L204" s="1640">
        <f ca="1">SUM(L199:L203)</f>
        <v>0</v>
      </c>
    </row>
    <row r="205" spans="1:14" ht="15.75" customHeight="1" thickTop="1" x14ac:dyDescent="0.2">
      <c r="A205" s="652" t="s">
        <v>83</v>
      </c>
      <c r="B205" s="653" t="s">
        <v>38</v>
      </c>
      <c r="C205" s="592"/>
      <c r="D205" s="592"/>
      <c r="E205" s="592"/>
      <c r="F205" s="592"/>
      <c r="G205" s="592"/>
      <c r="H205" s="466">
        <f ca="1">ROUND(SUMIF(INDIRECT(Formulas!$B$1),"40-"&amp;LEFT($B205,3)&amp;"*-"&amp;MID(H$1,2,1)&amp;"*",INDIRECT(Formulas!$B$3)),0)</f>
        <v>14916</v>
      </c>
      <c r="I205" s="592"/>
      <c r="J205" s="592"/>
      <c r="K205" s="1655">
        <f ca="1">SUM(H205)</f>
        <v>14916</v>
      </c>
      <c r="L205" s="466">
        <f ca="1">ROUND(SUMIF(INDIRECT(Formulas!$B$1),"40-"&amp;LEFT($B205,3)&amp;"*",INDIRECT(Formulas!$B$7)),0)</f>
        <v>0</v>
      </c>
    </row>
    <row r="206" spans="1:14" ht="30" customHeight="1" x14ac:dyDescent="0.2">
      <c r="A206" s="654" t="s">
        <v>1671</v>
      </c>
      <c r="B206" s="645" t="s">
        <v>31</v>
      </c>
      <c r="C206" s="592"/>
      <c r="D206" s="592"/>
      <c r="E206" s="592"/>
      <c r="F206" s="592"/>
      <c r="G206" s="592"/>
      <c r="H206" s="466">
        <f ca="1">ROUND(SUMIF(INDIRECT(Formulas!$B$1),"40-"&amp;LEFT($B206,3)&amp;"*-"&amp;MID(H$1,2,1)&amp;"*",INDIRECT(Formulas!$B$3)),0)</f>
        <v>135348</v>
      </c>
      <c r="I206" s="592"/>
      <c r="J206" s="592"/>
      <c r="K206" s="1641">
        <f ca="1">SUM(H206)</f>
        <v>135348</v>
      </c>
      <c r="L206" s="466">
        <f ca="1">ROUND(SUMIF(INDIRECT(Formulas!$B$1),"40-"&amp;LEFT($B206,3)&amp;"*",INDIRECT(Formulas!$B$7)),0)</f>
        <v>0</v>
      </c>
    </row>
    <row r="207" spans="1:14" ht="15.75" customHeight="1" x14ac:dyDescent="0.2">
      <c r="A207" s="597" t="s">
        <v>766</v>
      </c>
      <c r="B207" s="645" t="s">
        <v>84</v>
      </c>
      <c r="C207" s="592"/>
      <c r="D207" s="592"/>
      <c r="E207" s="592"/>
      <c r="F207" s="592"/>
      <c r="G207" s="592"/>
      <c r="H207" s="466">
        <f ca="1">ROUND(SUMIF(INDIRECT(Formulas!$B$1),"40-"&amp;LEFT($B207,3)&amp;"*-"&amp;MID(H$1,2,1)&amp;"*",INDIRECT(Formulas!$B$3)),0)</f>
        <v>0</v>
      </c>
      <c r="I207" s="592"/>
      <c r="J207" s="592"/>
      <c r="K207" s="1641">
        <f ca="1">H207</f>
        <v>0</v>
      </c>
      <c r="L207" s="466">
        <f ca="1">ROUND(SUMIF(INDIRECT(Formulas!$B$1),"40-"&amp;LEFT($B207,3)&amp;"*",INDIRECT(Formulas!$B$7)),0)</f>
        <v>0</v>
      </c>
    </row>
    <row r="208" spans="1:14" ht="12.75" customHeight="1" thickBot="1" x14ac:dyDescent="0.25">
      <c r="A208" s="1656" t="s">
        <v>638</v>
      </c>
      <c r="B208" s="1657" t="s">
        <v>492</v>
      </c>
      <c r="C208" s="592"/>
      <c r="D208" s="592"/>
      <c r="E208" s="592"/>
      <c r="F208" s="592"/>
      <c r="G208" s="592"/>
      <c r="H208" s="1647">
        <f ca="1">SUM(H204,H205,H206,H207)</f>
        <v>150264</v>
      </c>
      <c r="I208" s="592"/>
      <c r="J208" s="592"/>
      <c r="K208" s="1647">
        <f ca="1">SUM(K204,K205,K206,K207)</f>
        <v>150264</v>
      </c>
      <c r="L208" s="1647">
        <f ca="1">SUM(L204,L205,L206,L207)</f>
        <v>0</v>
      </c>
    </row>
    <row r="209" spans="1:14" ht="15.75" customHeight="1" thickTop="1" x14ac:dyDescent="0.2">
      <c r="A209" s="1576" t="s">
        <v>872</v>
      </c>
      <c r="B209" s="1583" t="s">
        <v>861</v>
      </c>
      <c r="C209" s="599"/>
      <c r="D209" s="599"/>
      <c r="E209" s="599"/>
      <c r="F209" s="599"/>
      <c r="G209" s="599"/>
      <c r="H209" s="599"/>
      <c r="I209" s="592"/>
      <c r="J209" s="592"/>
      <c r="K209" s="599"/>
      <c r="L209" s="466">
        <f ca="1">ROUND(SUMIF(INDIRECT(Formulas!$B$1),"40-"&amp;LEFT($B209,3)&amp;"*",INDIRECT(Formulas!$B$7)),0)</f>
        <v>0</v>
      </c>
    </row>
    <row r="210" spans="1:14" ht="12.75" customHeight="1" thickBot="1" x14ac:dyDescent="0.25">
      <c r="A210" s="1662" t="s">
        <v>277</v>
      </c>
      <c r="B210" s="1663"/>
      <c r="C210" s="1640">
        <f ca="1">SUM(C184,C185)</f>
        <v>895489</v>
      </c>
      <c r="D210" s="1640">
        <f ca="1">SUM(D184,D185)</f>
        <v>59509</v>
      </c>
      <c r="E210" s="1640">
        <f ca="1">SUM(E184,E185,E196)</f>
        <v>133087</v>
      </c>
      <c r="F210" s="1640">
        <f ca="1">SUM(F184,F185)</f>
        <v>203419</v>
      </c>
      <c r="G210" s="1640">
        <f ca="1">SUM(G184,G185)</f>
        <v>0</v>
      </c>
      <c r="H210" s="1640">
        <f ca="1">SUM(H184,H185,H196,H208,H209)</f>
        <v>150264</v>
      </c>
      <c r="I210" s="1640">
        <f ca="1">SUM(I184,I185)</f>
        <v>0</v>
      </c>
      <c r="J210" s="1640">
        <f ca="1">SUM(J184,J185)</f>
        <v>0</v>
      </c>
      <c r="K210" s="1641">
        <f ca="1">SUM(K184,K185,K196,K208,K209)</f>
        <v>1441768</v>
      </c>
      <c r="L210" s="1640">
        <f ca="1">SUM(L184,L185,L196,L208,L209)</f>
        <v>1522413</v>
      </c>
    </row>
    <row r="211" spans="1:14" ht="13.5" thickTop="1" x14ac:dyDescent="0.2">
      <c r="A211" s="2207" t="s">
        <v>996</v>
      </c>
      <c r="B211" s="2208"/>
      <c r="C211" s="594"/>
      <c r="D211" s="594"/>
      <c r="E211" s="594"/>
      <c r="F211" s="594"/>
      <c r="G211" s="594"/>
      <c r="H211" s="594"/>
      <c r="I211" s="592"/>
      <c r="J211" s="592"/>
      <c r="K211" s="1654">
        <f ca="1">'Revenues 9-14'!F268-'Expenditures 15-22'!K210</f>
        <v>88110</v>
      </c>
      <c r="L211" s="594"/>
    </row>
    <row r="212" spans="1:14" s="639" customFormat="1" ht="9" customHeight="1" x14ac:dyDescent="0.2">
      <c r="A212" s="636"/>
      <c r="B212" s="646"/>
      <c r="C212" s="624"/>
      <c r="D212" s="624"/>
      <c r="E212" s="624"/>
      <c r="F212" s="624"/>
      <c r="G212" s="624"/>
      <c r="H212" s="624"/>
      <c r="I212" s="624"/>
      <c r="J212" s="624"/>
      <c r="K212" s="624"/>
      <c r="L212" s="624"/>
      <c r="M212" s="638"/>
      <c r="N212" s="638"/>
    </row>
    <row r="213" spans="1:14" s="343" customFormat="1" ht="16.7" customHeight="1" x14ac:dyDescent="0.2">
      <c r="A213" s="2229" t="s">
        <v>965</v>
      </c>
      <c r="B213" s="2230"/>
      <c r="C213" s="1521"/>
      <c r="D213" s="1522"/>
      <c r="E213" s="1522"/>
      <c r="F213" s="1522"/>
      <c r="G213" s="1522"/>
      <c r="H213" s="1522"/>
      <c r="I213" s="1522"/>
      <c r="J213" s="1522"/>
      <c r="K213" s="1522"/>
      <c r="L213" s="1523"/>
      <c r="M213" s="585"/>
      <c r="N213" s="585"/>
    </row>
    <row r="214" spans="1:14" s="647" customFormat="1" ht="15.75" customHeight="1" x14ac:dyDescent="0.2">
      <c r="A214" s="1593" t="s">
        <v>873</v>
      </c>
      <c r="B214" s="1585" t="s">
        <v>570</v>
      </c>
      <c r="C214" s="592"/>
      <c r="D214" s="599"/>
      <c r="E214" s="592"/>
      <c r="F214" s="592"/>
      <c r="G214" s="592"/>
      <c r="H214" s="592"/>
      <c r="I214" s="592"/>
      <c r="J214" s="592"/>
      <c r="K214" s="599"/>
      <c r="L214" s="599"/>
      <c r="M214" s="638"/>
      <c r="N214" s="638"/>
    </row>
    <row r="215" spans="1:14" x14ac:dyDescent="0.2">
      <c r="A215" s="1474" t="s">
        <v>961</v>
      </c>
      <c r="B215" s="590">
        <v>1100</v>
      </c>
      <c r="C215" s="592"/>
      <c r="D215" s="466">
        <f ca="1">ROUND(SUMIF(INDIRECT(Formulas!$B$1),"50-"&amp;LEFT($B215,3)&amp;"*-"&amp;MID(D$1,2,1)&amp;"*",INDIRECT(Formulas!$B$3)),0)</f>
        <v>93476</v>
      </c>
      <c r="E215" s="592"/>
      <c r="F215" s="592"/>
      <c r="G215" s="592"/>
      <c r="H215" s="592"/>
      <c r="I215" s="592"/>
      <c r="J215" s="592"/>
      <c r="K215" s="1641">
        <f ca="1">D215</f>
        <v>93476</v>
      </c>
      <c r="L215" s="466">
        <f ca="1">ROUND(SUMIF(INDIRECT(Formulas!$B$1),"50-"&amp;LEFT($B215,3)&amp;"*",INDIRECT(Formulas!$B$7)),0)</f>
        <v>95651</v>
      </c>
    </row>
    <row r="216" spans="1:14" x14ac:dyDescent="0.2">
      <c r="A216" s="1474" t="s">
        <v>163</v>
      </c>
      <c r="B216" s="590" t="s">
        <v>967</v>
      </c>
      <c r="C216" s="592"/>
      <c r="D216" s="466">
        <f ca="1">ROUND(SUMIF(INDIRECT(Formulas!$B$1),"50-"&amp;LEFT($B216,3)&amp;"*-"&amp;MID(D$1,2,1)&amp;"*",INDIRECT(Formulas!$B$3)),0)</f>
        <v>0</v>
      </c>
      <c r="E216" s="592"/>
      <c r="F216" s="592"/>
      <c r="G216" s="592"/>
      <c r="H216" s="592"/>
      <c r="I216" s="592"/>
      <c r="J216" s="592"/>
      <c r="K216" s="1641">
        <f t="shared" ref="K216:K228" ca="1" si="19">D216</f>
        <v>0</v>
      </c>
      <c r="L216" s="466">
        <f ca="1">ROUND(SUMIF(INDIRECT(Formulas!$B$1),"50-"&amp;LEFT($B216,3)&amp;"*",INDIRECT(Formulas!$B$7)),0)</f>
        <v>0</v>
      </c>
    </row>
    <row r="217" spans="1:14" x14ac:dyDescent="0.2">
      <c r="A217" s="1474" t="s">
        <v>164</v>
      </c>
      <c r="B217" s="590">
        <v>1200</v>
      </c>
      <c r="C217" s="592"/>
      <c r="D217" s="466">
        <f ca="1">ROUND(SUMIF(INDIRECT(Formulas!$B$1),"50-"&amp;LEFT($B217,3)&amp;"*-"&amp;MID(D$1,2,1)&amp;"*",INDIRECT(Formulas!$B$3)),0)</f>
        <v>119730</v>
      </c>
      <c r="E217" s="592"/>
      <c r="F217" s="592"/>
      <c r="G217" s="592"/>
      <c r="H217" s="592"/>
      <c r="I217" s="592"/>
      <c r="J217" s="592"/>
      <c r="K217" s="1641">
        <f t="shared" ca="1" si="19"/>
        <v>119730</v>
      </c>
      <c r="L217" s="466">
        <f ca="1">ROUND(SUMIF(INDIRECT(Formulas!$B$1),"50-"&amp;LEFT($B217,3)&amp;"*",INDIRECT(Formulas!$B$7)),0)</f>
        <v>115601</v>
      </c>
    </row>
    <row r="218" spans="1:14" x14ac:dyDescent="0.2">
      <c r="A218" s="1474" t="s">
        <v>278</v>
      </c>
      <c r="B218" s="590" t="s">
        <v>968</v>
      </c>
      <c r="C218" s="592"/>
      <c r="D218" s="466">
        <f ca="1">ROUND(SUMIF(INDIRECT(Formulas!$B$1),"50-"&amp;LEFT($B218,3)&amp;"*-"&amp;MID(D$1,2,1)&amp;"*",INDIRECT(Formulas!$B$3)),0)</f>
        <v>42953</v>
      </c>
      <c r="E218" s="592"/>
      <c r="F218" s="592"/>
      <c r="G218" s="592"/>
      <c r="H218" s="592"/>
      <c r="I218" s="592"/>
      <c r="J218" s="592"/>
      <c r="K218" s="1641">
        <f t="shared" ca="1" si="19"/>
        <v>42953</v>
      </c>
      <c r="L218" s="466">
        <f ca="1">ROUND(SUMIF(INDIRECT(Formulas!$B$1),"50-"&amp;LEFT($B218,3)&amp;"*",INDIRECT(Formulas!$B$7)),0)</f>
        <v>46002</v>
      </c>
    </row>
    <row r="219" spans="1:14" x14ac:dyDescent="0.2">
      <c r="A219" s="1474" t="s">
        <v>279</v>
      </c>
      <c r="B219" s="590">
        <v>1250</v>
      </c>
      <c r="C219" s="592"/>
      <c r="D219" s="466">
        <f ca="1">ROUND(SUMIF(INDIRECT(Formulas!$B$1),"50-"&amp;LEFT($B219,3)&amp;"*-"&amp;MID(D$1,2,1)&amp;"*",INDIRECT(Formulas!$B$3)),0)</f>
        <v>6586</v>
      </c>
      <c r="E219" s="592"/>
      <c r="F219" s="592"/>
      <c r="G219" s="592"/>
      <c r="H219" s="592"/>
      <c r="I219" s="592"/>
      <c r="J219" s="592"/>
      <c r="K219" s="1641">
        <f t="shared" ca="1" si="19"/>
        <v>6586</v>
      </c>
      <c r="L219" s="466">
        <f ca="1">ROUND(SUMIF(INDIRECT(Formulas!$B$1),"50-"&amp;LEFT($B219,3)&amp;"*",INDIRECT(Formulas!$B$7)),0)</f>
        <v>8896</v>
      </c>
    </row>
    <row r="220" spans="1:14" x14ac:dyDescent="0.2">
      <c r="A220" s="1474" t="s">
        <v>280</v>
      </c>
      <c r="B220" s="590" t="s">
        <v>161</v>
      </c>
      <c r="C220" s="592"/>
      <c r="D220" s="466">
        <f ca="1">ROUND(SUMIF(INDIRECT(Formulas!$B$1),"50-"&amp;LEFT($B220,3)&amp;"*-"&amp;MID(D$1,2,1)&amp;"*",INDIRECT(Formulas!$B$3)),0)</f>
        <v>34034</v>
      </c>
      <c r="E220" s="592"/>
      <c r="F220" s="592"/>
      <c r="G220" s="592"/>
      <c r="H220" s="592"/>
      <c r="I220" s="592"/>
      <c r="J220" s="592"/>
      <c r="K220" s="1641">
        <f t="shared" ca="1" si="19"/>
        <v>34034</v>
      </c>
      <c r="L220" s="466">
        <f ca="1">ROUND(SUMIF(INDIRECT(Formulas!$B$1),"50-"&amp;LEFT($B220,3)&amp;"*",INDIRECT(Formulas!$B$7)),0)</f>
        <v>48442</v>
      </c>
    </row>
    <row r="221" spans="1:14" x14ac:dyDescent="0.2">
      <c r="A221" s="1474" t="s">
        <v>962</v>
      </c>
      <c r="B221" s="590">
        <v>1300</v>
      </c>
      <c r="C221" s="592"/>
      <c r="D221" s="466">
        <f ca="1">ROUND(SUMIF(INDIRECT(Formulas!$B$1),"50-"&amp;LEFT($B221,3)&amp;"*-"&amp;MID(D$1,2,1)&amp;"*",INDIRECT(Formulas!$B$3)),0)</f>
        <v>0</v>
      </c>
      <c r="E221" s="592"/>
      <c r="F221" s="592"/>
      <c r="G221" s="592"/>
      <c r="H221" s="592"/>
      <c r="I221" s="592"/>
      <c r="J221" s="592"/>
      <c r="K221" s="1641">
        <f t="shared" ca="1" si="19"/>
        <v>0</v>
      </c>
      <c r="L221" s="466">
        <f ca="1">ROUND(SUMIF(INDIRECT(Formulas!$B$1),"50-"&amp;LEFT($B221,3)&amp;"*",INDIRECT(Formulas!$B$7)),0)</f>
        <v>0</v>
      </c>
    </row>
    <row r="222" spans="1:14" x14ac:dyDescent="0.2">
      <c r="A222" s="1474" t="s">
        <v>723</v>
      </c>
      <c r="B222" s="590">
        <v>1400</v>
      </c>
      <c r="C222" s="592"/>
      <c r="D222" s="466">
        <f ca="1">ROUND(SUMIF(INDIRECT(Formulas!$B$1),"50-"&amp;LEFT($B222,3)&amp;"*-"&amp;MID(D$1,2,1)&amp;"*",INDIRECT(Formulas!$B$3)),0)</f>
        <v>0</v>
      </c>
      <c r="E222" s="592"/>
      <c r="F222" s="592"/>
      <c r="G222" s="592"/>
      <c r="H222" s="592"/>
      <c r="I222" s="592"/>
      <c r="J222" s="592"/>
      <c r="K222" s="1641">
        <f t="shared" ca="1" si="19"/>
        <v>0</v>
      </c>
      <c r="L222" s="466">
        <f ca="1">ROUND(SUMIF(INDIRECT(Formulas!$B$1),"50-"&amp;LEFT($B222,3)&amp;"*",INDIRECT(Formulas!$B$7)),0)</f>
        <v>0</v>
      </c>
    </row>
    <row r="223" spans="1:14" x14ac:dyDescent="0.2">
      <c r="A223" s="1474" t="s">
        <v>963</v>
      </c>
      <c r="B223" s="590">
        <v>1500</v>
      </c>
      <c r="C223" s="592"/>
      <c r="D223" s="466">
        <f ca="1">ROUND(SUMIF(INDIRECT(Formulas!$B$1),"50-"&amp;LEFT($B223,3)&amp;"*-"&amp;MID(D$1,2,1)&amp;"*",INDIRECT(Formulas!$B$3)),0)</f>
        <v>2639</v>
      </c>
      <c r="E223" s="592"/>
      <c r="F223" s="592"/>
      <c r="G223" s="592"/>
      <c r="H223" s="592"/>
      <c r="I223" s="592"/>
      <c r="J223" s="592"/>
      <c r="K223" s="1641">
        <f t="shared" ca="1" si="19"/>
        <v>2639</v>
      </c>
      <c r="L223" s="466">
        <f ca="1">ROUND(SUMIF(INDIRECT(Formulas!$B$1),"50-"&amp;LEFT($B223,3)&amp;"*",INDIRECT(Formulas!$B$7)),0)</f>
        <v>2807</v>
      </c>
    </row>
    <row r="224" spans="1:14" x14ac:dyDescent="0.2">
      <c r="A224" s="1474" t="s">
        <v>964</v>
      </c>
      <c r="B224" s="590">
        <v>1600</v>
      </c>
      <c r="C224" s="592"/>
      <c r="D224" s="466">
        <f ca="1">ROUND(SUMIF(INDIRECT(Formulas!$B$1),"50-"&amp;LEFT($B224,3)&amp;"*-"&amp;MID(D$1,2,1)&amp;"*",INDIRECT(Formulas!$B$3)),0)</f>
        <v>0</v>
      </c>
      <c r="E224" s="592"/>
      <c r="F224" s="592"/>
      <c r="G224" s="592"/>
      <c r="H224" s="592"/>
      <c r="I224" s="592"/>
      <c r="J224" s="592"/>
      <c r="K224" s="1641">
        <f t="shared" ca="1" si="19"/>
        <v>0</v>
      </c>
      <c r="L224" s="466">
        <f ca="1">ROUND(SUMIF(INDIRECT(Formulas!$B$1),"50-"&amp;LEFT($B224,3)&amp;"*",INDIRECT(Formulas!$B$7)),0)</f>
        <v>0</v>
      </c>
    </row>
    <row r="225" spans="1:12" x14ac:dyDescent="0.2">
      <c r="A225" s="1474" t="s">
        <v>987</v>
      </c>
      <c r="B225" s="590">
        <v>1650</v>
      </c>
      <c r="C225" s="592"/>
      <c r="D225" s="466">
        <f ca="1">ROUND(SUMIF(INDIRECT(Formulas!$B$1),"50-"&amp;LEFT($B225,3)&amp;"*-"&amp;MID(D$1,2,1)&amp;"*",INDIRECT(Formulas!$B$3)),0)</f>
        <v>0</v>
      </c>
      <c r="E225" s="592"/>
      <c r="F225" s="592"/>
      <c r="G225" s="592"/>
      <c r="H225" s="592"/>
      <c r="I225" s="592"/>
      <c r="J225" s="592"/>
      <c r="K225" s="1641">
        <f t="shared" ca="1" si="19"/>
        <v>0</v>
      </c>
      <c r="L225" s="466">
        <f ca="1">ROUND(SUMIF(INDIRECT(Formulas!$B$1),"50-"&amp;LEFT($B225,3)&amp;"*",INDIRECT(Formulas!$B$7)),0)</f>
        <v>0</v>
      </c>
    </row>
    <row r="226" spans="1:12" x14ac:dyDescent="0.2">
      <c r="A226" s="1474" t="s">
        <v>724</v>
      </c>
      <c r="B226" s="590" t="s">
        <v>162</v>
      </c>
      <c r="C226" s="592"/>
      <c r="D226" s="466">
        <f ca="1">ROUND(SUMIF(INDIRECT(Formulas!$B$1),"50-"&amp;LEFT($B226,3)&amp;"*-"&amp;MID(D$1,2,1)&amp;"*",INDIRECT(Formulas!$B$3)),0)</f>
        <v>0</v>
      </c>
      <c r="E226" s="592"/>
      <c r="F226" s="592"/>
      <c r="G226" s="592"/>
      <c r="H226" s="592"/>
      <c r="I226" s="592"/>
      <c r="J226" s="592"/>
      <c r="K226" s="1641">
        <f t="shared" ca="1" si="19"/>
        <v>0</v>
      </c>
      <c r="L226" s="466">
        <f ca="1">ROUND(SUMIF(INDIRECT(Formulas!$B$1),"50-"&amp;LEFT($B226,3)&amp;"*",INDIRECT(Formulas!$B$7)),0)</f>
        <v>0</v>
      </c>
    </row>
    <row r="227" spans="1:12" x14ac:dyDescent="0.2">
      <c r="A227" s="1474" t="s">
        <v>1087</v>
      </c>
      <c r="B227" s="590">
        <v>1800</v>
      </c>
      <c r="C227" s="592"/>
      <c r="D227" s="466">
        <f ca="1">ROUND(SUMIF(INDIRECT(Formulas!$B$1),"50-"&amp;LEFT($B227,3)&amp;"*-"&amp;MID(D$1,2,1)&amp;"*",INDIRECT(Formulas!$B$3)),0)</f>
        <v>0</v>
      </c>
      <c r="E227" s="592"/>
      <c r="F227" s="592"/>
      <c r="G227" s="592"/>
      <c r="H227" s="592"/>
      <c r="I227" s="592"/>
      <c r="J227" s="592"/>
      <c r="K227" s="1641">
        <f t="shared" ca="1" si="19"/>
        <v>0</v>
      </c>
      <c r="L227" s="466">
        <f ca="1">ROUND(SUMIF(INDIRECT(Formulas!$B$1),"50-"&amp;LEFT($B227,3)&amp;"*",INDIRECT(Formulas!$B$7)),0)</f>
        <v>0</v>
      </c>
    </row>
    <row r="228" spans="1:12" x14ac:dyDescent="0.2">
      <c r="A228" s="1474" t="s">
        <v>1088</v>
      </c>
      <c r="B228" s="590">
        <v>1900</v>
      </c>
      <c r="C228" s="592"/>
      <c r="D228" s="466">
        <f ca="1">ROUND(SUMIF(INDIRECT(Formulas!$B$1),"50-"&amp;LEFT($B228,3)&amp;"*-"&amp;MID(D$1,2,1)&amp;"*",INDIRECT(Formulas!$B$3)),0)</f>
        <v>0</v>
      </c>
      <c r="E228" s="592"/>
      <c r="F228" s="592"/>
      <c r="G228" s="592"/>
      <c r="H228" s="592"/>
      <c r="I228" s="592"/>
      <c r="J228" s="592"/>
      <c r="K228" s="1641">
        <f t="shared" ca="1" si="19"/>
        <v>0</v>
      </c>
      <c r="L228" s="466">
        <f ca="1">ROUND(SUMIF(INDIRECT(Formulas!$B$1),"50-"&amp;LEFT($B228,3)&amp;"*",INDIRECT(Formulas!$B$7)),0)</f>
        <v>0</v>
      </c>
    </row>
    <row r="229" spans="1:12" ht="12.75" customHeight="1" thickBot="1" x14ac:dyDescent="0.25">
      <c r="A229" s="1638" t="s">
        <v>715</v>
      </c>
      <c r="B229" s="1645" t="s">
        <v>570</v>
      </c>
      <c r="C229" s="592"/>
      <c r="D229" s="1640">
        <f ca="1">SUM(D215:D228)</f>
        <v>299418</v>
      </c>
      <c r="E229" s="592"/>
      <c r="F229" s="592"/>
      <c r="G229" s="592"/>
      <c r="H229" s="592"/>
      <c r="I229" s="592"/>
      <c r="J229" s="592"/>
      <c r="K229" s="1640">
        <f ca="1">SUM(K215:K228)</f>
        <v>299418</v>
      </c>
      <c r="L229" s="1640">
        <f ca="1">SUM(L215:L228)</f>
        <v>317399</v>
      </c>
    </row>
    <row r="230" spans="1:12" ht="15.75" customHeight="1" thickTop="1" x14ac:dyDescent="0.2">
      <c r="A230" s="1582" t="s">
        <v>874</v>
      </c>
      <c r="B230" s="1583" t="s">
        <v>569</v>
      </c>
      <c r="C230" s="592"/>
      <c r="D230" s="592"/>
      <c r="E230" s="592"/>
      <c r="F230" s="592"/>
      <c r="G230" s="592"/>
      <c r="H230" s="592"/>
      <c r="I230" s="592"/>
      <c r="J230" s="592"/>
      <c r="K230" s="592"/>
      <c r="L230" s="592"/>
    </row>
    <row r="231" spans="1:12" ht="15.75" customHeight="1" x14ac:dyDescent="0.2">
      <c r="A231" s="627" t="s">
        <v>591</v>
      </c>
      <c r="B231" s="598"/>
      <c r="C231" s="592"/>
      <c r="D231" s="592"/>
      <c r="E231" s="592"/>
      <c r="F231" s="592"/>
      <c r="G231" s="592"/>
      <c r="H231" s="592"/>
      <c r="I231" s="592"/>
      <c r="J231" s="592"/>
      <c r="K231" s="592"/>
      <c r="L231" s="592"/>
    </row>
    <row r="232" spans="1:12" x14ac:dyDescent="0.2">
      <c r="A232" s="1474" t="s">
        <v>1089</v>
      </c>
      <c r="B232" s="590">
        <v>2110</v>
      </c>
      <c r="C232" s="592"/>
      <c r="D232" s="466">
        <f ca="1">ROUND(SUMIF(INDIRECT(Formulas!$B$1),"50-"&amp;LEFT($B232,3)&amp;"*-"&amp;MID(D$1,2,1)&amp;"*",INDIRECT(Formulas!$B$3)),0)</f>
        <v>5024</v>
      </c>
      <c r="E232" s="592"/>
      <c r="F232" s="592"/>
      <c r="G232" s="592"/>
      <c r="H232" s="592"/>
      <c r="I232" s="592"/>
      <c r="J232" s="592"/>
      <c r="K232" s="1641">
        <f t="shared" ref="K232:K237" ca="1" si="20">D232</f>
        <v>5024</v>
      </c>
      <c r="L232" s="466">
        <f ca="1">ROUND(SUMIF(INDIRECT(Formulas!$B$1),"50-"&amp;LEFT($B232,3)&amp;"*",INDIRECT(Formulas!$B$7)),0)</f>
        <v>5392</v>
      </c>
    </row>
    <row r="233" spans="1:12" x14ac:dyDescent="0.2">
      <c r="A233" s="1474" t="s">
        <v>1090</v>
      </c>
      <c r="B233" s="590">
        <v>2120</v>
      </c>
      <c r="C233" s="592"/>
      <c r="D233" s="466">
        <f ca="1">ROUND(SUMIF(INDIRECT(Formulas!$B$1),"50-"&amp;LEFT($B233,3)&amp;"*-"&amp;MID(D$1,2,1)&amp;"*",INDIRECT(Formulas!$B$3)),0)</f>
        <v>2115</v>
      </c>
      <c r="E233" s="592"/>
      <c r="F233" s="592"/>
      <c r="G233" s="592"/>
      <c r="H233" s="592"/>
      <c r="I233" s="592"/>
      <c r="J233" s="592"/>
      <c r="K233" s="1641">
        <f t="shared" ca="1" si="20"/>
        <v>2115</v>
      </c>
      <c r="L233" s="466">
        <f ca="1">ROUND(SUMIF(INDIRECT(Formulas!$B$1),"50-"&amp;LEFT($B233,3)&amp;"*",INDIRECT(Formulas!$B$7)),0)</f>
        <v>2379</v>
      </c>
    </row>
    <row r="234" spans="1:12" x14ac:dyDescent="0.2">
      <c r="A234" s="1474" t="s">
        <v>198</v>
      </c>
      <c r="B234" s="590">
        <v>2130</v>
      </c>
      <c r="C234" s="592"/>
      <c r="D234" s="466">
        <f ca="1">ROUND(SUMIF(INDIRECT(Formulas!$B$1),"50-"&amp;LEFT($B234,3)&amp;"*-"&amp;MID(D$1,2,1)&amp;"*",INDIRECT(Formulas!$B$3)),0)</f>
        <v>24604</v>
      </c>
      <c r="E234" s="592"/>
      <c r="F234" s="592"/>
      <c r="G234" s="592"/>
      <c r="H234" s="592"/>
      <c r="I234" s="592"/>
      <c r="J234" s="592"/>
      <c r="K234" s="1641">
        <f t="shared" ca="1" si="20"/>
        <v>24604</v>
      </c>
      <c r="L234" s="466">
        <f ca="1">ROUND(SUMIF(INDIRECT(Formulas!$B$1),"50-"&amp;LEFT($B234,3)&amp;"*",INDIRECT(Formulas!$B$7)),0)</f>
        <v>26025</v>
      </c>
    </row>
    <row r="235" spans="1:12" x14ac:dyDescent="0.2">
      <c r="A235" s="1474" t="s">
        <v>199</v>
      </c>
      <c r="B235" s="590">
        <v>2140</v>
      </c>
      <c r="C235" s="592"/>
      <c r="D235" s="466">
        <f ca="1">ROUND(SUMIF(INDIRECT(Formulas!$B$1),"50-"&amp;LEFT($B235,3)&amp;"*-"&amp;MID(D$1,2,1)&amp;"*",INDIRECT(Formulas!$B$3)),0)</f>
        <v>10780</v>
      </c>
      <c r="E235" s="592"/>
      <c r="F235" s="592"/>
      <c r="G235" s="592"/>
      <c r="H235" s="592"/>
      <c r="I235" s="592"/>
      <c r="J235" s="592"/>
      <c r="K235" s="1641">
        <f t="shared" ca="1" si="20"/>
        <v>10780</v>
      </c>
      <c r="L235" s="466">
        <f ca="1">ROUND(SUMIF(INDIRECT(Formulas!$B$1),"50-"&amp;LEFT($B235,3)&amp;"*",INDIRECT(Formulas!$B$7)),0)</f>
        <v>11653</v>
      </c>
    </row>
    <row r="236" spans="1:12" x14ac:dyDescent="0.2">
      <c r="A236" s="1474" t="s">
        <v>200</v>
      </c>
      <c r="B236" s="590">
        <v>2150</v>
      </c>
      <c r="C236" s="592"/>
      <c r="D236" s="466">
        <f ca="1">ROUND(SUMIF(INDIRECT(Formulas!$B$1),"50-"&amp;LEFT($B236,3)&amp;"*-"&amp;MID(D$1,2,1)&amp;"*",INDIRECT(Formulas!$B$3)),0)</f>
        <v>5028</v>
      </c>
      <c r="E236" s="592"/>
      <c r="F236" s="592"/>
      <c r="G236" s="592"/>
      <c r="H236" s="592"/>
      <c r="I236" s="592"/>
      <c r="J236" s="592"/>
      <c r="K236" s="1641">
        <f t="shared" ca="1" si="20"/>
        <v>5028</v>
      </c>
      <c r="L236" s="466">
        <f ca="1">ROUND(SUMIF(INDIRECT(Formulas!$B$1),"50-"&amp;LEFT($B236,3)&amp;"*",INDIRECT(Formulas!$B$7)),0)</f>
        <v>5586</v>
      </c>
    </row>
    <row r="237" spans="1:12" x14ac:dyDescent="0.2">
      <c r="A237" s="1474" t="s">
        <v>165</v>
      </c>
      <c r="B237" s="590">
        <v>2190</v>
      </c>
      <c r="C237" s="592"/>
      <c r="D237" s="466">
        <f ca="1">ROUND(SUMIF(INDIRECT(Formulas!$B$1),"50-"&amp;LEFT($B237,3)&amp;"*-"&amp;MID(D$1,2,1)&amp;"*",INDIRECT(Formulas!$B$3)),0)</f>
        <v>2614</v>
      </c>
      <c r="E237" s="592"/>
      <c r="F237" s="592"/>
      <c r="G237" s="592"/>
      <c r="H237" s="592"/>
      <c r="I237" s="592"/>
      <c r="J237" s="592"/>
      <c r="K237" s="1641">
        <f t="shared" ca="1" si="20"/>
        <v>2614</v>
      </c>
      <c r="L237" s="466">
        <f ca="1">ROUND(SUMIF(INDIRECT(Formulas!$B$1),"50-"&amp;LEFT($B237,3)&amp;"*",INDIRECT(Formulas!$B$7)),0)</f>
        <v>3100</v>
      </c>
    </row>
    <row r="238" spans="1:12" ht="12.75" customHeight="1" thickBot="1" x14ac:dyDescent="0.25">
      <c r="A238" s="1638" t="s">
        <v>560</v>
      </c>
      <c r="B238" s="1645" t="s">
        <v>716</v>
      </c>
      <c r="C238" s="592"/>
      <c r="D238" s="1640">
        <f ca="1">SUM(D232:D237)</f>
        <v>50165</v>
      </c>
      <c r="E238" s="592"/>
      <c r="F238" s="592"/>
      <c r="G238" s="592"/>
      <c r="H238" s="592"/>
      <c r="I238" s="592"/>
      <c r="J238" s="592"/>
      <c r="K238" s="1640">
        <f ca="1">SUM(K232:K237)</f>
        <v>50165</v>
      </c>
      <c r="L238" s="1640">
        <f ca="1">SUM(L232:L237)</f>
        <v>54135</v>
      </c>
    </row>
    <row r="239" spans="1:12" ht="15.75" customHeight="1" thickTop="1" x14ac:dyDescent="0.2">
      <c r="A239" s="600" t="s">
        <v>592</v>
      </c>
      <c r="B239" s="607"/>
      <c r="C239" s="592"/>
      <c r="D239" s="602"/>
      <c r="E239" s="592"/>
      <c r="F239" s="592"/>
      <c r="G239" s="592"/>
      <c r="H239" s="592"/>
      <c r="I239" s="592"/>
      <c r="J239" s="592"/>
      <c r="K239" s="602"/>
      <c r="L239" s="602"/>
    </row>
    <row r="240" spans="1:12" x14ac:dyDescent="0.2">
      <c r="A240" s="1474" t="s">
        <v>814</v>
      </c>
      <c r="B240" s="590">
        <v>2210</v>
      </c>
      <c r="C240" s="592"/>
      <c r="D240" s="466">
        <f ca="1">ROUND(SUMIF(INDIRECT(Formulas!$B$1),"50-"&amp;LEFT($B240,3)&amp;"*-"&amp;MID(D$1,2,1)&amp;"*",INDIRECT(Formulas!$B$3)),0)</f>
        <v>264</v>
      </c>
      <c r="E240" s="592"/>
      <c r="F240" s="592"/>
      <c r="G240" s="592"/>
      <c r="H240" s="592"/>
      <c r="I240" s="592"/>
      <c r="J240" s="592"/>
      <c r="K240" s="1642">
        <f ca="1">D240</f>
        <v>264</v>
      </c>
      <c r="L240" s="466">
        <f ca="1">ROUND(SUMIF(INDIRECT(Formulas!$B$1),"50-"&amp;LEFT($B240,3)&amp;"*",INDIRECT(Formulas!$B$7)),0)</f>
        <v>165</v>
      </c>
    </row>
    <row r="241" spans="1:12" x14ac:dyDescent="0.2">
      <c r="A241" s="1474" t="s">
        <v>815</v>
      </c>
      <c r="B241" s="590">
        <v>2220</v>
      </c>
      <c r="C241" s="592"/>
      <c r="D241" s="466">
        <f ca="1">ROUND(SUMIF(INDIRECT(Formulas!$B$1),"50-"&amp;LEFT($B241,3)&amp;"*-"&amp;MID(D$1,2,1)&amp;"*",INDIRECT(Formulas!$B$3)),0)</f>
        <v>47391</v>
      </c>
      <c r="E241" s="592"/>
      <c r="F241" s="592"/>
      <c r="G241" s="592"/>
      <c r="H241" s="592"/>
      <c r="I241" s="592"/>
      <c r="J241" s="592"/>
      <c r="K241" s="1642">
        <f ca="1">D241</f>
        <v>47391</v>
      </c>
      <c r="L241" s="466">
        <f ca="1">ROUND(SUMIF(INDIRECT(Formulas!$B$1),"50-"&amp;LEFT($B241,3)&amp;"*",INDIRECT(Formulas!$B$7)),0)</f>
        <v>45680</v>
      </c>
    </row>
    <row r="242" spans="1:12" x14ac:dyDescent="0.2">
      <c r="A242" s="1474" t="s">
        <v>816</v>
      </c>
      <c r="B242" s="590">
        <v>2230</v>
      </c>
      <c r="C242" s="592"/>
      <c r="D242" s="466">
        <f ca="1">ROUND(SUMIF(INDIRECT(Formulas!$B$1),"50-"&amp;LEFT($B242,3)&amp;"*-"&amp;MID(D$1,2,1)&amp;"*",INDIRECT(Formulas!$B$3)),0)</f>
        <v>0</v>
      </c>
      <c r="E242" s="592"/>
      <c r="F242" s="592"/>
      <c r="G242" s="592"/>
      <c r="H242" s="592"/>
      <c r="I242" s="592"/>
      <c r="J242" s="592"/>
      <c r="K242" s="1642">
        <f ca="1">D242</f>
        <v>0</v>
      </c>
      <c r="L242" s="466">
        <f ca="1">ROUND(SUMIF(INDIRECT(Formulas!$B$1),"50-"&amp;LEFT($B242,3)&amp;"*",INDIRECT(Formulas!$B$7)),0)</f>
        <v>0</v>
      </c>
    </row>
    <row r="243" spans="1:12" ht="12.75" customHeight="1" thickBot="1" x14ac:dyDescent="0.25">
      <c r="A243" s="1664" t="s">
        <v>561</v>
      </c>
      <c r="B243" s="1665">
        <v>2200</v>
      </c>
      <c r="C243" s="592"/>
      <c r="D243" s="1640">
        <f ca="1">SUM(D240:D242)</f>
        <v>47655</v>
      </c>
      <c r="E243" s="592"/>
      <c r="F243" s="592"/>
      <c r="G243" s="592"/>
      <c r="H243" s="592"/>
      <c r="I243" s="592"/>
      <c r="J243" s="592"/>
      <c r="K243" s="1640">
        <f ca="1">SUM(K240:K242)</f>
        <v>47655</v>
      </c>
      <c r="L243" s="1640">
        <f ca="1">SUM(L240:L242)</f>
        <v>45845</v>
      </c>
    </row>
    <row r="244" spans="1:12" ht="15.75" customHeight="1" thickTop="1" x14ac:dyDescent="0.2">
      <c r="A244" s="600" t="s">
        <v>610</v>
      </c>
      <c r="B244" s="655"/>
      <c r="C244" s="592"/>
      <c r="D244" s="602"/>
      <c r="E244" s="592"/>
      <c r="F244" s="592"/>
      <c r="G244" s="592"/>
      <c r="H244" s="592"/>
      <c r="I244" s="592"/>
      <c r="J244" s="592"/>
      <c r="K244" s="602"/>
      <c r="L244" s="602"/>
    </row>
    <row r="245" spans="1:12" x14ac:dyDescent="0.2">
      <c r="A245" s="1474" t="s">
        <v>817</v>
      </c>
      <c r="B245" s="590">
        <v>2310</v>
      </c>
      <c r="C245" s="592"/>
      <c r="D245" s="466">
        <f ca="1">ROUND(SUMIF(INDIRECT(Formulas!$B$1),"50-"&amp;LEFT($B245,3)&amp;"*-"&amp;MID(D$1,2,1)&amp;"*",INDIRECT(Formulas!$B$3)),0)</f>
        <v>295</v>
      </c>
      <c r="E245" s="592"/>
      <c r="F245" s="592"/>
      <c r="G245" s="592"/>
      <c r="H245" s="592"/>
      <c r="I245" s="592"/>
      <c r="J245" s="592"/>
      <c r="K245" s="1642">
        <f ca="1">D245</f>
        <v>295</v>
      </c>
      <c r="L245" s="466">
        <f ca="1">ROUND(SUMIF(INDIRECT(Formulas!$B$1),"50-"&amp;LEFT($B245,3)&amp;"*",INDIRECT(Formulas!$B$7)),0)</f>
        <v>296</v>
      </c>
    </row>
    <row r="246" spans="1:12" x14ac:dyDescent="0.2">
      <c r="A246" s="1474" t="s">
        <v>818</v>
      </c>
      <c r="B246" s="590">
        <v>2320</v>
      </c>
      <c r="C246" s="592"/>
      <c r="D246" s="466">
        <f ca="1">ROUND(SUMIF(INDIRECT(Formulas!$B$1),"50-"&amp;LEFT($B246,3)&amp;"*-"&amp;MID(D$1,2,1)&amp;"*",INDIRECT(Formulas!$B$3)),0)</f>
        <v>18006</v>
      </c>
      <c r="E246" s="592"/>
      <c r="F246" s="592"/>
      <c r="G246" s="592"/>
      <c r="H246" s="592"/>
      <c r="I246" s="592"/>
      <c r="J246" s="592"/>
      <c r="K246" s="1642">
        <f t="shared" ref="K246:K256" ca="1" si="21">D246</f>
        <v>18006</v>
      </c>
      <c r="L246" s="466">
        <f ca="1">ROUND(SUMIF(INDIRECT(Formulas!$B$1),"50-"&amp;LEFT($B246,3)&amp;"*",INDIRECT(Formulas!$B$7)),0)</f>
        <v>17835</v>
      </c>
    </row>
    <row r="247" spans="1:12" x14ac:dyDescent="0.2">
      <c r="A247" s="1474" t="s">
        <v>819</v>
      </c>
      <c r="B247" s="590">
        <v>2330</v>
      </c>
      <c r="C247" s="592"/>
      <c r="D247" s="466">
        <f ca="1">ROUND(SUMIF(INDIRECT(Formulas!$B$1),"50-"&amp;LEFT($B247,3)&amp;"*-"&amp;MID(D$1,2,1)&amp;"*",INDIRECT(Formulas!$B$3)),0)</f>
        <v>0</v>
      </c>
      <c r="E247" s="592"/>
      <c r="F247" s="592"/>
      <c r="G247" s="592"/>
      <c r="H247" s="592"/>
      <c r="I247" s="592"/>
      <c r="J247" s="592"/>
      <c r="K247" s="1642">
        <f t="shared" ca="1" si="21"/>
        <v>0</v>
      </c>
      <c r="L247" s="466">
        <f ca="1">ROUND(SUMIF(INDIRECT(Formulas!$B$1),"50-"&amp;LEFT($B247,3)&amp;"*",INDIRECT(Formulas!$B$7)),0)</f>
        <v>0</v>
      </c>
    </row>
    <row r="248" spans="1:12" x14ac:dyDescent="0.2">
      <c r="A248" s="1475" t="s">
        <v>299</v>
      </c>
      <c r="B248" s="578" t="s">
        <v>281</v>
      </c>
      <c r="C248" s="592"/>
      <c r="D248" s="466">
        <f ca="1">ROUND(SUMIF(INDIRECT(Formulas!$B$1),"50-"&amp;LEFT($B248,4)&amp;"*-"&amp;MID(D$1,2,1)&amp;"*",INDIRECT(Formulas!$B$3)),0)</f>
        <v>0</v>
      </c>
      <c r="E248" s="592"/>
      <c r="F248" s="592"/>
      <c r="G248" s="592"/>
      <c r="H248" s="592"/>
      <c r="I248" s="592"/>
      <c r="J248" s="592"/>
      <c r="K248" s="1642">
        <f t="shared" ca="1" si="21"/>
        <v>0</v>
      </c>
      <c r="L248" s="466">
        <f ca="1">ROUND(SUMIF(INDIRECT(Formulas!$B$1),"50-"&amp;LEFT($B248,3)&amp;"*",INDIRECT(Formulas!$B$7)),0)</f>
        <v>0</v>
      </c>
    </row>
    <row r="249" spans="1:12" x14ac:dyDescent="0.2">
      <c r="A249" s="1476" t="s">
        <v>1802</v>
      </c>
      <c r="B249" s="656" t="s">
        <v>282</v>
      </c>
      <c r="C249" s="592"/>
      <c r="D249" s="466">
        <f ca="1">ROUND(SUMIF(INDIRECT(Formulas!$B$1),"50-"&amp;LEFT($B249,4)&amp;"*-"&amp;MID(D$1,2,1)&amp;"*",INDIRECT(Formulas!$B$3)),0)</f>
        <v>0</v>
      </c>
      <c r="E249" s="592"/>
      <c r="F249" s="592"/>
      <c r="G249" s="592"/>
      <c r="H249" s="592"/>
      <c r="I249" s="592"/>
      <c r="J249" s="592"/>
      <c r="K249" s="1642">
        <f t="shared" ca="1" si="21"/>
        <v>0</v>
      </c>
      <c r="L249" s="466">
        <f ca="1">ROUND(SUMIF(INDIRECT(Formulas!$B$1),"50-"&amp;LEFT($B249,3)&amp;"*",INDIRECT(Formulas!$B$7)),0)</f>
        <v>0</v>
      </c>
    </row>
    <row r="250" spans="1:12" x14ac:dyDescent="0.2">
      <c r="A250" s="1475" t="s">
        <v>1803</v>
      </c>
      <c r="B250" s="578" t="s">
        <v>283</v>
      </c>
      <c r="C250" s="592"/>
      <c r="D250" s="466">
        <f ca="1">ROUND(SUMIF(INDIRECT(Formulas!$B$1),"50-"&amp;LEFT($B250,4)&amp;"*-"&amp;MID(D$1,2,1)&amp;"*",INDIRECT(Formulas!$B$3)),0)</f>
        <v>0</v>
      </c>
      <c r="E250" s="592"/>
      <c r="F250" s="592"/>
      <c r="G250" s="592"/>
      <c r="H250" s="592"/>
      <c r="I250" s="592"/>
      <c r="J250" s="592"/>
      <c r="K250" s="1642">
        <f t="shared" ca="1" si="21"/>
        <v>0</v>
      </c>
      <c r="L250" s="466">
        <f ca="1">ROUND(SUMIF(INDIRECT(Formulas!$B$1),"50-"&amp;LEFT($B250,3)&amp;"*",INDIRECT(Formulas!$B$7)),0)</f>
        <v>0</v>
      </c>
    </row>
    <row r="251" spans="1:12" x14ac:dyDescent="0.2">
      <c r="A251" s="1475" t="s">
        <v>238</v>
      </c>
      <c r="B251" s="578" t="s">
        <v>284</v>
      </c>
      <c r="C251" s="592"/>
      <c r="D251" s="466">
        <f ca="1">ROUND(SUMIF(INDIRECT(Formulas!$B$1),"50-"&amp;LEFT($B251,4)&amp;"*-"&amp;MID(D$1,2,1)&amp;"*",INDIRECT(Formulas!$B$3)),0)</f>
        <v>0</v>
      </c>
      <c r="E251" s="592"/>
      <c r="F251" s="592"/>
      <c r="G251" s="592"/>
      <c r="H251" s="592"/>
      <c r="I251" s="592"/>
      <c r="J251" s="592"/>
      <c r="K251" s="1642">
        <f t="shared" ca="1" si="21"/>
        <v>0</v>
      </c>
      <c r="L251" s="466">
        <f ca="1">ROUND(SUMIF(INDIRECT(Formulas!$B$1),"50-"&amp;LEFT($B251,3)&amp;"*",INDIRECT(Formulas!$B$7)),0)</f>
        <v>0</v>
      </c>
    </row>
    <row r="252" spans="1:12" x14ac:dyDescent="0.2">
      <c r="A252" s="1475" t="s">
        <v>702</v>
      </c>
      <c r="B252" s="578" t="s">
        <v>285</v>
      </c>
      <c r="C252" s="592"/>
      <c r="D252" s="466">
        <f ca="1">ROUND(SUMIF(INDIRECT(Formulas!$B$1),"50-"&amp;LEFT($B252,4)&amp;"*-"&amp;MID(D$1,2,1)&amp;"*",INDIRECT(Formulas!$B$3)),0)</f>
        <v>0</v>
      </c>
      <c r="E252" s="592"/>
      <c r="F252" s="592"/>
      <c r="G252" s="592"/>
      <c r="H252" s="592"/>
      <c r="I252" s="592"/>
      <c r="J252" s="592"/>
      <c r="K252" s="1642">
        <f t="shared" ca="1" si="21"/>
        <v>0</v>
      </c>
      <c r="L252" s="466">
        <f ca="1">ROUND(SUMIF(INDIRECT(Formulas!$B$1),"50-"&amp;LEFT($B252,3)&amp;"*",INDIRECT(Formulas!$B$7)),0)</f>
        <v>0</v>
      </c>
    </row>
    <row r="253" spans="1:12" x14ac:dyDescent="0.2">
      <c r="A253" s="1475" t="s">
        <v>239</v>
      </c>
      <c r="B253" s="578" t="s">
        <v>286</v>
      </c>
      <c r="C253" s="592"/>
      <c r="D253" s="466">
        <f ca="1">ROUND(SUMIF(INDIRECT(Formulas!$B$1),"50-"&amp;LEFT($B253,4)&amp;"*-"&amp;MID(D$1,2,1)&amp;"*",INDIRECT(Formulas!$B$3)),0)</f>
        <v>0</v>
      </c>
      <c r="E253" s="592"/>
      <c r="F253" s="592"/>
      <c r="G253" s="592"/>
      <c r="H253" s="592"/>
      <c r="I253" s="592"/>
      <c r="J253" s="592"/>
      <c r="K253" s="1642">
        <f t="shared" ca="1" si="21"/>
        <v>0</v>
      </c>
      <c r="L253" s="466">
        <f ca="1">ROUND(SUMIF(INDIRECT(Formulas!$B$1),"50-"&amp;LEFT($B253,3)&amp;"*",INDIRECT(Formulas!$B$7)),0)</f>
        <v>0</v>
      </c>
    </row>
    <row r="254" spans="1:12" ht="22.5" x14ac:dyDescent="0.2">
      <c r="A254" s="1475" t="s">
        <v>1029</v>
      </c>
      <c r="B254" s="656" t="s">
        <v>287</v>
      </c>
      <c r="C254" s="592"/>
      <c r="D254" s="466">
        <f ca="1">ROUND(SUMIF(INDIRECT(Formulas!$B$1),"50-"&amp;LEFT($B254,4)&amp;"*-"&amp;MID(D$1,2,1)&amp;"*",INDIRECT(Formulas!$B$3)),0)</f>
        <v>0</v>
      </c>
      <c r="E254" s="592"/>
      <c r="F254" s="592"/>
      <c r="G254" s="592"/>
      <c r="H254" s="592"/>
      <c r="I254" s="592"/>
      <c r="J254" s="592"/>
      <c r="K254" s="1642">
        <f t="shared" ca="1" si="21"/>
        <v>0</v>
      </c>
      <c r="L254" s="466">
        <f ca="1">ROUND(SUMIF(INDIRECT(Formulas!$B$1),"50-"&amp;LEFT($B254,3)&amp;"*",INDIRECT(Formulas!$B$7)),0)</f>
        <v>0</v>
      </c>
    </row>
    <row r="255" spans="1:12" x14ac:dyDescent="0.2">
      <c r="A255" s="1475" t="s">
        <v>1030</v>
      </c>
      <c r="B255" s="578" t="s">
        <v>288</v>
      </c>
      <c r="C255" s="592"/>
      <c r="D255" s="466">
        <f ca="1">ROUND(SUMIF(INDIRECT(Formulas!$B$1),"50-"&amp;LEFT($B255,4)&amp;"*-"&amp;MID(D$1,2,1)&amp;"*",INDIRECT(Formulas!$B$3)),0)</f>
        <v>0</v>
      </c>
      <c r="E255" s="592"/>
      <c r="F255" s="592"/>
      <c r="G255" s="592"/>
      <c r="H255" s="592"/>
      <c r="I255" s="592"/>
      <c r="J255" s="592"/>
      <c r="K255" s="1642">
        <f t="shared" ca="1" si="21"/>
        <v>0</v>
      </c>
      <c r="L255" s="466">
        <f ca="1">ROUND(SUMIF(INDIRECT(Formulas!$B$1),"50-"&amp;LEFT($B255,3)&amp;"*",INDIRECT(Formulas!$B$7)),0)</f>
        <v>0</v>
      </c>
    </row>
    <row r="256" spans="1:12" x14ac:dyDescent="0.2">
      <c r="A256" s="1475" t="s">
        <v>971</v>
      </c>
      <c r="B256" s="590" t="s">
        <v>289</v>
      </c>
      <c r="C256" s="592"/>
      <c r="D256" s="466">
        <f ca="1">ROUND(SUMIF(INDIRECT(Formulas!$B$1),"50-"&amp;LEFT($B256,4)&amp;"*-"&amp;MID(D$1,2,1)&amp;"*",INDIRECT(Formulas!$B$3)),0)</f>
        <v>0</v>
      </c>
      <c r="E256" s="592"/>
      <c r="F256" s="592"/>
      <c r="G256" s="592"/>
      <c r="H256" s="592"/>
      <c r="I256" s="592"/>
      <c r="J256" s="592"/>
      <c r="K256" s="1642">
        <f t="shared" ca="1" si="21"/>
        <v>0</v>
      </c>
      <c r="L256" s="466">
        <f ca="1">ROUND(SUMIF(INDIRECT(Formulas!$B$1),"50-"&amp;LEFT($B256,3)&amp;"*",INDIRECT(Formulas!$B$7)),0)</f>
        <v>0</v>
      </c>
    </row>
    <row r="257" spans="1:14" ht="12.75" customHeight="1" thickBot="1" x14ac:dyDescent="0.25">
      <c r="A257" s="1638" t="s">
        <v>717</v>
      </c>
      <c r="B257" s="1666">
        <v>2300</v>
      </c>
      <c r="C257" s="592"/>
      <c r="D257" s="1640">
        <f ca="1">SUM(D245:D256)</f>
        <v>18301</v>
      </c>
      <c r="E257" s="592"/>
      <c r="F257" s="592"/>
      <c r="G257" s="592"/>
      <c r="H257" s="592"/>
      <c r="I257" s="592"/>
      <c r="J257" s="592"/>
      <c r="K257" s="1640">
        <f ca="1">SUM(K245:K256)</f>
        <v>18301</v>
      </c>
      <c r="L257" s="1640">
        <f ca="1">SUM(L245:L256)</f>
        <v>18131</v>
      </c>
    </row>
    <row r="258" spans="1:14" ht="15.75" customHeight="1" thickTop="1" x14ac:dyDescent="0.2">
      <c r="A258" s="600" t="s">
        <v>611</v>
      </c>
      <c r="B258" s="657"/>
      <c r="C258" s="592"/>
      <c r="D258" s="602"/>
      <c r="E258" s="592"/>
      <c r="F258" s="592"/>
      <c r="G258" s="592"/>
      <c r="H258" s="592"/>
      <c r="I258" s="592"/>
      <c r="J258" s="592"/>
      <c r="K258" s="602"/>
      <c r="L258" s="602"/>
    </row>
    <row r="259" spans="1:14" x14ac:dyDescent="0.2">
      <c r="A259" s="1474" t="s">
        <v>1067</v>
      </c>
      <c r="B259" s="658">
        <v>2410</v>
      </c>
      <c r="C259" s="592"/>
      <c r="D259" s="466">
        <f ca="1">ROUND(SUMIF(INDIRECT(Formulas!$B$1),"50-"&amp;LEFT($B259,3)&amp;"*-"&amp;MID(D$1,2,1)&amp;"*",INDIRECT(Formulas!$B$3)),0)</f>
        <v>62051</v>
      </c>
      <c r="E259" s="592"/>
      <c r="F259" s="592"/>
      <c r="G259" s="592"/>
      <c r="H259" s="592"/>
      <c r="I259" s="592"/>
      <c r="J259" s="592"/>
      <c r="K259" s="1642">
        <f ca="1">D259</f>
        <v>62051</v>
      </c>
      <c r="L259" s="466">
        <f ca="1">ROUND(SUMIF(INDIRECT(Formulas!$B$1),"50-"&amp;LEFT($B259,3)&amp;"*",INDIRECT(Formulas!$B$7)),0)</f>
        <v>63541</v>
      </c>
    </row>
    <row r="260" spans="1:14" s="573" customFormat="1" x14ac:dyDescent="0.2">
      <c r="A260" s="1492" t="s">
        <v>1801</v>
      </c>
      <c r="B260" s="604">
        <v>2490</v>
      </c>
      <c r="C260" s="592"/>
      <c r="D260" s="466">
        <f ca="1">ROUND(SUMIF(INDIRECT(Formulas!$B$1),"50-"&amp;LEFT($B260,3)&amp;"*-"&amp;MID(D$1,2,1)&amp;"*",INDIRECT(Formulas!$B$3)),0)</f>
        <v>0</v>
      </c>
      <c r="E260" s="592"/>
      <c r="F260" s="592"/>
      <c r="G260" s="592"/>
      <c r="H260" s="592"/>
      <c r="I260" s="592"/>
      <c r="J260" s="592"/>
      <c r="K260" s="1642">
        <f ca="1">D260</f>
        <v>0</v>
      </c>
      <c r="L260" s="466">
        <f ca="1">ROUND(SUMIF(INDIRECT(Formulas!$B$1),"50-"&amp;LEFT($B260,3)&amp;"*",INDIRECT(Formulas!$B$7)),0)</f>
        <v>0</v>
      </c>
      <c r="M260" s="210"/>
      <c r="N260" s="210"/>
    </row>
    <row r="261" spans="1:14" ht="12.75" customHeight="1" thickBot="1" x14ac:dyDescent="0.25">
      <c r="A261" s="1662" t="s">
        <v>263</v>
      </c>
      <c r="B261" s="1667" t="s">
        <v>34</v>
      </c>
      <c r="C261" s="592"/>
      <c r="D261" s="1640">
        <f ca="1">SUM(D259:D260)</f>
        <v>62051</v>
      </c>
      <c r="E261" s="592"/>
      <c r="F261" s="592"/>
      <c r="G261" s="592"/>
      <c r="H261" s="592"/>
      <c r="I261" s="592"/>
      <c r="J261" s="592"/>
      <c r="K261" s="1640">
        <f ca="1">SUM(K259:K260)</f>
        <v>62051</v>
      </c>
      <c r="L261" s="1640">
        <f ca="1">SUM(L259:L260)</f>
        <v>63541</v>
      </c>
    </row>
    <row r="262" spans="1:14" ht="15.75" customHeight="1" thickTop="1" x14ac:dyDescent="0.2">
      <c r="A262" s="600" t="s">
        <v>612</v>
      </c>
      <c r="B262" s="657"/>
      <c r="C262" s="592"/>
      <c r="D262" s="592"/>
      <c r="E262" s="592"/>
      <c r="F262" s="592"/>
      <c r="G262" s="592"/>
      <c r="H262" s="592"/>
      <c r="I262" s="592"/>
      <c r="J262" s="592"/>
      <c r="K262" s="602"/>
      <c r="L262" s="602"/>
    </row>
    <row r="263" spans="1:14" x14ac:dyDescent="0.2">
      <c r="A263" s="1474" t="s">
        <v>1068</v>
      </c>
      <c r="B263" s="658">
        <v>2510</v>
      </c>
      <c r="C263" s="592"/>
      <c r="D263" s="466">
        <f ca="1">ROUND(SUMIF(INDIRECT(Formulas!$B$1),"50-"&amp;LEFT($B263,3)&amp;"*-"&amp;MID(D$1,2,1)&amp;"*",INDIRECT(Formulas!$B$3)),0)</f>
        <v>0</v>
      </c>
      <c r="E263" s="592"/>
      <c r="F263" s="592"/>
      <c r="G263" s="592"/>
      <c r="H263" s="592"/>
      <c r="I263" s="592"/>
      <c r="J263" s="592"/>
      <c r="K263" s="1642">
        <f ca="1">D263</f>
        <v>0</v>
      </c>
      <c r="L263" s="466">
        <f ca="1">ROUND(SUMIF(INDIRECT(Formulas!$B$1),"50-"&amp;LEFT($B263,3)&amp;"*",INDIRECT(Formulas!$B$7)),0)</f>
        <v>0</v>
      </c>
    </row>
    <row r="264" spans="1:14" x14ac:dyDescent="0.2">
      <c r="A264" s="1474" t="s">
        <v>463</v>
      </c>
      <c r="B264" s="658">
        <v>2520</v>
      </c>
      <c r="C264" s="592"/>
      <c r="D264" s="466">
        <f ca="1">ROUND(SUMIF(INDIRECT(Formulas!$B$1),"50-"&amp;LEFT($B264,3)&amp;"*-"&amp;MID(D$1,2,1)&amp;"*",INDIRECT(Formulas!$B$3)),0)</f>
        <v>19697</v>
      </c>
      <c r="E264" s="592"/>
      <c r="F264" s="592"/>
      <c r="G264" s="592"/>
      <c r="H264" s="592"/>
      <c r="I264" s="592"/>
      <c r="J264" s="592"/>
      <c r="K264" s="1642">
        <f t="shared" ref="K264:K269" ca="1" si="22">D264</f>
        <v>19697</v>
      </c>
      <c r="L264" s="466">
        <f ca="1">ROUND(SUMIF(INDIRECT(Formulas!$B$1),"50-"&amp;LEFT($B264,3)&amp;"*",INDIRECT(Formulas!$B$7)),0)</f>
        <v>19697</v>
      </c>
    </row>
    <row r="265" spans="1:14" x14ac:dyDescent="0.2">
      <c r="A265" s="1474" t="s">
        <v>4</v>
      </c>
      <c r="B265" s="590">
        <v>2530</v>
      </c>
      <c r="C265" s="592"/>
      <c r="D265" s="466">
        <f ca="1">ROUND(SUMIF(INDIRECT(Formulas!$B$1),"50-"&amp;LEFT($B265,3)&amp;"*-"&amp;MID(D$1,2,1)&amp;"*",INDIRECT(Formulas!$B$3)),0)</f>
        <v>0</v>
      </c>
      <c r="E265" s="592"/>
      <c r="F265" s="592"/>
      <c r="G265" s="592"/>
      <c r="H265" s="592"/>
      <c r="I265" s="592"/>
      <c r="J265" s="592"/>
      <c r="K265" s="1642">
        <f t="shared" ca="1" si="22"/>
        <v>0</v>
      </c>
      <c r="L265" s="466">
        <f ca="1">ROUND(SUMIF(INDIRECT(Formulas!$B$1),"50-"&amp;LEFT($B265,3)&amp;"*",INDIRECT(Formulas!$B$7)),0)</f>
        <v>0</v>
      </c>
    </row>
    <row r="266" spans="1:14" x14ac:dyDescent="0.2">
      <c r="A266" s="1474" t="s">
        <v>197</v>
      </c>
      <c r="B266" s="590">
        <v>2540</v>
      </c>
      <c r="C266" s="592"/>
      <c r="D266" s="466">
        <f ca="1">ROUND(SUMIF(INDIRECT(Formulas!$B$1),"50-"&amp;LEFT($B266,3)&amp;"*-"&amp;MID(D$1,2,1)&amp;"*",INDIRECT(Formulas!$B$3)),0)</f>
        <v>172424</v>
      </c>
      <c r="E266" s="592"/>
      <c r="F266" s="592"/>
      <c r="G266" s="592"/>
      <c r="H266" s="592"/>
      <c r="I266" s="592"/>
      <c r="J266" s="592"/>
      <c r="K266" s="1642">
        <f t="shared" ca="1" si="22"/>
        <v>172424</v>
      </c>
      <c r="L266" s="466">
        <f ca="1">ROUND(SUMIF(INDIRECT(Formulas!$B$1),"50-"&amp;LEFT($B266,3)&amp;"*",INDIRECT(Formulas!$B$7)),0)</f>
        <v>190379</v>
      </c>
    </row>
    <row r="267" spans="1:14" x14ac:dyDescent="0.2">
      <c r="A267" s="1474" t="s">
        <v>953</v>
      </c>
      <c r="B267" s="590">
        <v>2550</v>
      </c>
      <c r="C267" s="592"/>
      <c r="D267" s="466">
        <f ca="1">ROUND(SUMIF(INDIRECT(Formulas!$B$1),"50-"&amp;LEFT($B267,3)&amp;"*-"&amp;MID(D$1,2,1)&amp;"*",INDIRECT(Formulas!$B$3)),0)</f>
        <v>167470</v>
      </c>
      <c r="E267" s="592"/>
      <c r="F267" s="592"/>
      <c r="G267" s="592"/>
      <c r="H267" s="592"/>
      <c r="I267" s="592"/>
      <c r="J267" s="592"/>
      <c r="K267" s="1642">
        <f t="shared" ca="1" si="22"/>
        <v>167470</v>
      </c>
      <c r="L267" s="466">
        <f ca="1">ROUND(SUMIF(INDIRECT(Formulas!$B$1),"50-"&amp;LEFT($B267,3)&amp;"*",INDIRECT(Formulas!$B$7)),0)</f>
        <v>175000</v>
      </c>
    </row>
    <row r="268" spans="1:14" x14ac:dyDescent="0.2">
      <c r="A268" s="1474" t="s">
        <v>100</v>
      </c>
      <c r="B268" s="590">
        <v>2560</v>
      </c>
      <c r="C268" s="592"/>
      <c r="D268" s="466">
        <f ca="1">ROUND(SUMIF(INDIRECT(Formulas!$B$1),"50-"&amp;LEFT($B268,3)&amp;"*-"&amp;MID(D$1,2,1)&amp;"*",INDIRECT(Formulas!$B$3)),0)</f>
        <v>30815</v>
      </c>
      <c r="E268" s="592"/>
      <c r="F268" s="592"/>
      <c r="G268" s="592"/>
      <c r="H268" s="592"/>
      <c r="I268" s="592"/>
      <c r="J268" s="592"/>
      <c r="K268" s="1642">
        <f t="shared" ca="1" si="22"/>
        <v>30815</v>
      </c>
      <c r="L268" s="466">
        <f ca="1">ROUND(SUMIF(INDIRECT(Formulas!$B$1),"50-"&amp;LEFT($B268,3)&amp;"*",INDIRECT(Formulas!$B$7)),0)</f>
        <v>31500</v>
      </c>
    </row>
    <row r="269" spans="1:14" x14ac:dyDescent="0.2">
      <c r="A269" s="1474" t="s">
        <v>101</v>
      </c>
      <c r="B269" s="590">
        <v>2570</v>
      </c>
      <c r="C269" s="592"/>
      <c r="D269" s="466">
        <f ca="1">ROUND(SUMIF(INDIRECT(Formulas!$B$1),"50-"&amp;LEFT($B269,3)&amp;"*-"&amp;MID(D$1,2,1)&amp;"*",INDIRECT(Formulas!$B$3)),0)</f>
        <v>0</v>
      </c>
      <c r="E269" s="592"/>
      <c r="F269" s="592"/>
      <c r="G269" s="592"/>
      <c r="H269" s="592"/>
      <c r="I269" s="592"/>
      <c r="J269" s="592"/>
      <c r="K269" s="1642">
        <f t="shared" ca="1" si="22"/>
        <v>0</v>
      </c>
      <c r="L269" s="466">
        <f ca="1">ROUND(SUMIF(INDIRECT(Formulas!$B$1),"50-"&amp;LEFT($B269,3)&amp;"*",INDIRECT(Formulas!$B$7)),0)</f>
        <v>0</v>
      </c>
    </row>
    <row r="270" spans="1:14" ht="12.75" customHeight="1" thickBot="1" x14ac:dyDescent="0.25">
      <c r="A270" s="1638" t="s">
        <v>719</v>
      </c>
      <c r="B270" s="1645" t="s">
        <v>35</v>
      </c>
      <c r="C270" s="592"/>
      <c r="D270" s="1640">
        <f ca="1">SUM(D263:D269)</f>
        <v>390406</v>
      </c>
      <c r="E270" s="592"/>
      <c r="F270" s="592"/>
      <c r="G270" s="592"/>
      <c r="H270" s="592"/>
      <c r="I270" s="592"/>
      <c r="J270" s="592"/>
      <c r="K270" s="1640">
        <f ca="1">SUM(K263:K269)</f>
        <v>390406</v>
      </c>
      <c r="L270" s="1640">
        <f ca="1">SUM(L263:L269)</f>
        <v>416576</v>
      </c>
    </row>
    <row r="271" spans="1:14" ht="15.75" customHeight="1" thickTop="1" x14ac:dyDescent="0.2">
      <c r="A271" s="642" t="s">
        <v>613</v>
      </c>
      <c r="B271" s="601"/>
      <c r="C271" s="592"/>
      <c r="D271" s="602"/>
      <c r="E271" s="592"/>
      <c r="F271" s="592"/>
      <c r="G271" s="592"/>
      <c r="H271" s="592"/>
      <c r="I271" s="592"/>
      <c r="J271" s="592"/>
      <c r="K271" s="602"/>
      <c r="L271" s="602"/>
    </row>
    <row r="272" spans="1:14" x14ac:dyDescent="0.2">
      <c r="A272" s="1474" t="s">
        <v>1060</v>
      </c>
      <c r="B272" s="590">
        <v>2610</v>
      </c>
      <c r="C272" s="592"/>
      <c r="D272" s="466">
        <f ca="1">ROUND(SUMIF(INDIRECT(Formulas!$B$1),"50-"&amp;LEFT($B272,3)&amp;"*-"&amp;MID(D$1,2,1)&amp;"*",INDIRECT(Formulas!$B$3)),0)</f>
        <v>0</v>
      </c>
      <c r="E272" s="592"/>
      <c r="F272" s="592"/>
      <c r="G272" s="592"/>
      <c r="H272" s="592"/>
      <c r="I272" s="592"/>
      <c r="J272" s="592"/>
      <c r="K272" s="1642">
        <f ca="1">D272</f>
        <v>0</v>
      </c>
      <c r="L272" s="466">
        <f ca="1">ROUND(SUMIF(INDIRECT(Formulas!$B$1),"50-"&amp;LEFT($B272,3)&amp;"*",INDIRECT(Formulas!$B$7)),0)</f>
        <v>0</v>
      </c>
    </row>
    <row r="273" spans="1:12" x14ac:dyDescent="0.2">
      <c r="A273" s="1474" t="s">
        <v>607</v>
      </c>
      <c r="B273" s="604">
        <v>2620</v>
      </c>
      <c r="C273" s="592"/>
      <c r="D273" s="466">
        <f ca="1">ROUND(SUMIF(INDIRECT(Formulas!$B$1),"50-"&amp;LEFT($B273,3)&amp;"*-"&amp;MID(D$1,2,1)&amp;"*",INDIRECT(Formulas!$B$3)),0)</f>
        <v>0</v>
      </c>
      <c r="E273" s="592"/>
      <c r="F273" s="592"/>
      <c r="G273" s="592"/>
      <c r="H273" s="592"/>
      <c r="I273" s="592"/>
      <c r="J273" s="592"/>
      <c r="K273" s="1642">
        <f ca="1">D273</f>
        <v>0</v>
      </c>
      <c r="L273" s="466">
        <f ca="1">ROUND(SUMIF(INDIRECT(Formulas!$B$1),"50-"&amp;LEFT($B273,3)&amp;"*",INDIRECT(Formulas!$B$7)),0)</f>
        <v>0</v>
      </c>
    </row>
    <row r="274" spans="1:12" ht="12" customHeight="1" x14ac:dyDescent="0.2">
      <c r="A274" s="1474" t="s">
        <v>1061</v>
      </c>
      <c r="B274" s="590">
        <v>2630</v>
      </c>
      <c r="C274" s="592"/>
      <c r="D274" s="466">
        <f ca="1">ROUND(SUMIF(INDIRECT(Formulas!$B$1),"50-"&amp;LEFT($B274,3)&amp;"*-"&amp;MID(D$1,2,1)&amp;"*",INDIRECT(Formulas!$B$3)),0)</f>
        <v>0</v>
      </c>
      <c r="E274" s="592"/>
      <c r="F274" s="592"/>
      <c r="G274" s="592"/>
      <c r="H274" s="592"/>
      <c r="I274" s="592"/>
      <c r="J274" s="592"/>
      <c r="K274" s="1642">
        <f ca="1">D274</f>
        <v>0</v>
      </c>
      <c r="L274" s="466">
        <f ca="1">ROUND(SUMIF(INDIRECT(Formulas!$B$1),"50-"&amp;LEFT($B274,3)&amp;"*",INDIRECT(Formulas!$B$7)),0)</f>
        <v>0</v>
      </c>
    </row>
    <row r="275" spans="1:12" x14ac:dyDescent="0.2">
      <c r="A275" s="1474" t="s">
        <v>403</v>
      </c>
      <c r="B275" s="590">
        <v>2640</v>
      </c>
      <c r="C275" s="592"/>
      <c r="D275" s="466">
        <f ca="1">ROUND(SUMIF(INDIRECT(Formulas!$B$1),"50-"&amp;LEFT($B275,3)&amp;"*-"&amp;MID(D$1,2,1)&amp;"*",INDIRECT(Formulas!$B$3)),0)</f>
        <v>262</v>
      </c>
      <c r="E275" s="592"/>
      <c r="F275" s="592"/>
      <c r="G275" s="592"/>
      <c r="H275" s="592"/>
      <c r="I275" s="592"/>
      <c r="J275" s="592"/>
      <c r="K275" s="1642">
        <f ca="1">D275</f>
        <v>262</v>
      </c>
      <c r="L275" s="466">
        <f ca="1">ROUND(SUMIF(INDIRECT(Formulas!$B$1),"50-"&amp;LEFT($B275,3)&amp;"*",INDIRECT(Formulas!$B$7)),0)</f>
        <v>475</v>
      </c>
    </row>
    <row r="276" spans="1:12" x14ac:dyDescent="0.2">
      <c r="A276" s="1474" t="s">
        <v>404</v>
      </c>
      <c r="B276" s="590">
        <v>2660</v>
      </c>
      <c r="C276" s="592"/>
      <c r="D276" s="466">
        <f ca="1">ROUND(SUMIF(INDIRECT(Formulas!$B$1),"50-"&amp;LEFT($B276,3)&amp;"*-"&amp;MID(D$1,2,1)&amp;"*",INDIRECT(Formulas!$B$3)),0)</f>
        <v>0</v>
      </c>
      <c r="E276" s="592"/>
      <c r="F276" s="592"/>
      <c r="G276" s="592"/>
      <c r="H276" s="592"/>
      <c r="I276" s="592"/>
      <c r="J276" s="592"/>
      <c r="K276" s="1642">
        <f ca="1">D276</f>
        <v>0</v>
      </c>
      <c r="L276" s="466">
        <f ca="1">ROUND(SUMIF(INDIRECT(Formulas!$B$1),"50-"&amp;LEFT($B276,3)&amp;"*",INDIRECT(Formulas!$B$7)),0)</f>
        <v>0</v>
      </c>
    </row>
    <row r="277" spans="1:12" ht="12.75" customHeight="1" thickBot="1" x14ac:dyDescent="0.25">
      <c r="A277" s="1661" t="s">
        <v>37</v>
      </c>
      <c r="B277" s="1639" t="s">
        <v>36</v>
      </c>
      <c r="C277" s="592"/>
      <c r="D277" s="1640">
        <f ca="1">SUM(D272:D276)</f>
        <v>262</v>
      </c>
      <c r="E277" s="592"/>
      <c r="F277" s="592"/>
      <c r="G277" s="592"/>
      <c r="H277" s="592"/>
      <c r="I277" s="592"/>
      <c r="J277" s="592"/>
      <c r="K277" s="1640">
        <f ca="1">SUM(K272:K276)</f>
        <v>262</v>
      </c>
      <c r="L277" s="1640">
        <f ca="1">SUM(L272:L276)</f>
        <v>475</v>
      </c>
    </row>
    <row r="278" spans="1:12" ht="13.5" customHeight="1" thickTop="1" x14ac:dyDescent="0.2">
      <c r="A278" s="1480" t="s">
        <v>980</v>
      </c>
      <c r="B278" s="629" t="s">
        <v>574</v>
      </c>
      <c r="C278" s="592"/>
      <c r="D278" s="466">
        <f ca="1">ROUND(SUMIF(INDIRECT(Formulas!$B$1),"50-"&amp;LEFT($B278,3)&amp;"*-"&amp;MID(D$1,2,1)&amp;"*",INDIRECT(Formulas!$B$3)),0)</f>
        <v>0</v>
      </c>
      <c r="E278" s="592"/>
      <c r="F278" s="592"/>
      <c r="G278" s="592"/>
      <c r="H278" s="592"/>
      <c r="I278" s="592"/>
      <c r="J278" s="592"/>
      <c r="K278" s="1655">
        <f ca="1">D278</f>
        <v>0</v>
      </c>
      <c r="L278" s="466">
        <f ca="1">ROUND(SUMIF(INDIRECT(Formulas!$B$1),"50-"&amp;LEFT($B278,3)&amp;"*",INDIRECT(Formulas!$B$7)),0)</f>
        <v>0</v>
      </c>
    </row>
    <row r="279" spans="1:12" ht="12.75" customHeight="1" thickBot="1" x14ac:dyDescent="0.25">
      <c r="A279" s="1668" t="s">
        <v>811</v>
      </c>
      <c r="B279" s="1651">
        <v>2000</v>
      </c>
      <c r="C279" s="592"/>
      <c r="D279" s="1647">
        <f ca="1">SUM(D238,D243,D257,D261,D270,D277,D278)</f>
        <v>568840</v>
      </c>
      <c r="E279" s="592"/>
      <c r="F279" s="592"/>
      <c r="G279" s="592"/>
      <c r="H279" s="592"/>
      <c r="I279" s="592"/>
      <c r="J279" s="592"/>
      <c r="K279" s="1647">
        <f ca="1">SUM(K238,K243,K257,K261,K270,K277,K278)</f>
        <v>568840</v>
      </c>
      <c r="L279" s="1647">
        <f ca="1">SUM(L238,L243,L257,L261,L270,L277,L278)</f>
        <v>598703</v>
      </c>
    </row>
    <row r="280" spans="1:12" ht="15.75" customHeight="1" thickTop="1" thickBot="1" x14ac:dyDescent="0.25">
      <c r="A280" s="1594" t="s">
        <v>875</v>
      </c>
      <c r="B280" s="1583">
        <v>3000</v>
      </c>
      <c r="C280" s="592"/>
      <c r="D280" s="466">
        <f ca="1">ROUND(SUMIF(INDIRECT(Formulas!$B$1),"50-"&amp;LEFT($B280,3)&amp;"*-"&amp;MID(D$1,2,1)&amp;"*",INDIRECT(Formulas!$B$3)),0)</f>
        <v>0</v>
      </c>
      <c r="E280" s="592"/>
      <c r="F280" s="592"/>
      <c r="G280" s="592"/>
      <c r="H280" s="592"/>
      <c r="I280" s="592"/>
      <c r="J280" s="592"/>
      <c r="K280" s="1649">
        <f ca="1">D280</f>
        <v>0</v>
      </c>
      <c r="L280" s="466">
        <f ca="1">ROUND(SUMIF(INDIRECT(Formulas!$B$1),"50-"&amp;LEFT($B280,3)&amp;"*",INDIRECT(Formulas!$B$7)),0)</f>
        <v>0</v>
      </c>
    </row>
    <row r="281" spans="1:12" ht="15.75" customHeight="1" thickTop="1" x14ac:dyDescent="0.2">
      <c r="A281" s="1584" t="s">
        <v>142</v>
      </c>
      <c r="B281" s="1585" t="s">
        <v>860</v>
      </c>
      <c r="C281" s="592"/>
      <c r="D281" s="553"/>
      <c r="E281" s="592"/>
      <c r="F281" s="592"/>
      <c r="G281" s="592"/>
      <c r="H281" s="592"/>
      <c r="I281" s="592"/>
      <c r="J281" s="592"/>
      <c r="K281" s="592"/>
      <c r="L281" s="592"/>
    </row>
    <row r="282" spans="1:12" ht="15.75" customHeight="1" x14ac:dyDescent="0.2">
      <c r="A282" s="1800" t="s">
        <v>496</v>
      </c>
      <c r="B282" s="663" t="s">
        <v>1842</v>
      </c>
      <c r="C282" s="592"/>
      <c r="D282" s="466">
        <f ca="1">ROUND(SUMIF(INDIRECT(Formulas!$B$1),"50-"&amp;LEFT($B282,3)&amp;"*-"&amp;MID(D$1,2,1)&amp;"*",INDIRECT(Formulas!$B$3)),0)</f>
        <v>0</v>
      </c>
      <c r="E282" s="592"/>
      <c r="F282" s="592"/>
      <c r="G282" s="592"/>
      <c r="H282" s="592"/>
      <c r="I282" s="592"/>
      <c r="J282" s="592"/>
      <c r="K282" s="1641">
        <f ca="1">D282</f>
        <v>0</v>
      </c>
      <c r="L282" s="466">
        <f ca="1">ROUND(SUMIF(INDIRECT(Formulas!$B$1),"50-"&amp;LEFT($B282,3)&amp;"*",INDIRECT(Formulas!$B$7)),0)</f>
        <v>0</v>
      </c>
    </row>
    <row r="283" spans="1:12" x14ac:dyDescent="0.2">
      <c r="A283" s="1474" t="s">
        <v>304</v>
      </c>
      <c r="B283" s="590">
        <v>4120</v>
      </c>
      <c r="C283" s="592"/>
      <c r="D283" s="466">
        <f ca="1">ROUND(SUMIF(INDIRECT(Formulas!$B$1),"50-"&amp;LEFT($B283,3)&amp;"*-"&amp;MID(D$1,2,1)&amp;"*",INDIRECT(Formulas!$B$3)),0)</f>
        <v>0</v>
      </c>
      <c r="E283" s="592"/>
      <c r="F283" s="592"/>
      <c r="G283" s="592"/>
      <c r="H283" s="592"/>
      <c r="I283" s="592"/>
      <c r="J283" s="592"/>
      <c r="K283" s="1641">
        <f ca="1">D283</f>
        <v>0</v>
      </c>
      <c r="L283" s="466">
        <f ca="1">ROUND(SUMIF(INDIRECT(Formulas!$B$1),"50-"&amp;LEFT($B283,3)&amp;"*",INDIRECT(Formulas!$B$7)),0)</f>
        <v>0</v>
      </c>
    </row>
    <row r="284" spans="1:12" x14ac:dyDescent="0.2">
      <c r="A284" s="1474" t="s">
        <v>697</v>
      </c>
      <c r="B284" s="590">
        <v>4140</v>
      </c>
      <c r="C284" s="592"/>
      <c r="D284" s="466">
        <f ca="1">ROUND(SUMIF(INDIRECT(Formulas!$B$1),"50-"&amp;LEFT($B284,3)&amp;"*-"&amp;MID(D$1,2,1)&amp;"*",INDIRECT(Formulas!$B$3)),0)</f>
        <v>0</v>
      </c>
      <c r="E284" s="592"/>
      <c r="F284" s="592"/>
      <c r="G284" s="592"/>
      <c r="H284" s="592"/>
      <c r="I284" s="592"/>
      <c r="J284" s="592"/>
      <c r="K284" s="1641">
        <f ca="1">D284</f>
        <v>0</v>
      </c>
      <c r="L284" s="466">
        <f ca="1">ROUND(SUMIF(INDIRECT(Formulas!$B$1),"50-"&amp;LEFT($B284,3)&amp;"*",INDIRECT(Formulas!$B$7)),0)</f>
        <v>0</v>
      </c>
    </row>
    <row r="285" spans="1:12" ht="12.75" customHeight="1" thickBot="1" x14ac:dyDescent="0.25">
      <c r="A285" s="1638" t="s">
        <v>1487</v>
      </c>
      <c r="B285" s="1639" t="s">
        <v>860</v>
      </c>
      <c r="C285" s="592"/>
      <c r="D285" s="1640">
        <f ca="1">SUM(D282:D284)</f>
        <v>0</v>
      </c>
      <c r="E285" s="592"/>
      <c r="F285" s="592"/>
      <c r="G285" s="592"/>
      <c r="H285" s="592"/>
      <c r="I285" s="592"/>
      <c r="J285" s="592"/>
      <c r="K285" s="1640">
        <f ca="1">SUM(K282:K284)</f>
        <v>0</v>
      </c>
      <c r="L285" s="1640">
        <f ca="1">SUM(L282:L284)</f>
        <v>0</v>
      </c>
    </row>
    <row r="286" spans="1:12" ht="15.75" customHeight="1" thickTop="1" x14ac:dyDescent="0.2">
      <c r="A286" s="1582" t="s">
        <v>876</v>
      </c>
      <c r="B286" s="1579" t="s">
        <v>492</v>
      </c>
      <c r="C286" s="592"/>
      <c r="D286" s="592"/>
      <c r="E286" s="592"/>
      <c r="F286" s="592"/>
      <c r="G286" s="592"/>
      <c r="H286" s="592"/>
      <c r="I286" s="592"/>
      <c r="J286" s="592"/>
      <c r="K286" s="592"/>
      <c r="L286" s="592"/>
    </row>
    <row r="287" spans="1:12" ht="15.75" customHeight="1" x14ac:dyDescent="0.2">
      <c r="A287" s="627" t="s">
        <v>93</v>
      </c>
      <c r="B287" s="598"/>
      <c r="C287" s="592"/>
      <c r="D287" s="592"/>
      <c r="E287" s="592"/>
      <c r="F287" s="592"/>
      <c r="G287" s="592"/>
      <c r="H287" s="599"/>
      <c r="I287" s="592"/>
      <c r="J287" s="592"/>
      <c r="K287" s="592"/>
      <c r="L287" s="592"/>
    </row>
    <row r="288" spans="1:12" x14ac:dyDescent="0.2">
      <c r="A288" s="1474" t="s">
        <v>87</v>
      </c>
      <c r="B288" s="590">
        <v>5110</v>
      </c>
      <c r="C288" s="592"/>
      <c r="D288" s="592"/>
      <c r="E288" s="592"/>
      <c r="F288" s="592"/>
      <c r="G288" s="592"/>
      <c r="H288" s="466">
        <f ca="1">ROUND(SUMIF(INDIRECT(Formulas!$B$1),"50-"&amp;LEFT($B288,3)&amp;"*-"&amp;MID(H$1,2,1)&amp;"*",INDIRECT(Formulas!$B$3)),0)</f>
        <v>0</v>
      </c>
      <c r="I288" s="592"/>
      <c r="J288" s="592"/>
      <c r="K288" s="1641">
        <f ca="1">H288</f>
        <v>0</v>
      </c>
      <c r="L288" s="466">
        <f ca="1">ROUND(SUMIF(INDIRECT(Formulas!$B$1),"50-"&amp;LEFT($B288,3)&amp;"*",INDIRECT(Formulas!$B$7)),0)</f>
        <v>0</v>
      </c>
    </row>
    <row r="289" spans="1:14" x14ac:dyDescent="0.2">
      <c r="A289" s="1474" t="s">
        <v>88</v>
      </c>
      <c r="B289" s="590">
        <v>5120</v>
      </c>
      <c r="C289" s="592"/>
      <c r="D289" s="592"/>
      <c r="E289" s="592"/>
      <c r="F289" s="592"/>
      <c r="G289" s="592"/>
      <c r="H289" s="466">
        <f ca="1">ROUND(SUMIF(INDIRECT(Formulas!$B$1),"50-"&amp;LEFT($B289,3)&amp;"*-"&amp;MID(H$1,2,1)&amp;"*",INDIRECT(Formulas!$B$3)),0)</f>
        <v>0</v>
      </c>
      <c r="I289" s="592"/>
      <c r="J289" s="592"/>
      <c r="K289" s="1641">
        <f ca="1">H289</f>
        <v>0</v>
      </c>
      <c r="L289" s="466">
        <f ca="1">ROUND(SUMIF(INDIRECT(Formulas!$B$1),"50-"&amp;LEFT($B289,3)&amp;"*",INDIRECT(Formulas!$B$7)),0)</f>
        <v>0</v>
      </c>
    </row>
    <row r="290" spans="1:14" ht="12.75" customHeight="1" x14ac:dyDescent="0.2">
      <c r="A290" s="1474" t="s">
        <v>1170</v>
      </c>
      <c r="B290" s="604" t="s">
        <v>617</v>
      </c>
      <c r="C290" s="592"/>
      <c r="D290" s="592"/>
      <c r="E290" s="592"/>
      <c r="F290" s="592"/>
      <c r="G290" s="592"/>
      <c r="H290" s="466">
        <f ca="1">ROUND(SUMIF(INDIRECT(Formulas!$B$1),"50-"&amp;LEFT($B290,3)&amp;"*-"&amp;MID(H$1,2,1)&amp;"*",INDIRECT(Formulas!$B$3)),0)</f>
        <v>0</v>
      </c>
      <c r="I290" s="592"/>
      <c r="J290" s="592"/>
      <c r="K290" s="1641">
        <f ca="1">H290</f>
        <v>0</v>
      </c>
      <c r="L290" s="466">
        <f ca="1">ROUND(SUMIF(INDIRECT(Formulas!$B$1),"50-"&amp;LEFT($B290,3)&amp;"*",INDIRECT(Formulas!$B$7)),0)</f>
        <v>0</v>
      </c>
    </row>
    <row r="291" spans="1:14" x14ac:dyDescent="0.2">
      <c r="A291" s="1474" t="s">
        <v>89</v>
      </c>
      <c r="B291" s="590" t="s">
        <v>589</v>
      </c>
      <c r="C291" s="592"/>
      <c r="D291" s="592"/>
      <c r="E291" s="592"/>
      <c r="F291" s="592"/>
      <c r="G291" s="592"/>
      <c r="H291" s="466">
        <f ca="1">ROUND(SUMIF(INDIRECT(Formulas!$B$1),"50-"&amp;LEFT($B291,3)&amp;"*-"&amp;MID(H$1,2,1)&amp;"*",INDIRECT(Formulas!$B$3)),0)</f>
        <v>0</v>
      </c>
      <c r="I291" s="592"/>
      <c r="J291" s="592"/>
      <c r="K291" s="1641">
        <f ca="1">H291</f>
        <v>0</v>
      </c>
      <c r="L291" s="466">
        <f ca="1">ROUND(SUMIF(INDIRECT(Formulas!$B$1),"50-"&amp;LEFT($B291,3)&amp;"*",INDIRECT(Formulas!$B$7)),0)</f>
        <v>0</v>
      </c>
    </row>
    <row r="292" spans="1:14" x14ac:dyDescent="0.2">
      <c r="A292" s="1474" t="s">
        <v>762</v>
      </c>
      <c r="B292" s="590" t="s">
        <v>618</v>
      </c>
      <c r="C292" s="592"/>
      <c r="D292" s="592"/>
      <c r="E292" s="592"/>
      <c r="F292" s="592"/>
      <c r="G292" s="592"/>
      <c r="H292" s="466">
        <f ca="1">ROUND(SUMIF(INDIRECT(Formulas!$B$1),"50-"&amp;LEFT($B292,3)&amp;"*-"&amp;MID(H$1,2,1)&amp;"*",INDIRECT(Formulas!$B$3)),0)</f>
        <v>0</v>
      </c>
      <c r="I292" s="592"/>
      <c r="J292" s="592"/>
      <c r="K292" s="1641">
        <f ca="1">H292</f>
        <v>0</v>
      </c>
      <c r="L292" s="466">
        <f ca="1">ROUND(SUMIF(INDIRECT(Formulas!$B$1),"50-"&amp;LEFT($B292,3)&amp;"*",INDIRECT(Formulas!$B$7)),0)</f>
        <v>0</v>
      </c>
    </row>
    <row r="293" spans="1:14" ht="12.75" customHeight="1" thickBot="1" x14ac:dyDescent="0.25">
      <c r="A293" s="1638" t="s">
        <v>484</v>
      </c>
      <c r="B293" s="1639" t="s">
        <v>492</v>
      </c>
      <c r="C293" s="592"/>
      <c r="D293" s="592"/>
      <c r="E293" s="592"/>
      <c r="F293" s="592"/>
      <c r="G293" s="592"/>
      <c r="H293" s="1640">
        <f ca="1">SUM(H288:H292)</f>
        <v>0</v>
      </c>
      <c r="I293" s="592"/>
      <c r="J293" s="592"/>
      <c r="K293" s="1640">
        <f ca="1">SUM(K288:K292)</f>
        <v>0</v>
      </c>
      <c r="L293" s="1640">
        <f ca="1">SUM(L288:L292)</f>
        <v>0</v>
      </c>
    </row>
    <row r="294" spans="1:14" ht="15.75" customHeight="1" thickTop="1" x14ac:dyDescent="0.2">
      <c r="A294" s="1595" t="s">
        <v>877</v>
      </c>
      <c r="B294" s="1583" t="s">
        <v>861</v>
      </c>
      <c r="C294" s="592"/>
      <c r="D294" s="599"/>
      <c r="E294" s="592"/>
      <c r="F294" s="592"/>
      <c r="G294" s="592"/>
      <c r="H294" s="659"/>
      <c r="I294" s="592"/>
      <c r="J294" s="592"/>
      <c r="K294" s="659"/>
      <c r="L294" s="466">
        <f ca="1">ROUND(SUMIF(INDIRECT(Formulas!$B$1),"50-"&amp;LEFT($B294,3)&amp;"*",INDIRECT(Formulas!$B$7)),0)</f>
        <v>0</v>
      </c>
    </row>
    <row r="295" spans="1:14" ht="12.75" customHeight="1" thickBot="1" x14ac:dyDescent="0.25">
      <c r="A295" s="2225" t="s">
        <v>505</v>
      </c>
      <c r="B295" s="2226"/>
      <c r="C295" s="592"/>
      <c r="D295" s="1640">
        <f ca="1">SUM(D229,D279,D280,D285)</f>
        <v>868258</v>
      </c>
      <c r="E295" s="592"/>
      <c r="F295" s="592"/>
      <c r="G295" s="592"/>
      <c r="H295" s="1640">
        <f ca="1">H293</f>
        <v>0</v>
      </c>
      <c r="I295" s="592"/>
      <c r="J295" s="592"/>
      <c r="K295" s="1640">
        <f ca="1">SUM(K229,K279,K280,K285,K293,K294)</f>
        <v>868258</v>
      </c>
      <c r="L295" s="1640">
        <f ca="1">SUM(L229,L279,L280,L285,L293,L294)</f>
        <v>916102</v>
      </c>
    </row>
    <row r="296" spans="1:14" ht="13.5" thickTop="1" x14ac:dyDescent="0.2">
      <c r="A296" s="2207" t="s">
        <v>996</v>
      </c>
      <c r="B296" s="2208"/>
      <c r="C296" s="592"/>
      <c r="D296" s="594"/>
      <c r="E296" s="592"/>
      <c r="F296" s="592"/>
      <c r="G296" s="592"/>
      <c r="H296" s="660"/>
      <c r="I296" s="592"/>
      <c r="J296" s="592"/>
      <c r="K296" s="1654">
        <f ca="1">'Revenues 9-14'!G268-'Expenditures 15-22'!K295</f>
        <v>51698</v>
      </c>
      <c r="L296" s="660"/>
    </row>
    <row r="297" spans="1:14" s="639" customFormat="1" ht="9" customHeight="1" x14ac:dyDescent="0.2">
      <c r="A297" s="636"/>
      <c r="B297" s="646"/>
      <c r="C297" s="624"/>
      <c r="D297" s="624"/>
      <c r="E297" s="624"/>
      <c r="F297" s="624"/>
      <c r="G297" s="624"/>
      <c r="H297" s="624"/>
      <c r="I297" s="624"/>
      <c r="J297" s="624"/>
      <c r="K297" s="624"/>
      <c r="L297" s="624"/>
      <c r="M297" s="638"/>
      <c r="N297" s="638"/>
    </row>
    <row r="298" spans="1:14" ht="16.7" customHeight="1" x14ac:dyDescent="0.2">
      <c r="A298" s="2217" t="s">
        <v>143</v>
      </c>
      <c r="B298" s="2211"/>
      <c r="C298" s="1521"/>
      <c r="D298" s="1522"/>
      <c r="E298" s="1522"/>
      <c r="F298" s="1522"/>
      <c r="G298" s="1522"/>
      <c r="H298" s="1522"/>
      <c r="I298" s="1522"/>
      <c r="J298" s="1522"/>
      <c r="K298" s="1522"/>
      <c r="L298" s="1523"/>
    </row>
    <row r="299" spans="1:14" ht="15.75" customHeight="1" x14ac:dyDescent="0.2">
      <c r="A299" s="1582" t="s">
        <v>144</v>
      </c>
      <c r="B299" s="1585" t="s">
        <v>569</v>
      </c>
      <c r="C299" s="592"/>
      <c r="D299" s="592"/>
      <c r="E299" s="592"/>
      <c r="F299" s="592"/>
      <c r="G299" s="592"/>
      <c r="H299" s="592"/>
      <c r="I299" s="592"/>
      <c r="J299" s="592"/>
      <c r="K299" s="592"/>
      <c r="L299" s="592"/>
    </row>
    <row r="300" spans="1:14" ht="15.75" customHeight="1" x14ac:dyDescent="0.2">
      <c r="A300" s="661" t="s">
        <v>612</v>
      </c>
      <c r="B300" s="607"/>
      <c r="C300" s="599"/>
      <c r="D300" s="599"/>
      <c r="E300" s="599"/>
      <c r="F300" s="599"/>
      <c r="G300" s="599"/>
      <c r="H300" s="599"/>
      <c r="I300" s="592"/>
      <c r="J300" s="592"/>
      <c r="K300" s="599"/>
      <c r="L300" s="599"/>
    </row>
    <row r="301" spans="1:14" x14ac:dyDescent="0.2">
      <c r="A301" s="1487" t="s">
        <v>608</v>
      </c>
      <c r="B301" s="662">
        <v>2530</v>
      </c>
      <c r="C301" s="466">
        <f ca="1">ROUND(SUMIF(INDIRECT(Formulas!$B$1),"60-"&amp;LEFT($B301,3)&amp;"*-"&amp;MID(C$1,2,1)&amp;"*",INDIRECT(Formulas!$B$3)),0)</f>
        <v>0</v>
      </c>
      <c r="D301" s="466">
        <f ca="1">ROUND(SUMIF(INDIRECT(Formulas!$B$1),"60-"&amp;LEFT($B301,3)&amp;"*-"&amp;MID(D$1,2,1)&amp;"*",INDIRECT(Formulas!$B$3)),0)</f>
        <v>0</v>
      </c>
      <c r="E301" s="466">
        <f ca="1">ROUND(SUMIF(INDIRECT(Formulas!$B$1),"60-"&amp;LEFT($B301,3)&amp;"*-"&amp;MID(E$1,2,1)&amp;"*",INDIRECT(Formulas!$B$3)),0)</f>
        <v>0</v>
      </c>
      <c r="F301" s="466">
        <f ca="1">ROUND(SUMIF(INDIRECT(Formulas!$B$1),"60-"&amp;LEFT($B301,3)&amp;"*-"&amp;MID(F$1,2,1)&amp;"*",INDIRECT(Formulas!$B$3)),0)</f>
        <v>0</v>
      </c>
      <c r="G301" s="466">
        <f ca="1">ROUND(SUMIF(INDIRECT(Formulas!$B$1),"60-"&amp;LEFT($B301,3)&amp;"*-"&amp;MID(G$1,2,1)&amp;"*",INDIRECT(Formulas!$B$3)),0)</f>
        <v>0</v>
      </c>
      <c r="H301" s="466">
        <f ca="1">ROUND(SUMIF(INDIRECT(Formulas!$B$1),"60-"&amp;LEFT($B301,3)&amp;"*-"&amp;MID(H$1,2,1)&amp;"*",INDIRECT(Formulas!$B$3)),0)</f>
        <v>0</v>
      </c>
      <c r="I301" s="466">
        <f ca="1">ROUND(SUMIF(INDIRECT(Formulas!$B$1),"60-"&amp;LEFT($B301,3)&amp;"*-"&amp;MID(I$1,2,1)&amp;"*",INDIRECT(Formulas!$B$3)),0)</f>
        <v>0</v>
      </c>
      <c r="J301" s="466">
        <f ca="1">ROUND(SUMIF(INDIRECT(Formulas!$B$1),"60-"&amp;LEFT($B301,3)&amp;"*-"&amp;MID(J$1,2,1)&amp;"*",INDIRECT(Formulas!$B$3)),0)</f>
        <v>0</v>
      </c>
      <c r="K301" s="1641">
        <f ca="1">SUM(C301:J301)</f>
        <v>0</v>
      </c>
      <c r="L301" s="466">
        <f ca="1">ROUND(SUMIF(INDIRECT(Formulas!$B$1),"60-"&amp;LEFT($B301,3)&amp;"*",INDIRECT(Formulas!$B$7)),0)</f>
        <v>0</v>
      </c>
    </row>
    <row r="302" spans="1:14" ht="13.5" customHeight="1" x14ac:dyDescent="0.2">
      <c r="A302" s="1487" t="s">
        <v>980</v>
      </c>
      <c r="B302" s="590" t="s">
        <v>574</v>
      </c>
      <c r="C302" s="466">
        <f ca="1">ROUND(SUMIF(INDIRECT(Formulas!$B$1),"60-"&amp;LEFT($B302,3)&amp;"*-"&amp;MID(C$1,2,1)&amp;"*",INDIRECT(Formulas!$B$3)),0)</f>
        <v>0</v>
      </c>
      <c r="D302" s="466">
        <f ca="1">ROUND(SUMIF(INDIRECT(Formulas!$B$1),"60-"&amp;LEFT($B302,3)&amp;"*-"&amp;MID(D$1,2,1)&amp;"*",INDIRECT(Formulas!$B$3)),0)</f>
        <v>0</v>
      </c>
      <c r="E302" s="466">
        <f ca="1">ROUND(SUMIF(INDIRECT(Formulas!$B$1),"60-"&amp;LEFT($B302,3)&amp;"*-"&amp;MID(E$1,2,1)&amp;"*",INDIRECT(Formulas!$B$3)),0)</f>
        <v>0</v>
      </c>
      <c r="F302" s="466">
        <f ca="1">ROUND(SUMIF(INDIRECT(Formulas!$B$1),"60-"&amp;LEFT($B302,3)&amp;"*-"&amp;MID(F$1,2,1)&amp;"*",INDIRECT(Formulas!$B$3)),0)</f>
        <v>0</v>
      </c>
      <c r="G302" s="466">
        <f ca="1">ROUND(SUMIF(INDIRECT(Formulas!$B$1),"60-"&amp;LEFT($B302,3)&amp;"*-"&amp;MID(G$1,2,1)&amp;"*",INDIRECT(Formulas!$B$3)),0)</f>
        <v>0</v>
      </c>
      <c r="H302" s="466">
        <f ca="1">ROUND(SUMIF(INDIRECT(Formulas!$B$1),"60-"&amp;LEFT($B302,3)&amp;"*-"&amp;MID(H$1,2,1)&amp;"*",INDIRECT(Formulas!$B$3)),0)</f>
        <v>0</v>
      </c>
      <c r="I302" s="466">
        <f ca="1">ROUND(SUMIF(INDIRECT(Formulas!$B$1),"60-"&amp;LEFT($B302,3)&amp;"*-"&amp;MID(I$1,2,1)&amp;"*",INDIRECT(Formulas!$B$3)),0)</f>
        <v>0</v>
      </c>
      <c r="J302" s="466">
        <f ca="1">ROUND(SUMIF(INDIRECT(Formulas!$B$1),"60-"&amp;LEFT($B302,3)&amp;"*-"&amp;MID(J$1,2,1)&amp;"*",INDIRECT(Formulas!$B$3)),0)</f>
        <v>0</v>
      </c>
      <c r="K302" s="1641">
        <f ca="1">SUM(C302:J302)</f>
        <v>0</v>
      </c>
      <c r="L302" s="466">
        <f ca="1">ROUND(SUMIF(INDIRECT(Formulas!$B$1),"60-"&amp;LEFT($B302,3)&amp;"*",INDIRECT(Formulas!$B$7)),0)</f>
        <v>0</v>
      </c>
    </row>
    <row r="303" spans="1:14" ht="12.75" customHeight="1" thickBot="1" x14ac:dyDescent="0.25">
      <c r="A303" s="1638" t="s">
        <v>811</v>
      </c>
      <c r="B303" s="1639" t="s">
        <v>569</v>
      </c>
      <c r="C303" s="1647">
        <f ca="1">SUM(C301:C302)</f>
        <v>0</v>
      </c>
      <c r="D303" s="1647">
        <f t="shared" ref="D303:L303" ca="1" si="23">SUM(D301:D302)</f>
        <v>0</v>
      </c>
      <c r="E303" s="1647">
        <f t="shared" ca="1" si="23"/>
        <v>0</v>
      </c>
      <c r="F303" s="1647">
        <f t="shared" ca="1" si="23"/>
        <v>0</v>
      </c>
      <c r="G303" s="1647">
        <f t="shared" ca="1" si="23"/>
        <v>0</v>
      </c>
      <c r="H303" s="1647">
        <f t="shared" ca="1" si="23"/>
        <v>0</v>
      </c>
      <c r="I303" s="1647">
        <f t="shared" ca="1" si="23"/>
        <v>0</v>
      </c>
      <c r="J303" s="1647">
        <f t="shared" ca="1" si="23"/>
        <v>0</v>
      </c>
      <c r="K303" s="1647">
        <f t="shared" ca="1" si="23"/>
        <v>0</v>
      </c>
      <c r="L303" s="1647">
        <f t="shared" ca="1" si="23"/>
        <v>0</v>
      </c>
    </row>
    <row r="304" spans="1:14" ht="15.75" customHeight="1" thickTop="1" x14ac:dyDescent="0.2">
      <c r="A304" s="1582" t="s">
        <v>145</v>
      </c>
      <c r="B304" s="1583" t="s">
        <v>860</v>
      </c>
      <c r="C304" s="592"/>
      <c r="D304" s="592"/>
      <c r="E304" s="592"/>
      <c r="F304" s="592"/>
      <c r="G304" s="592"/>
      <c r="H304" s="592"/>
      <c r="I304" s="592"/>
      <c r="J304" s="592"/>
      <c r="K304" s="592"/>
      <c r="L304" s="592"/>
    </row>
    <row r="305" spans="1:14" ht="15.75" customHeight="1" x14ac:dyDescent="0.2">
      <c r="A305" s="627" t="s">
        <v>897</v>
      </c>
      <c r="B305" s="598"/>
      <c r="C305" s="592"/>
      <c r="D305" s="592"/>
      <c r="E305" s="592"/>
      <c r="F305" s="592"/>
      <c r="G305" s="592"/>
      <c r="H305" s="592"/>
      <c r="I305" s="592"/>
      <c r="J305" s="592"/>
      <c r="K305" s="592"/>
      <c r="L305" s="592"/>
    </row>
    <row r="306" spans="1:14" x14ac:dyDescent="0.2">
      <c r="A306" s="1488" t="s">
        <v>1847</v>
      </c>
      <c r="B306" s="663" t="s">
        <v>1842</v>
      </c>
      <c r="C306" s="592"/>
      <c r="D306" s="592"/>
      <c r="E306" s="466">
        <f ca="1">ROUND(SUMIF(INDIRECT(Formulas!$B$1),"60-"&amp;LEFT($B306,3)&amp;"*-"&amp;MID(E$1,2,1)&amp;"*",INDIRECT(Formulas!$B$3)),0)</f>
        <v>0</v>
      </c>
      <c r="F306" s="592"/>
      <c r="G306" s="592"/>
      <c r="H306" s="466">
        <f ca="1">ROUND(SUMIF(INDIRECT(Formulas!$B$1),"60-"&amp;LEFT($B306,3)&amp;"*-"&amp;MID(H$1,2,1)&amp;"*",INDIRECT(Formulas!$B$3)),0)</f>
        <v>0</v>
      </c>
      <c r="I306" s="592"/>
      <c r="J306" s="592"/>
      <c r="K306" s="1641">
        <f ca="1">SUM(E306,H306)</f>
        <v>0</v>
      </c>
      <c r="L306" s="466">
        <f ca="1">ROUND(SUMIF(INDIRECT(Formulas!$B$1),"60-"&amp;LEFT($B306,3)&amp;"*",INDIRECT(Formulas!$B$7)),0)</f>
        <v>0</v>
      </c>
    </row>
    <row r="307" spans="1:14" x14ac:dyDescent="0.2">
      <c r="A307" s="1474" t="s">
        <v>304</v>
      </c>
      <c r="B307" s="590">
        <v>4120</v>
      </c>
      <c r="C307" s="592"/>
      <c r="D307" s="592"/>
      <c r="E307" s="466">
        <f ca="1">ROUND(SUMIF(INDIRECT(Formulas!$B$1),"60-"&amp;LEFT($B307,3)&amp;"*-"&amp;MID(E$1,2,1)&amp;"*",INDIRECT(Formulas!$B$3)),0)</f>
        <v>0</v>
      </c>
      <c r="F307" s="592"/>
      <c r="G307" s="592"/>
      <c r="H307" s="466">
        <f ca="1">ROUND(SUMIF(INDIRECT(Formulas!$B$1),"60-"&amp;LEFT($B307,3)&amp;"*-"&amp;MID(H$1,2,1)&amp;"*",INDIRECT(Formulas!$B$3)),0)</f>
        <v>0</v>
      </c>
      <c r="I307" s="474"/>
      <c r="J307" s="592"/>
      <c r="K307" s="1641">
        <f ca="1">SUM(E307,H307)</f>
        <v>0</v>
      </c>
      <c r="L307" s="466">
        <f ca="1">ROUND(SUMIF(INDIRECT(Formulas!$B$1),"60-"&amp;LEFT($B307,3)&amp;"*",INDIRECT(Formulas!$B$7)),0)</f>
        <v>0</v>
      </c>
    </row>
    <row r="308" spans="1:14" x14ac:dyDescent="0.2">
      <c r="A308" s="1474" t="s">
        <v>697</v>
      </c>
      <c r="B308" s="590">
        <v>4140</v>
      </c>
      <c r="C308" s="592"/>
      <c r="D308" s="592"/>
      <c r="E308" s="466">
        <f ca="1">ROUND(SUMIF(INDIRECT(Formulas!$B$1),"60-"&amp;LEFT($B308,3)&amp;"*-"&amp;MID(E$1,2,1)&amp;"*",INDIRECT(Formulas!$B$3)),0)</f>
        <v>0</v>
      </c>
      <c r="F308" s="592"/>
      <c r="G308" s="592"/>
      <c r="H308" s="466">
        <f ca="1">ROUND(SUMIF(INDIRECT(Formulas!$B$1),"60-"&amp;LEFT($B308,3)&amp;"*-"&amp;MID(H$1,2,1)&amp;"*",INDIRECT(Formulas!$B$3)),0)</f>
        <v>0</v>
      </c>
      <c r="I308" s="474"/>
      <c r="J308" s="592"/>
      <c r="K308" s="1641">
        <f ca="1">SUM(E308,H308)</f>
        <v>0</v>
      </c>
      <c r="L308" s="466">
        <f ca="1">ROUND(SUMIF(INDIRECT(Formulas!$B$1),"60-"&amp;LEFT($B308,3)&amp;"*",INDIRECT(Formulas!$B$7)),0)</f>
        <v>0</v>
      </c>
    </row>
    <row r="309" spans="1:14" ht="12.75" customHeight="1" x14ac:dyDescent="0.2">
      <c r="A309" s="1478" t="s">
        <v>698</v>
      </c>
      <c r="B309" s="604">
        <v>4190</v>
      </c>
      <c r="C309" s="592"/>
      <c r="D309" s="592"/>
      <c r="E309" s="466">
        <f ca="1">ROUND(SUMIF(INDIRECT(Formulas!$B$1),"60-"&amp;LEFT($B309,3)&amp;"*-"&amp;MID(E$1,2,1)&amp;"*",INDIRECT(Formulas!$B$3)),0)</f>
        <v>0</v>
      </c>
      <c r="F309" s="592"/>
      <c r="G309" s="592"/>
      <c r="H309" s="466">
        <f ca="1">ROUND(SUMIF(INDIRECT(Formulas!$B$1),"60-"&amp;LEFT($B309,3)&amp;"*-"&amp;MID(H$1,2,1)&amp;"*",INDIRECT(Formulas!$B$3)),0)</f>
        <v>0</v>
      </c>
      <c r="I309" s="474"/>
      <c r="J309" s="592"/>
      <c r="K309" s="1641">
        <f ca="1">SUM(E309,H309)</f>
        <v>0</v>
      </c>
      <c r="L309" s="466">
        <f ca="1">ROUND(SUMIF(INDIRECT(Formulas!$B$1),"60-"&amp;LEFT($B309,3)&amp;"*",INDIRECT(Formulas!$B$7)),0)</f>
        <v>0</v>
      </c>
    </row>
    <row r="310" spans="1:14" ht="12.75" customHeight="1" thickBot="1" x14ac:dyDescent="0.25">
      <c r="A310" s="1638" t="s">
        <v>1487</v>
      </c>
      <c r="B310" s="1645" t="s">
        <v>860</v>
      </c>
      <c r="C310" s="592"/>
      <c r="D310" s="592"/>
      <c r="E310" s="1640">
        <f ca="1">SUM(E306:E309)</f>
        <v>0</v>
      </c>
      <c r="F310" s="592"/>
      <c r="G310" s="592"/>
      <c r="H310" s="1640">
        <f ca="1">SUM(H306:H309)</f>
        <v>0</v>
      </c>
      <c r="I310" s="474"/>
      <c r="J310" s="592"/>
      <c r="K310" s="1640">
        <f ca="1">SUM(K306:K309)</f>
        <v>0</v>
      </c>
      <c r="L310" s="1647">
        <f ca="1">SUM(L306:L309)</f>
        <v>0</v>
      </c>
    </row>
    <row r="311" spans="1:14" ht="15.75" customHeight="1" thickTop="1" thickBot="1" x14ac:dyDescent="0.25">
      <c r="A311" s="1589" t="s">
        <v>895</v>
      </c>
      <c r="B311" s="1581" t="s">
        <v>861</v>
      </c>
      <c r="C311" s="599"/>
      <c r="D311" s="599"/>
      <c r="E311" s="599"/>
      <c r="F311" s="599"/>
      <c r="G311" s="599"/>
      <c r="H311" s="599"/>
      <c r="I311" s="599"/>
      <c r="J311" s="592"/>
      <c r="K311" s="599"/>
      <c r="L311" s="466">
        <f ca="1">ROUND(SUMIF(INDIRECT(Formulas!$B$1),"60-"&amp;LEFT($B311,3)&amp;"*",INDIRECT(Formulas!$B$7)),0)</f>
        <v>0</v>
      </c>
    </row>
    <row r="312" spans="1:14" s="647" customFormat="1" ht="12.75" customHeight="1" thickTop="1" thickBot="1" x14ac:dyDescent="0.25">
      <c r="A312" s="2222" t="s">
        <v>277</v>
      </c>
      <c r="B312" s="2223"/>
      <c r="C312" s="1640">
        <f ca="1">SUM(C303)</f>
        <v>0</v>
      </c>
      <c r="D312" s="1640">
        <f ca="1">SUM(D303)</f>
        <v>0</v>
      </c>
      <c r="E312" s="1640">
        <f ca="1">SUM(E303,E310)</f>
        <v>0</v>
      </c>
      <c r="F312" s="1640">
        <f ca="1">SUM(F303)</f>
        <v>0</v>
      </c>
      <c r="G312" s="1640">
        <f ca="1">SUM(G303)</f>
        <v>0</v>
      </c>
      <c r="H312" s="1640">
        <f ca="1">SUM(H303,H310)</f>
        <v>0</v>
      </c>
      <c r="I312" s="1640">
        <f ca="1">SUM(I303)</f>
        <v>0</v>
      </c>
      <c r="J312" s="1640">
        <f ca="1">SUM(J303)</f>
        <v>0</v>
      </c>
      <c r="K312" s="1640">
        <f ca="1">SUM(K303,K310,K311)</f>
        <v>0</v>
      </c>
      <c r="L312" s="1640">
        <f ca="1">SUM(L303,L310,L311)</f>
        <v>0</v>
      </c>
      <c r="M312" s="638"/>
      <c r="N312" s="638"/>
    </row>
    <row r="313" spans="1:14" ht="13.5" thickTop="1" x14ac:dyDescent="0.2">
      <c r="A313" s="2218" t="s">
        <v>996</v>
      </c>
      <c r="B313" s="2219"/>
      <c r="C313" s="602"/>
      <c r="D313" s="602"/>
      <c r="E313" s="602"/>
      <c r="F313" s="602"/>
      <c r="G313" s="602"/>
      <c r="H313" s="602"/>
      <c r="I313" s="602"/>
      <c r="J313" s="602"/>
      <c r="K313" s="1655">
        <f ca="1">'Revenues 9-14'!H268-'Expenditures 15-22'!K312</f>
        <v>0</v>
      </c>
      <c r="L313" s="602"/>
    </row>
    <row r="314" spans="1:14" s="639" customFormat="1" ht="9" customHeight="1" x14ac:dyDescent="0.2">
      <c r="A314" s="664"/>
      <c r="B314" s="665"/>
      <c r="C314" s="666"/>
      <c r="D314" s="666"/>
      <c r="E314" s="666"/>
      <c r="F314" s="666"/>
      <c r="G314" s="666"/>
      <c r="H314" s="666"/>
      <c r="I314" s="666"/>
      <c r="J314" s="666"/>
      <c r="K314" s="666"/>
      <c r="L314" s="666"/>
      <c r="M314" s="638"/>
      <c r="N314" s="638"/>
    </row>
    <row r="315" spans="1:14" ht="16.7" customHeight="1" x14ac:dyDescent="0.2">
      <c r="A315" s="2231" t="s">
        <v>149</v>
      </c>
      <c r="B315" s="2232"/>
      <c r="C315" s="1526"/>
      <c r="D315" s="1527"/>
      <c r="E315" s="1527"/>
      <c r="F315" s="1527"/>
      <c r="G315" s="1527"/>
      <c r="H315" s="1527"/>
      <c r="I315" s="1527"/>
      <c r="J315" s="1527"/>
      <c r="K315" s="1527"/>
      <c r="L315" s="1528"/>
    </row>
    <row r="316" spans="1:14" s="647" customFormat="1" ht="9" customHeight="1" x14ac:dyDescent="0.2">
      <c r="A316" s="664"/>
      <c r="B316" s="665"/>
      <c r="C316" s="667"/>
      <c r="D316" s="667"/>
      <c r="E316" s="667"/>
      <c r="F316" s="667"/>
      <c r="G316" s="667"/>
      <c r="H316" s="667"/>
      <c r="I316" s="667"/>
      <c r="J316" s="667"/>
      <c r="K316" s="667"/>
      <c r="L316" s="667"/>
      <c r="M316" s="638"/>
      <c r="N316" s="638"/>
    </row>
    <row r="317" spans="1:14" ht="16.7" customHeight="1" x14ac:dyDescent="0.2">
      <c r="A317" s="2233" t="s">
        <v>898</v>
      </c>
      <c r="B317" s="2232"/>
      <c r="C317" s="1526"/>
      <c r="D317" s="1527"/>
      <c r="E317" s="1527"/>
      <c r="F317" s="1527"/>
      <c r="G317" s="1527"/>
      <c r="H317" s="1527"/>
      <c r="I317" s="1527"/>
      <c r="J317" s="1527"/>
      <c r="K317" s="1527"/>
      <c r="L317" s="1528"/>
    </row>
    <row r="318" spans="1:14" s="647" customFormat="1" ht="15.75" customHeight="1" x14ac:dyDescent="0.2">
      <c r="A318" s="668" t="s">
        <v>610</v>
      </c>
      <c r="B318" s="669"/>
      <c r="C318" s="613"/>
      <c r="D318" s="613"/>
      <c r="E318" s="613"/>
      <c r="F318" s="613"/>
      <c r="G318" s="613"/>
      <c r="H318" s="613"/>
      <c r="I318" s="613"/>
      <c r="J318" s="613"/>
      <c r="K318" s="613"/>
      <c r="L318" s="613"/>
      <c r="M318" s="638"/>
      <c r="N318" s="638"/>
    </row>
    <row r="319" spans="1:14" s="647" customFormat="1" x14ac:dyDescent="0.2">
      <c r="A319" s="1489" t="s">
        <v>299</v>
      </c>
      <c r="B319" s="670" t="s">
        <v>281</v>
      </c>
      <c r="C319" s="466">
        <f ca="1">ROUND(SUMIF(INDIRECT(Formulas!$B$1),"80-"&amp;LEFT($B319,4)&amp;"*-"&amp;MID(C$1,2,1)&amp;"*",INDIRECT(Formulas!$B$3)),0)</f>
        <v>0</v>
      </c>
      <c r="D319" s="466">
        <f ca="1">ROUND(SUMIF(INDIRECT(Formulas!$B$1),"80-"&amp;LEFT($B319,4)&amp;"*-"&amp;MID(D$1,2,1)&amp;"*",INDIRECT(Formulas!$B$3)),0)</f>
        <v>0</v>
      </c>
      <c r="E319" s="466">
        <f ca="1">ROUND(SUMIF(INDIRECT(Formulas!$B$1),"80-"&amp;LEFT($B319,4)&amp;"*-"&amp;MID(E$1,2,1)&amp;"*",INDIRECT(Formulas!$B$3)),0)</f>
        <v>0</v>
      </c>
      <c r="F319" s="466">
        <f ca="1">ROUND(SUMIF(INDIRECT(Formulas!$B$1),"80-"&amp;LEFT($B319,4)&amp;"*-"&amp;MID(F$1,2,1)&amp;"*",INDIRECT(Formulas!$B$3)),0)</f>
        <v>0</v>
      </c>
      <c r="G319" s="466">
        <f ca="1">ROUND(SUMIF(INDIRECT(Formulas!$B$1),"80-"&amp;LEFT($B319,4)&amp;"*-"&amp;MID(G$1,2,1)&amp;"*",INDIRECT(Formulas!$B$3)),0)</f>
        <v>0</v>
      </c>
      <c r="H319" s="466">
        <f ca="1">ROUND(SUMIF(INDIRECT(Formulas!$B$1),"80-"&amp;LEFT($B319,4)&amp;"*-"&amp;MID(H$1,2,1)&amp;"*",INDIRECT(Formulas!$B$3)),0)</f>
        <v>0</v>
      </c>
      <c r="I319" s="466">
        <f ca="1">ROUND(SUMIF(INDIRECT(Formulas!$B$1),"80-"&amp;LEFT($B319,4)&amp;"*-"&amp;MID(I$1,2,1)&amp;"*",INDIRECT(Formulas!$B$3)),0)</f>
        <v>0</v>
      </c>
      <c r="J319" s="466">
        <f ca="1">ROUND(SUMIF(INDIRECT(Formulas!$B$1),"80-"&amp;LEFT($B319,4)&amp;"*-"&amp;MID(J$1,2,1)&amp;"*",INDIRECT(Formulas!$B$3)),0)</f>
        <v>0</v>
      </c>
      <c r="K319" s="1641">
        <f ca="1">SUM(C319:J319)</f>
        <v>0</v>
      </c>
      <c r="L319" s="466">
        <f ca="1">ROUND(SUMIF(INDIRECT(Formulas!$B$1),"80-"&amp;LEFT($B319,4)&amp;"*",INDIRECT(Formulas!$B$7)),0)</f>
        <v>0</v>
      </c>
      <c r="M319" s="638"/>
      <c r="N319" s="638"/>
    </row>
    <row r="320" spans="1:14" s="647" customFormat="1" x14ac:dyDescent="0.2">
      <c r="A320" s="1493" t="s">
        <v>1802</v>
      </c>
      <c r="B320" s="671" t="s">
        <v>282</v>
      </c>
      <c r="C320" s="466">
        <f ca="1">ROUND(SUMIF(INDIRECT(Formulas!$B$1),"80-"&amp;LEFT($B320,4)&amp;"*-"&amp;MID(C$1,2,1)&amp;"*",INDIRECT(Formulas!$B$3)),0)</f>
        <v>0</v>
      </c>
      <c r="D320" s="466">
        <f ca="1">ROUND(SUMIF(INDIRECT(Formulas!$B$1),"80-"&amp;LEFT($B320,4)&amp;"*-"&amp;MID(D$1,2,1)&amp;"*",INDIRECT(Formulas!$B$3)),0)</f>
        <v>0</v>
      </c>
      <c r="E320" s="466">
        <f ca="1">ROUND(SUMIF(INDIRECT(Formulas!$B$1),"80-"&amp;LEFT($B320,4)&amp;"*-"&amp;MID(E$1,2,1)&amp;"*",INDIRECT(Formulas!$B$3)),0)</f>
        <v>167793</v>
      </c>
      <c r="F320" s="466">
        <f ca="1">ROUND(SUMIF(INDIRECT(Formulas!$B$1),"80-"&amp;LEFT($B320,4)&amp;"*-"&amp;MID(F$1,2,1)&amp;"*",INDIRECT(Formulas!$B$3)),0)</f>
        <v>780</v>
      </c>
      <c r="G320" s="466">
        <f ca="1">ROUND(SUMIF(INDIRECT(Formulas!$B$1),"80-"&amp;LEFT($B320,4)&amp;"*-"&amp;MID(G$1,2,1)&amp;"*",INDIRECT(Formulas!$B$3)),0)</f>
        <v>0</v>
      </c>
      <c r="H320" s="466">
        <f ca="1">ROUND(SUMIF(INDIRECT(Formulas!$B$1),"80-"&amp;LEFT($B320,4)&amp;"*-"&amp;MID(H$1,2,1)&amp;"*",INDIRECT(Formulas!$B$3)),0)</f>
        <v>0</v>
      </c>
      <c r="I320" s="466">
        <f ca="1">ROUND(SUMIF(INDIRECT(Formulas!$B$1),"80-"&amp;LEFT($B320,4)&amp;"*-"&amp;MID(I$1,2,1)&amp;"*",INDIRECT(Formulas!$B$3)),0)</f>
        <v>0</v>
      </c>
      <c r="J320" s="466">
        <f ca="1">ROUND(SUMIF(INDIRECT(Formulas!$B$1),"80-"&amp;LEFT($B320,4)&amp;"*-"&amp;MID(J$1,2,1)&amp;"*",INDIRECT(Formulas!$B$3)),0)</f>
        <v>0</v>
      </c>
      <c r="K320" s="1641">
        <f t="shared" ref="K320:K327" ca="1" si="24">SUM(C320:J320)</f>
        <v>168573</v>
      </c>
      <c r="L320" s="466">
        <f ca="1">ROUND(SUMIF(INDIRECT(Formulas!$B$1),"80-"&amp;LEFT($B320,4)&amp;"*",INDIRECT(Formulas!$B$7)),0)</f>
        <v>180000</v>
      </c>
      <c r="M320" s="638"/>
      <c r="N320" s="638"/>
    </row>
    <row r="321" spans="1:14" s="647" customFormat="1" x14ac:dyDescent="0.2">
      <c r="A321" s="1489" t="s">
        <v>300</v>
      </c>
      <c r="B321" s="670" t="s">
        <v>283</v>
      </c>
      <c r="C321" s="466">
        <f ca="1">ROUND(SUMIF(INDIRECT(Formulas!$B$1),"80-"&amp;LEFT($B321,4)&amp;"*-"&amp;MID(C$1,2,1)&amp;"*",INDIRECT(Formulas!$B$3)),0)</f>
        <v>0</v>
      </c>
      <c r="D321" s="466">
        <f ca="1">ROUND(SUMIF(INDIRECT(Formulas!$B$1),"80-"&amp;LEFT($B321,4)&amp;"*-"&amp;MID(D$1,2,1)&amp;"*",INDIRECT(Formulas!$B$3)),0)</f>
        <v>0</v>
      </c>
      <c r="E321" s="466">
        <f ca="1">ROUND(SUMIF(INDIRECT(Formulas!$B$1),"80-"&amp;LEFT($B321,4)&amp;"*-"&amp;MID(E$1,2,1)&amp;"*",INDIRECT(Formulas!$B$3)),0)</f>
        <v>0</v>
      </c>
      <c r="F321" s="466">
        <f ca="1">ROUND(SUMIF(INDIRECT(Formulas!$B$1),"80-"&amp;LEFT($B321,4)&amp;"*-"&amp;MID(F$1,2,1)&amp;"*",INDIRECT(Formulas!$B$3)),0)</f>
        <v>0</v>
      </c>
      <c r="G321" s="466">
        <f ca="1">ROUND(SUMIF(INDIRECT(Formulas!$B$1),"80-"&amp;LEFT($B321,4)&amp;"*-"&amp;MID(G$1,2,1)&amp;"*",INDIRECT(Formulas!$B$3)),0)</f>
        <v>0</v>
      </c>
      <c r="H321" s="466">
        <f ca="1">ROUND(SUMIF(INDIRECT(Formulas!$B$1),"80-"&amp;LEFT($B321,4)&amp;"*-"&amp;MID(H$1,2,1)&amp;"*",INDIRECT(Formulas!$B$3)),0)</f>
        <v>0</v>
      </c>
      <c r="I321" s="466">
        <f ca="1">ROUND(SUMIF(INDIRECT(Formulas!$B$1),"80-"&amp;LEFT($B321,4)&amp;"*-"&amp;MID(I$1,2,1)&amp;"*",INDIRECT(Formulas!$B$3)),0)</f>
        <v>0</v>
      </c>
      <c r="J321" s="466">
        <f ca="1">ROUND(SUMIF(INDIRECT(Formulas!$B$1),"80-"&amp;LEFT($B321,4)&amp;"*-"&amp;MID(J$1,2,1)&amp;"*",INDIRECT(Formulas!$B$3)),0)</f>
        <v>0</v>
      </c>
      <c r="K321" s="1641">
        <f t="shared" ca="1" si="24"/>
        <v>0</v>
      </c>
      <c r="L321" s="466">
        <f ca="1">ROUND(SUMIF(INDIRECT(Formulas!$B$1),"80-"&amp;LEFT($B321,4)&amp;"*",INDIRECT(Formulas!$B$7)),0)</f>
        <v>0</v>
      </c>
      <c r="M321" s="638"/>
      <c r="N321" s="638"/>
    </row>
    <row r="322" spans="1:14" s="647" customFormat="1" x14ac:dyDescent="0.2">
      <c r="A322" s="1489" t="s">
        <v>238</v>
      </c>
      <c r="B322" s="670" t="s">
        <v>284</v>
      </c>
      <c r="C322" s="466">
        <f ca="1">ROUND(SUMIF(INDIRECT(Formulas!$B$1),"80-"&amp;LEFT($B322,4)&amp;"*-"&amp;MID(C$1,2,1)&amp;"*",INDIRECT(Formulas!$B$3)),0)</f>
        <v>0</v>
      </c>
      <c r="D322" s="466">
        <f ca="1">ROUND(SUMIF(INDIRECT(Formulas!$B$1),"80-"&amp;LEFT($B322,4)&amp;"*-"&amp;MID(D$1,2,1)&amp;"*",INDIRECT(Formulas!$B$3)),0)</f>
        <v>0</v>
      </c>
      <c r="E322" s="466">
        <f ca="1">ROUND(SUMIF(INDIRECT(Formulas!$B$1),"80-"&amp;LEFT($B322,4)&amp;"*-"&amp;MID(E$1,2,1)&amp;"*",INDIRECT(Formulas!$B$3)),0)</f>
        <v>0</v>
      </c>
      <c r="F322" s="466">
        <f ca="1">ROUND(SUMIF(INDIRECT(Formulas!$B$1),"80-"&amp;LEFT($B322,4)&amp;"*-"&amp;MID(F$1,2,1)&amp;"*",INDIRECT(Formulas!$B$3)),0)</f>
        <v>0</v>
      </c>
      <c r="G322" s="466">
        <f ca="1">ROUND(SUMIF(INDIRECT(Formulas!$B$1),"80-"&amp;LEFT($B322,4)&amp;"*-"&amp;MID(G$1,2,1)&amp;"*",INDIRECT(Formulas!$B$3)),0)</f>
        <v>0</v>
      </c>
      <c r="H322" s="466">
        <f ca="1">ROUND(SUMIF(INDIRECT(Formulas!$B$1),"80-"&amp;LEFT($B322,4)&amp;"*-"&amp;MID(H$1,2,1)&amp;"*",INDIRECT(Formulas!$B$3)),0)</f>
        <v>0</v>
      </c>
      <c r="I322" s="466">
        <f ca="1">ROUND(SUMIF(INDIRECT(Formulas!$B$1),"80-"&amp;LEFT($B322,4)&amp;"*-"&amp;MID(I$1,2,1)&amp;"*",INDIRECT(Formulas!$B$3)),0)</f>
        <v>0</v>
      </c>
      <c r="J322" s="466">
        <f ca="1">ROUND(SUMIF(INDIRECT(Formulas!$B$1),"80-"&amp;LEFT($B322,4)&amp;"*-"&amp;MID(J$1,2,1)&amp;"*",INDIRECT(Formulas!$B$3)),0)</f>
        <v>0</v>
      </c>
      <c r="K322" s="1641">
        <f t="shared" ca="1" si="24"/>
        <v>0</v>
      </c>
      <c r="L322" s="466">
        <f ca="1">ROUND(SUMIF(INDIRECT(Formulas!$B$1),"80-"&amp;LEFT($B322,4)&amp;"*",INDIRECT(Formulas!$B$7)),0)</f>
        <v>0</v>
      </c>
      <c r="M322" s="638"/>
      <c r="N322" s="638"/>
    </row>
    <row r="323" spans="1:14" s="647" customFormat="1" x14ac:dyDescent="0.2">
      <c r="A323" s="1489" t="s">
        <v>702</v>
      </c>
      <c r="B323" s="670" t="s">
        <v>285</v>
      </c>
      <c r="C323" s="466">
        <f ca="1">ROUND(SUMIF(INDIRECT(Formulas!$B$1),"80-"&amp;LEFT($B323,4)&amp;"*-"&amp;MID(C$1,2,1)&amp;"*",INDIRECT(Formulas!$B$3)),0)</f>
        <v>0</v>
      </c>
      <c r="D323" s="466">
        <f ca="1">ROUND(SUMIF(INDIRECT(Formulas!$B$1),"80-"&amp;LEFT($B323,4)&amp;"*-"&amp;MID(D$1,2,1)&amp;"*",INDIRECT(Formulas!$B$3)),0)</f>
        <v>0</v>
      </c>
      <c r="E323" s="466">
        <f ca="1">ROUND(SUMIF(INDIRECT(Formulas!$B$1),"80-"&amp;LEFT($B323,4)&amp;"*-"&amp;MID(E$1,2,1)&amp;"*",INDIRECT(Formulas!$B$3)),0)</f>
        <v>0</v>
      </c>
      <c r="F323" s="466">
        <f ca="1">ROUND(SUMIF(INDIRECT(Formulas!$B$1),"80-"&amp;LEFT($B323,4)&amp;"*-"&amp;MID(F$1,2,1)&amp;"*",INDIRECT(Formulas!$B$3)),0)</f>
        <v>0</v>
      </c>
      <c r="G323" s="466">
        <f ca="1">ROUND(SUMIF(INDIRECT(Formulas!$B$1),"80-"&amp;LEFT($B323,4)&amp;"*-"&amp;MID(G$1,2,1)&amp;"*",INDIRECT(Formulas!$B$3)),0)</f>
        <v>0</v>
      </c>
      <c r="H323" s="466">
        <f ca="1">ROUND(SUMIF(INDIRECT(Formulas!$B$1),"80-"&amp;LEFT($B323,4)&amp;"*-"&amp;MID(H$1,2,1)&amp;"*",INDIRECT(Formulas!$B$3)),0)</f>
        <v>0</v>
      </c>
      <c r="I323" s="466">
        <f ca="1">ROUND(SUMIF(INDIRECT(Formulas!$B$1),"80-"&amp;LEFT($B323,4)&amp;"*-"&amp;MID(I$1,2,1)&amp;"*",INDIRECT(Formulas!$B$3)),0)</f>
        <v>0</v>
      </c>
      <c r="J323" s="466">
        <f ca="1">ROUND(SUMIF(INDIRECT(Formulas!$B$1),"80-"&amp;LEFT($B323,4)&amp;"*-"&amp;MID(J$1,2,1)&amp;"*",INDIRECT(Formulas!$B$3)),0)</f>
        <v>0</v>
      </c>
      <c r="K323" s="1641">
        <f t="shared" ca="1" si="24"/>
        <v>0</v>
      </c>
      <c r="L323" s="466">
        <f ca="1">ROUND(SUMIF(INDIRECT(Formulas!$B$1),"80-"&amp;LEFT($B323,4)&amp;"*",INDIRECT(Formulas!$B$7)),0)</f>
        <v>0</v>
      </c>
      <c r="M323" s="638"/>
      <c r="N323" s="638"/>
    </row>
    <row r="324" spans="1:14" s="647" customFormat="1" x14ac:dyDescent="0.2">
      <c r="A324" s="1489" t="s">
        <v>239</v>
      </c>
      <c r="B324" s="670" t="s">
        <v>286</v>
      </c>
      <c r="C324" s="466">
        <f ca="1">ROUND(SUMIF(INDIRECT(Formulas!$B$1),"80-"&amp;LEFT($B324,4)&amp;"*-"&amp;MID(C$1,2,1)&amp;"*",INDIRECT(Formulas!$B$3)),0)</f>
        <v>0</v>
      </c>
      <c r="D324" s="466">
        <f ca="1">ROUND(SUMIF(INDIRECT(Formulas!$B$1),"80-"&amp;LEFT($B324,4)&amp;"*-"&amp;MID(D$1,2,1)&amp;"*",INDIRECT(Formulas!$B$3)),0)</f>
        <v>0</v>
      </c>
      <c r="E324" s="466">
        <f ca="1">ROUND(SUMIF(INDIRECT(Formulas!$B$1),"80-"&amp;LEFT($B324,4)&amp;"*-"&amp;MID(E$1,2,1)&amp;"*",INDIRECT(Formulas!$B$3)),0)</f>
        <v>0</v>
      </c>
      <c r="F324" s="466">
        <f ca="1">ROUND(SUMIF(INDIRECT(Formulas!$B$1),"80-"&amp;LEFT($B324,4)&amp;"*-"&amp;MID(F$1,2,1)&amp;"*",INDIRECT(Formulas!$B$3)),0)</f>
        <v>0</v>
      </c>
      <c r="G324" s="466">
        <f ca="1">ROUND(SUMIF(INDIRECT(Formulas!$B$1),"80-"&amp;LEFT($B324,4)&amp;"*-"&amp;MID(G$1,2,1)&amp;"*",INDIRECT(Formulas!$B$3)),0)</f>
        <v>0</v>
      </c>
      <c r="H324" s="466">
        <f ca="1">ROUND(SUMIF(INDIRECT(Formulas!$B$1),"80-"&amp;LEFT($B324,4)&amp;"*-"&amp;MID(H$1,2,1)&amp;"*",INDIRECT(Formulas!$B$3)),0)</f>
        <v>0</v>
      </c>
      <c r="I324" s="466">
        <f ca="1">ROUND(SUMIF(INDIRECT(Formulas!$B$1),"80-"&amp;LEFT($B324,4)&amp;"*-"&amp;MID(I$1,2,1)&amp;"*",INDIRECT(Formulas!$B$3)),0)</f>
        <v>0</v>
      </c>
      <c r="J324" s="466">
        <f ca="1">ROUND(SUMIF(INDIRECT(Formulas!$B$1),"80-"&amp;LEFT($B324,4)&amp;"*-"&amp;MID(J$1,2,1)&amp;"*",INDIRECT(Formulas!$B$3)),0)</f>
        <v>0</v>
      </c>
      <c r="K324" s="1641">
        <f t="shared" ca="1" si="24"/>
        <v>0</v>
      </c>
      <c r="L324" s="466">
        <f ca="1">ROUND(SUMIF(INDIRECT(Formulas!$B$1),"80-"&amp;LEFT($B324,4)&amp;"*",INDIRECT(Formulas!$B$7)),0)</f>
        <v>0</v>
      </c>
      <c r="M324" s="638"/>
      <c r="N324" s="638"/>
    </row>
    <row r="325" spans="1:14" s="647" customFormat="1" ht="22.5" x14ac:dyDescent="0.2">
      <c r="A325" s="1489" t="s">
        <v>1029</v>
      </c>
      <c r="B325" s="671" t="s">
        <v>287</v>
      </c>
      <c r="C325" s="466">
        <f ca="1">ROUND(SUMIF(INDIRECT(Formulas!$B$1),"80-"&amp;LEFT($B325,4)&amp;"*-"&amp;MID(C$1,2,1)&amp;"*",INDIRECT(Formulas!$B$3)),0)</f>
        <v>276114</v>
      </c>
      <c r="D325" s="466">
        <f ca="1">ROUND(SUMIF(INDIRECT(Formulas!$B$1),"80-"&amp;LEFT($B325,4)&amp;"*-"&amp;MID(D$1,2,1)&amp;"*",INDIRECT(Formulas!$B$3)),0)</f>
        <v>482</v>
      </c>
      <c r="E325" s="466">
        <f ca="1">ROUND(SUMIF(INDIRECT(Formulas!$B$1),"80-"&amp;LEFT($B325,4)&amp;"*-"&amp;MID(E$1,2,1)&amp;"*",INDIRECT(Formulas!$B$3)),0)</f>
        <v>72656</v>
      </c>
      <c r="F325" s="466">
        <f ca="1">ROUND(SUMIF(INDIRECT(Formulas!$B$1),"80-"&amp;LEFT($B325,4)&amp;"*-"&amp;MID(F$1,2,1)&amp;"*",INDIRECT(Formulas!$B$3)),0)</f>
        <v>8949</v>
      </c>
      <c r="G325" s="466">
        <f ca="1">ROUND(SUMIF(INDIRECT(Formulas!$B$1),"80-"&amp;LEFT($B325,4)&amp;"*-"&amp;MID(G$1,2,1)&amp;"*",INDIRECT(Formulas!$B$3)),0)</f>
        <v>0</v>
      </c>
      <c r="H325" s="466">
        <f ca="1">ROUND(SUMIF(INDIRECT(Formulas!$B$1),"80-"&amp;LEFT($B325,4)&amp;"*-"&amp;MID(H$1,2,1)&amp;"*",INDIRECT(Formulas!$B$3)),0)</f>
        <v>0</v>
      </c>
      <c r="I325" s="466">
        <f ca="1">ROUND(SUMIF(INDIRECT(Formulas!$B$1),"80-"&amp;LEFT($B325,4)&amp;"*-"&amp;MID(I$1,2,1)&amp;"*",INDIRECT(Formulas!$B$3)),0)</f>
        <v>0</v>
      </c>
      <c r="J325" s="466">
        <f ca="1">ROUND(SUMIF(INDIRECT(Formulas!$B$1),"80-"&amp;LEFT($B325,4)&amp;"*-"&amp;MID(J$1,2,1)&amp;"*",INDIRECT(Formulas!$B$3)),0)</f>
        <v>0</v>
      </c>
      <c r="K325" s="1641">
        <f t="shared" ca="1" si="24"/>
        <v>358201</v>
      </c>
      <c r="L325" s="466">
        <f ca="1">ROUND(SUMIF(INDIRECT(Formulas!$B$1),"80-"&amp;LEFT($B325,4)&amp;"*",INDIRECT(Formulas!$B$7)),0)</f>
        <v>370607</v>
      </c>
      <c r="M325" s="638"/>
      <c r="N325" s="638"/>
    </row>
    <row r="326" spans="1:14" s="647" customFormat="1" x14ac:dyDescent="0.2">
      <c r="A326" s="1489" t="s">
        <v>1030</v>
      </c>
      <c r="B326" s="670" t="s">
        <v>288</v>
      </c>
      <c r="C326" s="466">
        <f ca="1">ROUND(SUMIF(INDIRECT(Formulas!$B$1),"80-"&amp;LEFT($B326,4)&amp;"*-"&amp;MID(C$1,2,1)&amp;"*",INDIRECT(Formulas!$B$3)),0)</f>
        <v>0</v>
      </c>
      <c r="D326" s="466">
        <f ca="1">ROUND(SUMIF(INDIRECT(Formulas!$B$1),"80-"&amp;LEFT($B326,4)&amp;"*-"&amp;MID(D$1,2,1)&amp;"*",INDIRECT(Formulas!$B$3)),0)</f>
        <v>0</v>
      </c>
      <c r="E326" s="466">
        <f ca="1">ROUND(SUMIF(INDIRECT(Formulas!$B$1),"80-"&amp;LEFT($B326,4)&amp;"*-"&amp;MID(E$1,2,1)&amp;"*",INDIRECT(Formulas!$B$3)),0)</f>
        <v>0</v>
      </c>
      <c r="F326" s="466">
        <f ca="1">ROUND(SUMIF(INDIRECT(Formulas!$B$1),"80-"&amp;LEFT($B326,4)&amp;"*-"&amp;MID(F$1,2,1)&amp;"*",INDIRECT(Formulas!$B$3)),0)</f>
        <v>0</v>
      </c>
      <c r="G326" s="466">
        <f ca="1">ROUND(SUMIF(INDIRECT(Formulas!$B$1),"80-"&amp;LEFT($B326,4)&amp;"*-"&amp;MID(G$1,2,1)&amp;"*",INDIRECT(Formulas!$B$3)),0)</f>
        <v>0</v>
      </c>
      <c r="H326" s="466">
        <f ca="1">ROUND(SUMIF(INDIRECT(Formulas!$B$1),"80-"&amp;LEFT($B326,4)&amp;"*-"&amp;MID(H$1,2,1)&amp;"*",INDIRECT(Formulas!$B$3)),0)</f>
        <v>0</v>
      </c>
      <c r="I326" s="466">
        <f ca="1">ROUND(SUMIF(INDIRECT(Formulas!$B$1),"80-"&amp;LEFT($B326,4)&amp;"*-"&amp;MID(I$1,2,1)&amp;"*",INDIRECT(Formulas!$B$3)),0)</f>
        <v>0</v>
      </c>
      <c r="J326" s="466">
        <f ca="1">ROUND(SUMIF(INDIRECT(Formulas!$B$1),"80-"&amp;LEFT($B326,4)&amp;"*-"&amp;MID(J$1,2,1)&amp;"*",INDIRECT(Formulas!$B$3)),0)</f>
        <v>0</v>
      </c>
      <c r="K326" s="1641">
        <f t="shared" ca="1" si="24"/>
        <v>0</v>
      </c>
      <c r="L326" s="466">
        <f ca="1">ROUND(SUMIF(INDIRECT(Formulas!$B$1),"80-"&amp;LEFT($B326,4)&amp;"*",INDIRECT(Formulas!$B$7)),0)</f>
        <v>0</v>
      </c>
      <c r="M326" s="638"/>
      <c r="N326" s="638"/>
    </row>
    <row r="327" spans="1:14" s="647" customFormat="1" x14ac:dyDescent="0.2">
      <c r="A327" s="1489" t="s">
        <v>971</v>
      </c>
      <c r="B327" s="670" t="s">
        <v>289</v>
      </c>
      <c r="C327" s="466">
        <f ca="1">ROUND(SUMIF(INDIRECT(Formulas!$B$1),"80-"&amp;LEFT($B327,4)&amp;"*-"&amp;MID(C$1,2,1)&amp;"*",INDIRECT(Formulas!$B$3)),0)</f>
        <v>0</v>
      </c>
      <c r="D327" s="466">
        <f ca="1">ROUND(SUMIF(INDIRECT(Formulas!$B$1),"80-"&amp;LEFT($B327,4)&amp;"*-"&amp;MID(D$1,2,1)&amp;"*",INDIRECT(Formulas!$B$3)),0)</f>
        <v>0</v>
      </c>
      <c r="E327" s="466">
        <f ca="1">ROUND(SUMIF(INDIRECT(Formulas!$B$1),"80-"&amp;LEFT($B327,4)&amp;"*-"&amp;MID(E$1,2,1)&amp;"*",INDIRECT(Formulas!$B$3)),0)</f>
        <v>0</v>
      </c>
      <c r="F327" s="466">
        <f ca="1">ROUND(SUMIF(INDIRECT(Formulas!$B$1),"80-"&amp;LEFT($B327,4)&amp;"*-"&amp;MID(F$1,2,1)&amp;"*",INDIRECT(Formulas!$B$3)),0)</f>
        <v>0</v>
      </c>
      <c r="G327" s="466">
        <f ca="1">ROUND(SUMIF(INDIRECT(Formulas!$B$1),"80-"&amp;LEFT($B327,4)&amp;"*-"&amp;MID(G$1,2,1)&amp;"*",INDIRECT(Formulas!$B$3)),0)</f>
        <v>0</v>
      </c>
      <c r="H327" s="466">
        <f ca="1">ROUND(SUMIF(INDIRECT(Formulas!$B$1),"80-"&amp;LEFT($B327,4)&amp;"*-"&amp;MID(H$1,2,1)&amp;"*",INDIRECT(Formulas!$B$3)),0)</f>
        <v>0</v>
      </c>
      <c r="I327" s="466">
        <f ca="1">ROUND(SUMIF(INDIRECT(Formulas!$B$1),"80-"&amp;LEFT($B327,4)&amp;"*-"&amp;MID(I$1,2,1)&amp;"*",INDIRECT(Formulas!$B$3)),0)</f>
        <v>0</v>
      </c>
      <c r="J327" s="466">
        <f ca="1">ROUND(SUMIF(INDIRECT(Formulas!$B$1),"80-"&amp;LEFT($B327,4)&amp;"*-"&amp;MID(J$1,2,1)&amp;"*",INDIRECT(Formulas!$B$3)),0)</f>
        <v>0</v>
      </c>
      <c r="K327" s="1641">
        <f t="shared" ca="1" si="24"/>
        <v>0</v>
      </c>
      <c r="L327" s="466">
        <f ca="1">ROUND(SUMIF(INDIRECT(Formulas!$B$1),"80-"&amp;LEFT($B327,4)&amp;"*",INDIRECT(Formulas!$B$7)),0)</f>
        <v>0</v>
      </c>
      <c r="M327" s="638"/>
      <c r="N327" s="638"/>
    </row>
    <row r="328" spans="1:14" s="647" customFormat="1" x14ac:dyDescent="0.2">
      <c r="A328" s="1490" t="s">
        <v>472</v>
      </c>
      <c r="B328" s="663" t="s">
        <v>1132</v>
      </c>
      <c r="C328" s="466">
        <f ca="1">ROUND(SUMIF(INDIRECT(Formulas!$B$1),"80-"&amp;LEFT($B328,4)&amp;"*-"&amp;MID(C$1,2,1)&amp;"*",INDIRECT(Formulas!$B$3)),0)</f>
        <v>0</v>
      </c>
      <c r="D328" s="466">
        <f ca="1">ROUND(SUMIF(INDIRECT(Formulas!$B$1),"80-"&amp;LEFT($B328,4)&amp;"*-"&amp;MID(D$1,2,1)&amp;"*",INDIRECT(Formulas!$B$3)),0)</f>
        <v>0</v>
      </c>
      <c r="E328" s="466">
        <f ca="1">ROUND(SUMIF(INDIRECT(Formulas!$B$1),"80-"&amp;LEFT($B328,4)&amp;"*-"&amp;MID(E$1,2,1)&amp;"*",INDIRECT(Formulas!$B$3)),0)</f>
        <v>0</v>
      </c>
      <c r="F328" s="466">
        <f ca="1">ROUND(SUMIF(INDIRECT(Formulas!$B$1),"80-"&amp;LEFT($B328,4)&amp;"*-"&amp;MID(F$1,2,1)&amp;"*",INDIRECT(Formulas!$B$3)),0)</f>
        <v>0</v>
      </c>
      <c r="G328" s="466">
        <f ca="1">ROUND(SUMIF(INDIRECT(Formulas!$B$1),"80-"&amp;LEFT($B328,4)&amp;"*-"&amp;MID(G$1,2,1)&amp;"*",INDIRECT(Formulas!$B$3)),0)</f>
        <v>0</v>
      </c>
      <c r="H328" s="466">
        <f ca="1">ROUND(SUMIF(INDIRECT(Formulas!$B$1),"80-"&amp;LEFT($B328,4)&amp;"*-"&amp;MID(H$1,2,1)&amp;"*",INDIRECT(Formulas!$B$3)),0)</f>
        <v>0</v>
      </c>
      <c r="I328" s="466">
        <f ca="1">ROUND(SUMIF(INDIRECT(Formulas!$B$1),"80-"&amp;LEFT($B328,4)&amp;"*-"&amp;MID(I$1,2,1)&amp;"*",INDIRECT(Formulas!$B$3)),0)</f>
        <v>0</v>
      </c>
      <c r="J328" s="466">
        <f ca="1">ROUND(SUMIF(INDIRECT(Formulas!$B$1),"80-"&amp;LEFT($B328,4)&amp;"*-"&amp;MID(J$1,2,1)&amp;"*",INDIRECT(Formulas!$B$3)),0)</f>
        <v>0</v>
      </c>
      <c r="K328" s="1669">
        <f ca="1">SUM(C328:J328)</f>
        <v>0</v>
      </c>
      <c r="L328" s="466">
        <f ca="1">ROUND(SUMIF(INDIRECT(Formulas!$B$1),"80-"&amp;LEFT($B328,4)&amp;"*",INDIRECT(Formulas!$B$7)),0)</f>
        <v>0</v>
      </c>
      <c r="M328" s="638"/>
      <c r="N328" s="638"/>
    </row>
    <row r="329" spans="1:14" s="647" customFormat="1" x14ac:dyDescent="0.2">
      <c r="A329" s="1490" t="s">
        <v>1133</v>
      </c>
      <c r="B329" s="663" t="s">
        <v>1134</v>
      </c>
      <c r="C329" s="466">
        <f ca="1">ROUND(SUMIF(INDIRECT(Formulas!$B$1),"80-"&amp;LEFT($B329,4)&amp;"*-"&amp;MID(C$1,2,1)&amp;"*",INDIRECT(Formulas!$B$3)),0)</f>
        <v>0</v>
      </c>
      <c r="D329" s="466">
        <f ca="1">ROUND(SUMIF(INDIRECT(Formulas!$B$1),"80-"&amp;LEFT($B329,4)&amp;"*-"&amp;MID(D$1,2,1)&amp;"*",INDIRECT(Formulas!$B$3)),0)</f>
        <v>0</v>
      </c>
      <c r="E329" s="466">
        <f ca="1">ROUND(SUMIF(INDIRECT(Formulas!$B$1),"80-"&amp;LEFT($B329,4)&amp;"*-"&amp;MID(E$1,2,1)&amp;"*",INDIRECT(Formulas!$B$3)),0)</f>
        <v>0</v>
      </c>
      <c r="F329" s="466">
        <f ca="1">ROUND(SUMIF(INDIRECT(Formulas!$B$1),"80-"&amp;LEFT($B329,4)&amp;"*-"&amp;MID(F$1,2,1)&amp;"*",INDIRECT(Formulas!$B$3)),0)</f>
        <v>0</v>
      </c>
      <c r="G329" s="466">
        <f ca="1">ROUND(SUMIF(INDIRECT(Formulas!$B$1),"80-"&amp;LEFT($B329,4)&amp;"*-"&amp;MID(G$1,2,1)&amp;"*",INDIRECT(Formulas!$B$3)),0)</f>
        <v>0</v>
      </c>
      <c r="H329" s="466">
        <f ca="1">ROUND(SUMIF(INDIRECT(Formulas!$B$1),"80-"&amp;LEFT($B329,4)&amp;"*-"&amp;MID(H$1,2,1)&amp;"*",INDIRECT(Formulas!$B$3)),0)</f>
        <v>0</v>
      </c>
      <c r="I329" s="466">
        <f ca="1">ROUND(SUMIF(INDIRECT(Formulas!$B$1),"80-"&amp;LEFT($B329,4)&amp;"*-"&amp;MID(I$1,2,1)&amp;"*",INDIRECT(Formulas!$B$3)),0)</f>
        <v>0</v>
      </c>
      <c r="J329" s="466">
        <f ca="1">ROUND(SUMIF(INDIRECT(Formulas!$B$1),"80-"&amp;LEFT($B329,4)&amp;"*-"&amp;MID(J$1,2,1)&amp;"*",INDIRECT(Formulas!$B$3)),0)</f>
        <v>0</v>
      </c>
      <c r="K329" s="1669">
        <f ca="1">SUM(C329:J329)</f>
        <v>0</v>
      </c>
      <c r="L329" s="466">
        <f ca="1">ROUND(SUMIF(INDIRECT(Formulas!$B$1),"80-"&amp;LEFT($B329,4)&amp;"*",INDIRECT(Formulas!$B$7)),0)</f>
        <v>0</v>
      </c>
      <c r="M329" s="638"/>
      <c r="N329" s="638"/>
    </row>
    <row r="330" spans="1:14" s="647" customFormat="1" ht="12.75" customHeight="1" thickBot="1" x14ac:dyDescent="0.25">
      <c r="A330" s="1670" t="s">
        <v>717</v>
      </c>
      <c r="B330" s="1639" t="s">
        <v>569</v>
      </c>
      <c r="C330" s="1640">
        <f ca="1">SUM(C319:C329)</f>
        <v>276114</v>
      </c>
      <c r="D330" s="1640">
        <f t="shared" ref="D330:J330" ca="1" si="25">SUM(D319:D329)</f>
        <v>482</v>
      </c>
      <c r="E330" s="1640">
        <f t="shared" ca="1" si="25"/>
        <v>240449</v>
      </c>
      <c r="F330" s="1640">
        <f t="shared" ca="1" si="25"/>
        <v>9729</v>
      </c>
      <c r="G330" s="1640">
        <f t="shared" ca="1" si="25"/>
        <v>0</v>
      </c>
      <c r="H330" s="1640">
        <f t="shared" ca="1" si="25"/>
        <v>0</v>
      </c>
      <c r="I330" s="1640">
        <f t="shared" ca="1" si="25"/>
        <v>0</v>
      </c>
      <c r="J330" s="1640">
        <f t="shared" ca="1" si="25"/>
        <v>0</v>
      </c>
      <c r="K330" s="1640">
        <f ca="1">SUM(K319:K329)</f>
        <v>526774</v>
      </c>
      <c r="L330" s="1640">
        <f ca="1">SUM(L319:L329)</f>
        <v>550607</v>
      </c>
      <c r="M330" s="638"/>
      <c r="N330" s="638"/>
    </row>
    <row r="331" spans="1:14" s="647" customFormat="1" ht="12.75" customHeight="1" thickTop="1" x14ac:dyDescent="0.2">
      <c r="A331" s="1801" t="s">
        <v>1848</v>
      </c>
      <c r="B331" s="621" t="s">
        <v>860</v>
      </c>
      <c r="C331" s="1803"/>
      <c r="D331" s="1803"/>
      <c r="E331" s="1803"/>
      <c r="F331" s="1803"/>
      <c r="G331" s="1803"/>
      <c r="H331" s="1803"/>
      <c r="I331" s="1803"/>
      <c r="J331" s="1803"/>
      <c r="K331" s="1803"/>
      <c r="L331" s="1803"/>
      <c r="M331" s="638"/>
      <c r="N331" s="638"/>
    </row>
    <row r="332" spans="1:14" s="647" customFormat="1" ht="12.75" customHeight="1" x14ac:dyDescent="0.2">
      <c r="A332" s="1802" t="s">
        <v>496</v>
      </c>
      <c r="B332" s="1797" t="s">
        <v>1842</v>
      </c>
      <c r="C332" s="1803"/>
      <c r="D332" s="1803"/>
      <c r="E332" s="1803"/>
      <c r="F332" s="1803"/>
      <c r="G332" s="1803"/>
      <c r="H332" s="466">
        <f ca="1">ROUND(SUMIF(INDIRECT(Formulas!$B$1),"80-"&amp;LEFT($B332,4)&amp;"*-"&amp;MID(H$1,2,1)&amp;"*",INDIRECT(Formulas!$B$3)),0)</f>
        <v>0</v>
      </c>
      <c r="I332" s="1803"/>
      <c r="J332" s="1803"/>
      <c r="K332" s="1641">
        <f ca="1">H332</f>
        <v>0</v>
      </c>
      <c r="L332" s="466">
        <f ca="1">ROUND(SUMIF(INDIRECT(Formulas!$B$1),"80-"&amp;LEFT($B332,4)&amp;"*",INDIRECT(Formulas!$B$7)),0)</f>
        <v>0</v>
      </c>
      <c r="M332" s="638"/>
      <c r="N332" s="638"/>
    </row>
    <row r="333" spans="1:14" s="647" customFormat="1" ht="12.75" customHeight="1" x14ac:dyDescent="0.2">
      <c r="A333" s="1802" t="s">
        <v>304</v>
      </c>
      <c r="B333" s="1797" t="s">
        <v>1844</v>
      </c>
      <c r="C333" s="1803"/>
      <c r="D333" s="1803"/>
      <c r="E333" s="1803"/>
      <c r="F333" s="1803"/>
      <c r="G333" s="1803"/>
      <c r="H333" s="466">
        <f ca="1">ROUND(SUMIF(INDIRECT(Formulas!$B$1),"80-"&amp;LEFT($B333,4)&amp;"*-"&amp;MID(H$1,2,1)&amp;"*",INDIRECT(Formulas!$B$3)),0)</f>
        <v>0</v>
      </c>
      <c r="I333" s="1803"/>
      <c r="J333" s="1803"/>
      <c r="K333" s="1641">
        <f ca="1">H333</f>
        <v>0</v>
      </c>
      <c r="L333" s="466">
        <f ca="1">ROUND(SUMIF(INDIRECT(Formulas!$B$1),"80-"&amp;LEFT($B333,4)&amp;"*",INDIRECT(Formulas!$B$7)),0)</f>
        <v>0</v>
      </c>
      <c r="M333" s="638"/>
      <c r="N333" s="638"/>
    </row>
    <row r="334" spans="1:14" s="647" customFormat="1" ht="12.75" customHeight="1" thickBot="1" x14ac:dyDescent="0.25">
      <c r="A334" s="1802" t="s">
        <v>1849</v>
      </c>
      <c r="B334" s="1797" t="s">
        <v>860</v>
      </c>
      <c r="C334" s="1803"/>
      <c r="D334" s="1803"/>
      <c r="E334" s="1803"/>
      <c r="F334" s="1803"/>
      <c r="G334" s="1803"/>
      <c r="H334" s="1640">
        <f ca="1">SUM(H332:H333)</f>
        <v>0</v>
      </c>
      <c r="I334" s="1803"/>
      <c r="J334" s="1803"/>
      <c r="K334" s="1640">
        <f ca="1">SUM(K332:K333)</f>
        <v>0</v>
      </c>
      <c r="L334" s="1640">
        <f ca="1">SUM(L332:L333)</f>
        <v>0</v>
      </c>
      <c r="M334" s="638"/>
      <c r="N334" s="638"/>
    </row>
    <row r="335" spans="1:14" ht="15.75" customHeight="1" thickTop="1" x14ac:dyDescent="0.2">
      <c r="A335" s="1586" t="s">
        <v>899</v>
      </c>
      <c r="B335" s="1577" t="s">
        <v>492</v>
      </c>
      <c r="C335" s="592"/>
      <c r="D335" s="592"/>
      <c r="E335" s="592"/>
      <c r="F335" s="592"/>
      <c r="G335" s="592"/>
      <c r="H335" s="592"/>
      <c r="I335" s="592"/>
      <c r="J335" s="592"/>
      <c r="K335" s="592"/>
      <c r="L335" s="592"/>
    </row>
    <row r="336" spans="1:14" ht="15.75" customHeight="1" x14ac:dyDescent="0.2">
      <c r="A336" s="627" t="s">
        <v>615</v>
      </c>
      <c r="B336" s="598"/>
      <c r="C336" s="592"/>
      <c r="D336" s="592"/>
      <c r="E336" s="592"/>
      <c r="F336" s="592"/>
      <c r="G336" s="592"/>
      <c r="H336" s="599"/>
      <c r="I336" s="592"/>
      <c r="J336" s="592"/>
      <c r="K336" s="599"/>
      <c r="L336" s="599"/>
    </row>
    <row r="337" spans="1:14" x14ac:dyDescent="0.2">
      <c r="A337" s="1488" t="s">
        <v>87</v>
      </c>
      <c r="B337" s="663" t="s">
        <v>900</v>
      </c>
      <c r="C337" s="613"/>
      <c r="D337" s="613"/>
      <c r="E337" s="613"/>
      <c r="F337" s="613"/>
      <c r="G337" s="613"/>
      <c r="H337" s="466">
        <f ca="1">ROUND(SUMIF(INDIRECT(Formulas!$B$1),"80-"&amp;LEFT($B337,4)&amp;"*-"&amp;MID(H$1,2,1)&amp;"*",INDIRECT(Formulas!$B$3)),0)</f>
        <v>0</v>
      </c>
      <c r="I337" s="613"/>
      <c r="J337" s="613"/>
      <c r="K337" s="1641">
        <f ca="1">H337</f>
        <v>0</v>
      </c>
      <c r="L337" s="466">
        <f ca="1">ROUND(SUMIF(INDIRECT(Formulas!$B$1),"80-"&amp;LEFT($B337,4)&amp;"*",INDIRECT(Formulas!$B$7)),0)</f>
        <v>0</v>
      </c>
    </row>
    <row r="338" spans="1:14" ht="12.75" customHeight="1" x14ac:dyDescent="0.2">
      <c r="A338" s="1488" t="s">
        <v>1170</v>
      </c>
      <c r="B338" s="663" t="s">
        <v>617</v>
      </c>
      <c r="C338" s="613"/>
      <c r="D338" s="613"/>
      <c r="E338" s="613"/>
      <c r="F338" s="613"/>
      <c r="G338" s="613"/>
      <c r="H338" s="466">
        <f ca="1">ROUND(SUMIF(INDIRECT(Formulas!$B$1),"80-"&amp;LEFT($B338,4)&amp;"*-"&amp;MID(H$1,2,1)&amp;"*",INDIRECT(Formulas!$B$3)),0)</f>
        <v>0</v>
      </c>
      <c r="I338" s="613"/>
      <c r="J338" s="613"/>
      <c r="K338" s="1641">
        <f ca="1">H338</f>
        <v>0</v>
      </c>
      <c r="L338" s="466">
        <f ca="1">ROUND(SUMIF(INDIRECT(Formulas!$B$1),"80-"&amp;LEFT($B338,4)&amp;"*",INDIRECT(Formulas!$B$7)),0)</f>
        <v>0</v>
      </c>
    </row>
    <row r="339" spans="1:14" x14ac:dyDescent="0.2">
      <c r="A339" s="1474" t="s">
        <v>901</v>
      </c>
      <c r="B339" s="604">
        <v>5150</v>
      </c>
      <c r="C339" s="613"/>
      <c r="D339" s="613"/>
      <c r="E339" s="613"/>
      <c r="F339" s="613"/>
      <c r="G339" s="613"/>
      <c r="H339" s="466">
        <f ca="1">ROUND(SUMIF(INDIRECT(Formulas!$B$1),"80-"&amp;LEFT($B339,4)&amp;"*-"&amp;MID(H$1,2,1)&amp;"*",INDIRECT(Formulas!$B$3)),0)</f>
        <v>0</v>
      </c>
      <c r="I339" s="613"/>
      <c r="J339" s="613"/>
      <c r="K339" s="1641">
        <f ca="1">H339</f>
        <v>0</v>
      </c>
      <c r="L339" s="466">
        <f ca="1">ROUND(SUMIF(INDIRECT(Formulas!$B$1),"80-"&amp;LEFT($B339,4)&amp;"*",INDIRECT(Formulas!$B$7)),0)</f>
        <v>0</v>
      </c>
    </row>
    <row r="340" spans="1:14" ht="13.5" thickBot="1" x14ac:dyDescent="0.25">
      <c r="A340" s="1664" t="s">
        <v>902</v>
      </c>
      <c r="B340" s="1639" t="s">
        <v>492</v>
      </c>
      <c r="C340" s="592"/>
      <c r="D340" s="592"/>
      <c r="E340" s="592"/>
      <c r="F340" s="592"/>
      <c r="G340" s="592"/>
      <c r="H340" s="1658">
        <f ca="1">SUM(H337:H339)</f>
        <v>0</v>
      </c>
      <c r="I340" s="592"/>
      <c r="J340" s="592"/>
      <c r="K340" s="1658">
        <f ca="1">SUM(K337:K339)</f>
        <v>0</v>
      </c>
      <c r="L340" s="1658">
        <f ca="1">SUM(L337:L339)</f>
        <v>0</v>
      </c>
    </row>
    <row r="341" spans="1:14" ht="15.75" customHeight="1" thickTop="1" thickBot="1" x14ac:dyDescent="0.25">
      <c r="A341" s="1589" t="s">
        <v>903</v>
      </c>
      <c r="B341" s="1581" t="s">
        <v>861</v>
      </c>
      <c r="C341" s="592"/>
      <c r="D341" s="592"/>
      <c r="E341" s="474"/>
      <c r="F341" s="468"/>
      <c r="G341" s="468"/>
      <c r="H341" s="474"/>
      <c r="I341" s="474"/>
      <c r="J341" s="468"/>
      <c r="K341" s="474"/>
      <c r="L341" s="466">
        <f ca="1">ROUND(SUMIF(INDIRECT(Formulas!$B$1),"80-"&amp;LEFT($B341,4)&amp;"*",INDIRECT(Formulas!$B$7)),0)</f>
        <v>0</v>
      </c>
    </row>
    <row r="342" spans="1:14" ht="12.75" customHeight="1" thickTop="1" thickBot="1" x14ac:dyDescent="0.25">
      <c r="A342" s="1656" t="s">
        <v>505</v>
      </c>
      <c r="B342" s="1671"/>
      <c r="C342" s="1640">
        <f ca="1">SUM(C330)</f>
        <v>276114</v>
      </c>
      <c r="D342" s="1640">
        <f ca="1">SUM(D330)</f>
        <v>482</v>
      </c>
      <c r="E342" s="1640">
        <f ca="1">SUM(E330)</f>
        <v>240449</v>
      </c>
      <c r="F342" s="1640">
        <f ca="1">SUM(F330)</f>
        <v>9729</v>
      </c>
      <c r="G342" s="1640">
        <f ca="1">SUM(G330)</f>
        <v>0</v>
      </c>
      <c r="H342" s="1640">
        <f ca="1">SUM(H330,H334,H340)</f>
        <v>0</v>
      </c>
      <c r="I342" s="1640">
        <f ca="1">SUM(I330)</f>
        <v>0</v>
      </c>
      <c r="J342" s="1640">
        <f ca="1">SUM(J330)</f>
        <v>0</v>
      </c>
      <c r="K342" s="1640">
        <f ca="1">SUM(K330,K334,K340)</f>
        <v>526774</v>
      </c>
      <c r="L342" s="1647">
        <f ca="1">SUM(L330,L340,L341)</f>
        <v>550607</v>
      </c>
    </row>
    <row r="343" spans="1:14" ht="12.75" customHeight="1" thickTop="1" x14ac:dyDescent="0.2">
      <c r="A343" s="2220" t="s">
        <v>996</v>
      </c>
      <c r="B343" s="2221"/>
      <c r="C343" s="592"/>
      <c r="D343" s="592"/>
      <c r="E343" s="592"/>
      <c r="F343" s="592"/>
      <c r="G343" s="592"/>
      <c r="H343" s="592"/>
      <c r="I343" s="592"/>
      <c r="J343" s="592"/>
      <c r="K343" s="1654">
        <f ca="1">'Revenues 9-14'!J268-'Expenditures 15-22'!K342</f>
        <v>27587</v>
      </c>
      <c r="L343" s="592"/>
    </row>
    <row r="344" spans="1:14" s="639" customFormat="1" ht="6" customHeight="1" x14ac:dyDescent="0.2">
      <c r="A344" s="636"/>
      <c r="B344" s="637"/>
      <c r="C344" s="624"/>
      <c r="D344" s="624"/>
      <c r="E344" s="624"/>
      <c r="F344" s="624"/>
      <c r="G344" s="624"/>
      <c r="H344" s="624"/>
      <c r="I344" s="624"/>
      <c r="J344" s="624"/>
      <c r="K344" s="624"/>
      <c r="L344" s="624"/>
      <c r="M344" s="638"/>
      <c r="N344" s="638"/>
    </row>
    <row r="345" spans="1:14" s="641" customFormat="1" ht="16.7" customHeight="1" x14ac:dyDescent="0.2">
      <c r="A345" s="2210" t="s">
        <v>966</v>
      </c>
      <c r="B345" s="2211"/>
      <c r="C345" s="1521"/>
      <c r="D345" s="1522"/>
      <c r="E345" s="1522"/>
      <c r="F345" s="1522"/>
      <c r="G345" s="1522"/>
      <c r="H345" s="1522"/>
      <c r="I345" s="1522"/>
      <c r="J345" s="1522"/>
      <c r="K345" s="1522"/>
      <c r="L345" s="1523"/>
      <c r="M345" s="640"/>
      <c r="N345" s="640"/>
    </row>
    <row r="346" spans="1:14" s="343" customFormat="1" ht="15.75" customHeight="1" x14ac:dyDescent="0.2">
      <c r="A346" s="1593" t="s">
        <v>844</v>
      </c>
      <c r="B346" s="1585" t="s">
        <v>569</v>
      </c>
      <c r="C346" s="592"/>
      <c r="D346" s="592"/>
      <c r="E346" s="592"/>
      <c r="F346" s="592"/>
      <c r="G346" s="592"/>
      <c r="H346" s="592"/>
      <c r="I346" s="592"/>
      <c r="J346" s="592"/>
      <c r="K346" s="592"/>
      <c r="L346" s="592"/>
      <c r="M346" s="585"/>
      <c r="N346" s="585"/>
    </row>
    <row r="347" spans="1:14" ht="15.75" customHeight="1" x14ac:dyDescent="0.2">
      <c r="A347" s="672" t="s">
        <v>612</v>
      </c>
      <c r="B347" s="673"/>
      <c r="C347" s="599"/>
      <c r="D347" s="599"/>
      <c r="E347" s="599"/>
      <c r="F347" s="599"/>
      <c r="G347" s="599"/>
      <c r="H347" s="599"/>
      <c r="I347" s="592"/>
      <c r="J347" s="592"/>
      <c r="K347" s="599"/>
      <c r="L347" s="599"/>
    </row>
    <row r="348" spans="1:14" x14ac:dyDescent="0.2">
      <c r="A348" s="1474" t="s">
        <v>4</v>
      </c>
      <c r="B348" s="590">
        <v>2530</v>
      </c>
      <c r="C348" s="466">
        <f ca="1">ROUND(SUMIF(INDIRECT(Formulas!$B$1),"90-"&amp;LEFT($B348,4)&amp;"*-"&amp;MID(C$1,2,1)&amp;"*",INDIRECT(Formulas!$B$3)),0)</f>
        <v>0</v>
      </c>
      <c r="D348" s="466">
        <f ca="1">ROUND(SUMIF(INDIRECT(Formulas!$B$1),"90-"&amp;LEFT($B348,4)&amp;"*-"&amp;MID(D$1,2,1)&amp;"*",INDIRECT(Formulas!$B$3)),0)</f>
        <v>0</v>
      </c>
      <c r="E348" s="466">
        <f ca="1">ROUND(SUMIF(INDIRECT(Formulas!$B$1),"90-"&amp;LEFT($B348,4)&amp;"*-"&amp;MID(E$1,2,1)&amp;"*",INDIRECT(Formulas!$B$3)),0)</f>
        <v>0</v>
      </c>
      <c r="F348" s="466">
        <f ca="1">ROUND(SUMIF(INDIRECT(Formulas!$B$1),"90-"&amp;LEFT($B348,4)&amp;"*-"&amp;MID(F$1,2,1)&amp;"*",INDIRECT(Formulas!$B$3)),0)</f>
        <v>0</v>
      </c>
      <c r="G348" s="466">
        <f ca="1">ROUND(SUMIF(INDIRECT(Formulas!$B$1),"90-"&amp;LEFT($B348,4)&amp;"*-"&amp;MID(G$1,2,1)&amp;"*",INDIRECT(Formulas!$B$3)),0)</f>
        <v>0</v>
      </c>
      <c r="H348" s="466">
        <f ca="1">ROUND(SUMIF(INDIRECT(Formulas!$B$1),"90-"&amp;LEFT($B348,4)&amp;"*-"&amp;MID(H$1,2,1)&amp;"*",INDIRECT(Formulas!$B$3)),0)</f>
        <v>0</v>
      </c>
      <c r="I348" s="466">
        <f ca="1">ROUND(SUMIF(INDIRECT(Formulas!$B$1),"90-"&amp;LEFT($B348,4)&amp;"*-"&amp;MID(I$1,2,1)&amp;"*",INDIRECT(Formulas!$B$3)),0)</f>
        <v>0</v>
      </c>
      <c r="J348" s="466">
        <f ca="1">ROUND(SUMIF(INDIRECT(Formulas!$B$1),"90-"&amp;LEFT($B348,4)&amp;"*-"&amp;MID(J$1,2,1)&amp;"*",INDIRECT(Formulas!$B$3)),0)</f>
        <v>0</v>
      </c>
      <c r="K348" s="1641">
        <f ca="1">SUM(C348:J348)</f>
        <v>0</v>
      </c>
      <c r="L348" s="466">
        <f ca="1">ROUND(SUMIF(INDIRECT(Formulas!$B$1),"90-"&amp;LEFT($B348,3)&amp;"*",INDIRECT(Formulas!$B$7)),0)</f>
        <v>2000</v>
      </c>
    </row>
    <row r="349" spans="1:14" x14ac:dyDescent="0.2">
      <c r="A349" s="1474" t="s">
        <v>197</v>
      </c>
      <c r="B349" s="590">
        <v>2540</v>
      </c>
      <c r="C349" s="466">
        <f ca="1">ROUND(SUMIF(INDIRECT(Formulas!$B$1),"90-"&amp;LEFT($B349,4)&amp;"*-"&amp;MID(C$1,2,1)&amp;"*",INDIRECT(Formulas!$B$3)),0)</f>
        <v>0</v>
      </c>
      <c r="D349" s="466">
        <f ca="1">ROUND(SUMIF(INDIRECT(Formulas!$B$1),"90-"&amp;LEFT($B349,4)&amp;"*-"&amp;MID(D$1,2,1)&amp;"*",INDIRECT(Formulas!$B$3)),0)</f>
        <v>0</v>
      </c>
      <c r="E349" s="466">
        <f ca="1">ROUND(SUMIF(INDIRECT(Formulas!$B$1),"90-"&amp;LEFT($B349,4)&amp;"*-"&amp;MID(E$1,2,1)&amp;"*",INDIRECT(Formulas!$B$3)),0)</f>
        <v>0</v>
      </c>
      <c r="F349" s="466">
        <f ca="1">ROUND(SUMIF(INDIRECT(Formulas!$B$1),"90-"&amp;LEFT($B349,4)&amp;"*-"&amp;MID(F$1,2,1)&amp;"*",INDIRECT(Formulas!$B$3)),0)</f>
        <v>0</v>
      </c>
      <c r="G349" s="466">
        <f ca="1">ROUND(SUMIF(INDIRECT(Formulas!$B$1),"90-"&amp;LEFT($B349,4)&amp;"*-"&amp;MID(G$1,2,1)&amp;"*",INDIRECT(Formulas!$B$3)),0)</f>
        <v>0</v>
      </c>
      <c r="H349" s="466">
        <f ca="1">ROUND(SUMIF(INDIRECT(Formulas!$B$1),"90-"&amp;LEFT($B349,4)&amp;"*-"&amp;MID(H$1,2,1)&amp;"*",INDIRECT(Formulas!$B$3)),0)</f>
        <v>0</v>
      </c>
      <c r="I349" s="466">
        <f ca="1">ROUND(SUMIF(INDIRECT(Formulas!$B$1),"90-"&amp;LEFT($B349,4)&amp;"*-"&amp;MID(I$1,2,1)&amp;"*",INDIRECT(Formulas!$B$3)),0)</f>
        <v>0</v>
      </c>
      <c r="J349" s="466">
        <f ca="1">ROUND(SUMIF(INDIRECT(Formulas!$B$1),"90-"&amp;LEFT($B349,4)&amp;"*-"&amp;MID(J$1,2,1)&amp;"*",INDIRECT(Formulas!$B$3)),0)</f>
        <v>0</v>
      </c>
      <c r="K349" s="1641">
        <f ca="1">SUM(C349:J349)</f>
        <v>0</v>
      </c>
      <c r="L349" s="466">
        <f ca="1">ROUND(SUMIF(INDIRECT(Formulas!$B$1),"90-"&amp;LEFT($B349,3)&amp;"*",INDIRECT(Formulas!$B$7)),0)</f>
        <v>0</v>
      </c>
    </row>
    <row r="350" spans="1:14" ht="12.75" customHeight="1" thickBot="1" x14ac:dyDescent="0.25">
      <c r="A350" s="1638" t="s">
        <v>719</v>
      </c>
      <c r="B350" s="1639" t="s">
        <v>35</v>
      </c>
      <c r="C350" s="1640">
        <f ca="1">SUM(C348:C349)</f>
        <v>0</v>
      </c>
      <c r="D350" s="1640">
        <f t="shared" ref="D350:L350" ca="1" si="26">SUM(D348:D349)</f>
        <v>0</v>
      </c>
      <c r="E350" s="1640">
        <f t="shared" ca="1" si="26"/>
        <v>0</v>
      </c>
      <c r="F350" s="1640">
        <f t="shared" ca="1" si="26"/>
        <v>0</v>
      </c>
      <c r="G350" s="1640">
        <f t="shared" ca="1" si="26"/>
        <v>0</v>
      </c>
      <c r="H350" s="1640">
        <f t="shared" ca="1" si="26"/>
        <v>0</v>
      </c>
      <c r="I350" s="1640">
        <f t="shared" ca="1" si="26"/>
        <v>0</v>
      </c>
      <c r="J350" s="1640">
        <f t="shared" ca="1" si="26"/>
        <v>0</v>
      </c>
      <c r="K350" s="1640">
        <f t="shared" ca="1" si="26"/>
        <v>0</v>
      </c>
      <c r="L350" s="1640">
        <f t="shared" ca="1" si="26"/>
        <v>2000</v>
      </c>
    </row>
    <row r="351" spans="1:14" ht="12.75" customHeight="1" thickTop="1" x14ac:dyDescent="0.2">
      <c r="A351" s="1480" t="s">
        <v>980</v>
      </c>
      <c r="B351" s="617" t="s">
        <v>574</v>
      </c>
      <c r="C351" s="466">
        <f ca="1">ROUND(SUMIF(INDIRECT(Formulas!$B$1),"90-"&amp;LEFT($B351,4)&amp;"*-"&amp;MID(C$1,2,1)&amp;"*",INDIRECT(Formulas!$B$3)),0)</f>
        <v>0</v>
      </c>
      <c r="D351" s="466">
        <f ca="1">ROUND(SUMIF(INDIRECT(Formulas!$B$1),"90-"&amp;LEFT($B351,4)&amp;"*-"&amp;MID(D$1,2,1)&amp;"*",INDIRECT(Formulas!$B$3)),0)</f>
        <v>0</v>
      </c>
      <c r="E351" s="466">
        <f ca="1">ROUND(SUMIF(INDIRECT(Formulas!$B$1),"90-"&amp;LEFT($B351,4)&amp;"*-"&amp;MID(E$1,2,1)&amp;"*",INDIRECT(Formulas!$B$3)),0)</f>
        <v>0</v>
      </c>
      <c r="F351" s="466">
        <f ca="1">ROUND(SUMIF(INDIRECT(Formulas!$B$1),"90-"&amp;LEFT($B351,4)&amp;"*-"&amp;MID(F$1,2,1)&amp;"*",INDIRECT(Formulas!$B$3)),0)</f>
        <v>0</v>
      </c>
      <c r="G351" s="466">
        <f ca="1">ROUND(SUMIF(INDIRECT(Formulas!$B$1),"90-"&amp;LEFT($B351,4)&amp;"*-"&amp;MID(G$1,2,1)&amp;"*",INDIRECT(Formulas!$B$3)),0)</f>
        <v>0</v>
      </c>
      <c r="H351" s="466">
        <f ca="1">ROUND(SUMIF(INDIRECT(Formulas!$B$1),"90-"&amp;LEFT($B351,4)&amp;"*-"&amp;MID(H$1,2,1)&amp;"*",INDIRECT(Formulas!$B$3)),0)</f>
        <v>0</v>
      </c>
      <c r="I351" s="466">
        <f ca="1">ROUND(SUMIF(INDIRECT(Formulas!$B$1),"90-"&amp;LEFT($B351,4)&amp;"*-"&amp;MID(I$1,2,1)&amp;"*",INDIRECT(Formulas!$B$3)),0)</f>
        <v>0</v>
      </c>
      <c r="J351" s="466">
        <f ca="1">ROUND(SUMIF(INDIRECT(Formulas!$B$1),"90-"&amp;LEFT($B351,4)&amp;"*-"&amp;MID(J$1,2,1)&amp;"*",INDIRECT(Formulas!$B$3)),0)</f>
        <v>0</v>
      </c>
      <c r="K351" s="591">
        <f ca="1">SUM(C351:J351)</f>
        <v>0</v>
      </c>
      <c r="L351" s="466">
        <f ca="1">ROUND(SUMIF(INDIRECT(Formulas!$B$1),"90-"&amp;LEFT($B351,3)&amp;"*",INDIRECT(Formulas!$B$7)),0)</f>
        <v>0</v>
      </c>
    </row>
    <row r="352" spans="1:14" ht="12.75" customHeight="1" thickBot="1" x14ac:dyDescent="0.25">
      <c r="A352" s="1638" t="s">
        <v>624</v>
      </c>
      <c r="B352" s="1645" t="s">
        <v>569</v>
      </c>
      <c r="C352" s="1640">
        <f ca="1">SUM(C350:C351)</f>
        <v>0</v>
      </c>
      <c r="D352" s="1640">
        <f t="shared" ref="D352:L352" ca="1" si="27">SUM(D350:D351)</f>
        <v>0</v>
      </c>
      <c r="E352" s="1640">
        <f t="shared" ca="1" si="27"/>
        <v>0</v>
      </c>
      <c r="F352" s="1640">
        <f t="shared" ca="1" si="27"/>
        <v>0</v>
      </c>
      <c r="G352" s="1640">
        <f t="shared" ca="1" si="27"/>
        <v>0</v>
      </c>
      <c r="H352" s="1640">
        <f t="shared" ca="1" si="27"/>
        <v>0</v>
      </c>
      <c r="I352" s="1640">
        <f t="shared" ca="1" si="27"/>
        <v>0</v>
      </c>
      <c r="J352" s="1640">
        <f t="shared" ca="1" si="27"/>
        <v>0</v>
      </c>
      <c r="K352" s="1640">
        <f t="shared" ca="1" si="27"/>
        <v>0</v>
      </c>
      <c r="L352" s="1640">
        <f t="shared" ca="1" si="27"/>
        <v>2000</v>
      </c>
    </row>
    <row r="353" spans="1:14" s="343" customFormat="1" ht="15.75" customHeight="1" thickTop="1" x14ac:dyDescent="0.2">
      <c r="A353" s="1582" t="s">
        <v>625</v>
      </c>
      <c r="B353" s="1579" t="s">
        <v>860</v>
      </c>
      <c r="C353" s="592"/>
      <c r="D353" s="592"/>
      <c r="E353" s="592"/>
      <c r="F353" s="592"/>
      <c r="G353" s="592"/>
      <c r="H353" s="592"/>
      <c r="I353" s="592"/>
      <c r="J353" s="592"/>
      <c r="K353" s="592"/>
      <c r="L353" s="592"/>
      <c r="M353" s="585"/>
      <c r="N353" s="585"/>
    </row>
    <row r="354" spans="1:14" x14ac:dyDescent="0.2">
      <c r="A354" s="1804" t="s">
        <v>1850</v>
      </c>
      <c r="B354" s="656" t="s">
        <v>1842</v>
      </c>
      <c r="C354" s="592"/>
      <c r="D354" s="592"/>
      <c r="E354" s="592"/>
      <c r="F354" s="592"/>
      <c r="G354" s="592"/>
      <c r="H354" s="466">
        <f ca="1">ROUND(SUMIF(INDIRECT(Formulas!$B$1),"90-"&amp;LEFT($B354,4)&amp;"*-"&amp;MID(H$1,2,1)&amp;"*",INDIRECT(Formulas!$B$3)),0)</f>
        <v>0</v>
      </c>
      <c r="I354" s="674"/>
      <c r="J354" s="592"/>
      <c r="K354" s="1669">
        <f ca="1">H354</f>
        <v>0</v>
      </c>
      <c r="L354" s="466">
        <f ca="1">ROUND(SUMIF(INDIRECT(Formulas!$B$1),"90-"&amp;LEFT($B354,3)&amp;"*",INDIRECT(Formulas!$B$7)),0)</f>
        <v>0</v>
      </c>
    </row>
    <row r="355" spans="1:14" ht="12.75" customHeight="1" x14ac:dyDescent="0.2">
      <c r="A355" s="1483" t="s">
        <v>1851</v>
      </c>
      <c r="B355" s="663" t="s">
        <v>1844</v>
      </c>
      <c r="C355" s="592"/>
      <c r="D355" s="592"/>
      <c r="E355" s="592"/>
      <c r="F355" s="592"/>
      <c r="G355" s="592"/>
      <c r="H355" s="466">
        <f ca="1">ROUND(SUMIF(INDIRECT(Formulas!$B$1),"90-"&amp;LEFT($B355,4)&amp;"*-"&amp;MID(H$1,2,1)&amp;"*",INDIRECT(Formulas!$B$3)),0)</f>
        <v>0</v>
      </c>
      <c r="I355" s="674"/>
      <c r="J355" s="592"/>
      <c r="K355" s="1713">
        <f ca="1">H355</f>
        <v>0</v>
      </c>
      <c r="L355" s="466">
        <f ca="1">ROUND(SUMIF(INDIRECT(Formulas!$B$1),"90-"&amp;LEFT($B355,3)&amp;"*",INDIRECT(Formulas!$B$7)),0)</f>
        <v>0</v>
      </c>
    </row>
    <row r="356" spans="1:14" ht="12.75" customHeight="1" x14ac:dyDescent="0.2">
      <c r="A356" s="1804" t="s">
        <v>698</v>
      </c>
      <c r="B356" s="656" t="s">
        <v>558</v>
      </c>
      <c r="C356" s="592"/>
      <c r="D356" s="592"/>
      <c r="E356" s="592"/>
      <c r="F356" s="592"/>
      <c r="G356" s="592"/>
      <c r="H356" s="466">
        <f ca="1">ROUND(SUMIF(INDIRECT(Formulas!$B$1),"90-"&amp;LEFT($B356,4)&amp;"*-"&amp;MID(H$1,2,1)&amp;"*",INDIRECT(Formulas!$B$3)),0)</f>
        <v>0</v>
      </c>
      <c r="I356" s="674"/>
      <c r="J356" s="592"/>
      <c r="K356" s="1710">
        <f ca="1">H356</f>
        <v>0</v>
      </c>
      <c r="L356" s="466">
        <f ca="1">ROUND(SUMIF(INDIRECT(Formulas!$B$1),"90-"&amp;LEFT($B356,3)&amp;"*",INDIRECT(Formulas!$B$7)),0)</f>
        <v>0</v>
      </c>
    </row>
    <row r="357" spans="1:14" ht="12.75" customHeight="1" thickBot="1" x14ac:dyDescent="0.25">
      <c r="A357" s="1638" t="s">
        <v>1487</v>
      </c>
      <c r="B357" s="1639" t="s">
        <v>860</v>
      </c>
      <c r="C357" s="592"/>
      <c r="D357" s="592"/>
      <c r="E357" s="592"/>
      <c r="F357" s="592"/>
      <c r="G357" s="592"/>
      <c r="H357" s="1658">
        <f ca="1">SUM(H354:H356)</f>
        <v>0</v>
      </c>
      <c r="I357" s="674"/>
      <c r="J357" s="592"/>
      <c r="K357" s="1658">
        <f ca="1">SUM(K354:K356)</f>
        <v>0</v>
      </c>
      <c r="L357" s="1658">
        <f ca="1">SUM(L354:L356)</f>
        <v>0</v>
      </c>
    </row>
    <row r="358" spans="1:14" s="343" customFormat="1" ht="15.75" customHeight="1" thickTop="1" x14ac:dyDescent="0.2">
      <c r="A358" s="1582" t="s">
        <v>948</v>
      </c>
      <c r="B358" s="1579" t="s">
        <v>492</v>
      </c>
      <c r="C358" s="592"/>
      <c r="D358" s="592"/>
      <c r="E358" s="592"/>
      <c r="F358" s="592"/>
      <c r="G358" s="592"/>
      <c r="H358" s="592"/>
      <c r="I358" s="592"/>
      <c r="J358" s="592"/>
      <c r="K358" s="592"/>
      <c r="L358" s="592"/>
      <c r="M358" s="585"/>
      <c r="N358" s="585"/>
    </row>
    <row r="359" spans="1:14" s="343" customFormat="1" ht="15.75" customHeight="1" x14ac:dyDescent="0.2">
      <c r="A359" s="627" t="s">
        <v>627</v>
      </c>
      <c r="B359" s="598"/>
      <c r="C359" s="592"/>
      <c r="D359" s="592"/>
      <c r="E359" s="592"/>
      <c r="F359" s="592"/>
      <c r="G359" s="592"/>
      <c r="H359" s="592"/>
      <c r="I359" s="592"/>
      <c r="J359" s="592"/>
      <c r="K359" s="599"/>
      <c r="L359" s="599"/>
      <c r="M359" s="585"/>
      <c r="N359" s="585"/>
    </row>
    <row r="360" spans="1:14" x14ac:dyDescent="0.2">
      <c r="A360" s="1474" t="s">
        <v>87</v>
      </c>
      <c r="B360" s="590">
        <v>5110</v>
      </c>
      <c r="C360" s="592"/>
      <c r="D360" s="592"/>
      <c r="E360" s="592"/>
      <c r="F360" s="592"/>
      <c r="G360" s="592"/>
      <c r="H360" s="466">
        <f ca="1">ROUND(SUMIF(INDIRECT(Formulas!$B$1),"90-"&amp;LEFT($B360,4)&amp;"*-"&amp;MID(H$1,2,1)&amp;"*",INDIRECT(Formulas!$B$3)),0)</f>
        <v>0</v>
      </c>
      <c r="I360" s="592"/>
      <c r="J360" s="592"/>
      <c r="K360" s="1641">
        <f ca="1">SUM(C360:J360)</f>
        <v>0</v>
      </c>
      <c r="L360" s="466">
        <f ca="1">ROUND(SUMIF(INDIRECT(Formulas!$B$1),"90-"&amp;LEFT($B360,3)&amp;"*",INDIRECT(Formulas!$B$7)),0)</f>
        <v>0</v>
      </c>
    </row>
    <row r="361" spans="1:14" ht="12.75" customHeight="1" x14ac:dyDescent="0.2">
      <c r="A361" s="1475" t="s">
        <v>619</v>
      </c>
      <c r="B361" s="578" t="s">
        <v>618</v>
      </c>
      <c r="C361" s="592"/>
      <c r="D361" s="592"/>
      <c r="E361" s="592"/>
      <c r="F361" s="592"/>
      <c r="G361" s="592"/>
      <c r="H361" s="466">
        <f ca="1">ROUND(SUMIF(INDIRECT(Formulas!$B$1),"90-"&amp;LEFT($B361,4)&amp;"*-"&amp;MID(H$1,2,1)&amp;"*",INDIRECT(Formulas!$B$3)),0)</f>
        <v>0</v>
      </c>
      <c r="I361" s="592"/>
      <c r="J361" s="592"/>
      <c r="K361" s="1641">
        <f ca="1">SUM(C361:J361)</f>
        <v>0</v>
      </c>
      <c r="L361" s="466">
        <f ca="1">ROUND(SUMIF(INDIRECT(Formulas!$B$1),"90-"&amp;LEFT($B361,3)&amp;"*",INDIRECT(Formulas!$B$7)),0)</f>
        <v>0</v>
      </c>
    </row>
    <row r="362" spans="1:14" ht="12.75" customHeight="1" thickBot="1" x14ac:dyDescent="0.25">
      <c r="A362" s="1638" t="s">
        <v>626</v>
      </c>
      <c r="B362" s="1639" t="s">
        <v>718</v>
      </c>
      <c r="C362" s="592"/>
      <c r="D362" s="592"/>
      <c r="E362" s="592"/>
      <c r="F362" s="592"/>
      <c r="G362" s="592"/>
      <c r="H362" s="1673">
        <f ca="1">SUM(H360:H361)</f>
        <v>0</v>
      </c>
      <c r="I362" s="592"/>
      <c r="J362" s="592"/>
      <c r="K362" s="1673">
        <f ca="1">SUM(K360:K361)</f>
        <v>0</v>
      </c>
      <c r="L362" s="1673">
        <f ca="1">SUM(L360:L361)</f>
        <v>0</v>
      </c>
    </row>
    <row r="363" spans="1:14" s="647" customFormat="1" ht="15.75" customHeight="1" thickTop="1" x14ac:dyDescent="0.2">
      <c r="A363" s="633" t="s">
        <v>83</v>
      </c>
      <c r="B363" s="634" t="s">
        <v>38</v>
      </c>
      <c r="C363" s="613"/>
      <c r="D363" s="613"/>
      <c r="E363" s="613"/>
      <c r="F363" s="613"/>
      <c r="G363" s="613"/>
      <c r="H363" s="466">
        <f ca="1">ROUND(SUMIF(INDIRECT(Formulas!$B$1),"90-"&amp;LEFT($B363,4)&amp;"*-"&amp;MID(H$1,2,1)&amp;"*",INDIRECT(Formulas!$B$3)),0)</f>
        <v>0</v>
      </c>
      <c r="I363" s="613"/>
      <c r="J363" s="613"/>
      <c r="K363" s="1669">
        <f ca="1">SUM(C363:J363)</f>
        <v>0</v>
      </c>
      <c r="L363" s="466">
        <f ca="1">ROUND(SUMIF(INDIRECT(Formulas!$B$1),"90-"&amp;LEFT($B363,3)&amp;"*",INDIRECT(Formulas!$B$7)),0)</f>
        <v>0</v>
      </c>
      <c r="M363" s="638"/>
      <c r="N363" s="638"/>
    </row>
    <row r="364" spans="1:14" s="679" customFormat="1" ht="29.25" customHeight="1" x14ac:dyDescent="0.2">
      <c r="A364" s="675" t="s">
        <v>1672</v>
      </c>
      <c r="B364" s="676">
        <v>5300</v>
      </c>
      <c r="C364" s="677"/>
      <c r="D364" s="678"/>
      <c r="E364" s="678"/>
      <c r="F364" s="677"/>
      <c r="G364" s="678"/>
      <c r="H364" s="466">
        <f ca="1">ROUND(SUMIF(INDIRECT(Formulas!$B$1),"90-"&amp;LEFT($B364,4)&amp;"*-"&amp;MID(H$1,2,1)&amp;"*",INDIRECT(Formulas!$B$3)),0)</f>
        <v>0</v>
      </c>
      <c r="I364" s="678"/>
      <c r="J364" s="678"/>
      <c r="K364" s="1641">
        <f ca="1">SUM(C364:J364)</f>
        <v>0</v>
      </c>
      <c r="L364" s="466">
        <f ca="1">ROUND(SUMIF(INDIRECT(Formulas!$B$1),"90-"&amp;LEFT($B364,3)&amp;"*",INDIRECT(Formulas!$B$7)),0)</f>
        <v>0</v>
      </c>
    </row>
    <row r="365" spans="1:14" s="647" customFormat="1" ht="12.75" customHeight="1" thickBot="1" x14ac:dyDescent="0.25">
      <c r="A365" s="1491" t="s">
        <v>590</v>
      </c>
      <c r="B365" s="632" t="s">
        <v>492</v>
      </c>
      <c r="C365" s="613"/>
      <c r="D365" s="613"/>
      <c r="E365" s="613"/>
      <c r="F365" s="613"/>
      <c r="G365" s="613"/>
      <c r="H365" s="1673">
        <f ca="1">SUM(H362,H363,H364)</f>
        <v>0</v>
      </c>
      <c r="I365" s="613"/>
      <c r="J365" s="613"/>
      <c r="K365" s="1673">
        <f ca="1">SUM(K362,K363,K364)</f>
        <v>0</v>
      </c>
      <c r="L365" s="1673">
        <f ca="1">SUM(L362,L363,L364)</f>
        <v>0</v>
      </c>
      <c r="M365" s="638"/>
      <c r="N365" s="638"/>
    </row>
    <row r="366" spans="1:14" s="343" customFormat="1" ht="15.75" customHeight="1" thickTop="1" x14ac:dyDescent="0.2">
      <c r="A366" s="1576" t="s">
        <v>949</v>
      </c>
      <c r="B366" s="1583" t="s">
        <v>861</v>
      </c>
      <c r="C366" s="599"/>
      <c r="D366" s="599"/>
      <c r="E366" s="599"/>
      <c r="F366" s="599"/>
      <c r="G366" s="599"/>
      <c r="H366" s="599"/>
      <c r="I366" s="599"/>
      <c r="J366" s="592"/>
      <c r="K366" s="599"/>
      <c r="L366" s="466">
        <f ca="1">ROUND(SUMIF(INDIRECT(Formulas!$B$1),"90-"&amp;LEFT($B366,3)&amp;"*",INDIRECT(Formulas!$B$7)),0)</f>
        <v>0</v>
      </c>
      <c r="M366" s="585"/>
      <c r="N366" s="585"/>
    </row>
    <row r="367" spans="1:14" ht="12.75" customHeight="1" thickBot="1" x14ac:dyDescent="0.25">
      <c r="A367" s="1662" t="s">
        <v>505</v>
      </c>
      <c r="B367" s="1674"/>
      <c r="C367" s="1640">
        <f t="shared" ref="C367:L367" ca="1" si="28">SUM(C352,C357,C365,C366)</f>
        <v>0</v>
      </c>
      <c r="D367" s="1640">
        <f t="shared" ca="1" si="28"/>
        <v>0</v>
      </c>
      <c r="E367" s="1640">
        <f t="shared" ca="1" si="28"/>
        <v>0</v>
      </c>
      <c r="F367" s="1640">
        <f t="shared" ca="1" si="28"/>
        <v>0</v>
      </c>
      <c r="G367" s="1640">
        <f t="shared" ca="1" si="28"/>
        <v>0</v>
      </c>
      <c r="H367" s="1640">
        <f t="shared" ca="1" si="28"/>
        <v>0</v>
      </c>
      <c r="I367" s="1640">
        <f t="shared" ca="1" si="28"/>
        <v>0</v>
      </c>
      <c r="J367" s="1640">
        <f t="shared" ca="1" si="28"/>
        <v>0</v>
      </c>
      <c r="K367" s="1640">
        <f t="shared" ca="1" si="28"/>
        <v>0</v>
      </c>
      <c r="L367" s="1640">
        <f t="shared" ca="1" si="28"/>
        <v>2000</v>
      </c>
    </row>
    <row r="368" spans="1:14" ht="13.5" thickTop="1" x14ac:dyDescent="0.2">
      <c r="A368" s="2207" t="s">
        <v>996</v>
      </c>
      <c r="B368" s="2208"/>
      <c r="C368" s="628"/>
      <c r="D368" s="628"/>
      <c r="E368" s="602"/>
      <c r="F368" s="602"/>
      <c r="G368" s="602"/>
      <c r="H368" s="602"/>
      <c r="I368" s="602"/>
      <c r="J368" s="599"/>
      <c r="K368" s="1641">
        <f ca="1">'Revenues 9-14'!K268-'Expenditures 15-22'!K367</f>
        <v>10433</v>
      </c>
      <c r="L368" s="628"/>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6ce3111e-7420-4802-b50a-75d4e9a0b980"/>
    <ds:schemaRef ds:uri="http://purl.org/dc/dcmitype/"/>
    <ds:schemaRef ds:uri="http://purl.org/dc/elements/1.1/"/>
    <ds:schemaRef ds:uri="http://purl.org/dc/terms/"/>
    <ds:schemaRef ds:uri="http://schemas.microsoft.com/office/infopath/2007/PartnerControl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AUDITCHECK</vt:lpstr>
      <vt:lpstr>DeficitAFRSum Calc 36</vt:lpstr>
      <vt:lpstr>AFR19</vt:lpstr>
      <vt:lpstr>Single Audit Cover</vt:lpstr>
      <vt:lpstr>Single Audit Checklist</vt:lpstr>
      <vt:lpstr>SEFA Reconcile</vt:lpstr>
      <vt:lpstr>SEFA</vt:lpstr>
      <vt:lpstr> SEFA (2)</vt:lpstr>
      <vt:lpstr>SEFA NOTES</vt:lpstr>
      <vt:lpstr>SF&amp;QC Sec-1</vt:lpstr>
      <vt:lpstr>SF&amp;QC Sec-2</vt:lpstr>
      <vt:lpstr>SF&amp;QC Sec-3</vt:lpstr>
      <vt:lpstr>SSPAF</vt:lpstr>
      <vt:lpstr>CAP</vt:lpstr>
      <vt:lpstr>Data</vt:lpstr>
      <vt:lpstr>Formulas</vt:lpstr>
      <vt:lpstr>' SEFA (2)'!Print_Area</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2019-10-11T21:08:50Z</cp:lastPrinted>
  <dcterms:created xsi:type="dcterms:W3CDTF">2003-10-29T19:06:34Z</dcterms:created>
  <dcterms:modified xsi:type="dcterms:W3CDTF">2019-11-05T19:56:17Z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