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8830" windowHeight="6450" tabRatio="871"/>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I8" i="11" l="1"/>
  <c r="K20" i="127" l="1"/>
  <c r="C39"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31" i="127"/>
  <c r="B32" i="127"/>
  <c r="D26" i="108"/>
  <c r="E26" i="108"/>
  <c r="F26" i="108"/>
  <c r="G26" i="108"/>
  <c r="D27" i="108"/>
  <c r="E27" i="108"/>
  <c r="F27" i="108"/>
  <c r="G27" i="108"/>
  <c r="F31" i="108"/>
  <c r="F36" i="108"/>
  <c r="G28" i="108"/>
  <c r="E30" i="108"/>
  <c r="G30" i="108"/>
  <c r="D31" i="108"/>
  <c r="D36"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28" i="118"/>
  <c r="H33" i="118"/>
  <c r="D22" i="37"/>
  <c r="J22" i="37"/>
  <c r="L22" i="37"/>
  <c r="D24" i="37"/>
  <c r="B4270" i="106" s="1"/>
  <c r="D4270" i="106" s="1"/>
  <c r="D9" i="7"/>
  <c r="B1767" i="106" s="1"/>
  <c r="D1767" i="106" s="1"/>
  <c r="B5752" i="106"/>
  <c r="D5752" i="106" s="1"/>
  <c r="D17" i="7"/>
  <c r="B4104" i="106" s="1"/>
  <c r="D4104" i="106" s="1"/>
  <c r="J367" i="29" l="1"/>
  <c r="B7245" i="106" s="1"/>
  <c r="D7245" i="106" s="1"/>
  <c r="B7235" i="106"/>
  <c r="D7235" i="106" s="1"/>
  <c r="F44" i="34"/>
  <c r="F37" i="108"/>
  <c r="B7231" i="106"/>
  <c r="D7231" i="106" s="1"/>
  <c r="H342" i="29"/>
  <c r="K76" i="4"/>
  <c r="B3586" i="106" s="1"/>
  <c r="D3586" i="106" s="1"/>
  <c r="D37" i="108"/>
  <c r="D41" i="108" s="1"/>
  <c r="E43" i="108" s="1"/>
  <c r="L13" i="11"/>
  <c r="B2060" i="106" s="1"/>
  <c r="D2060" i="106" s="1"/>
  <c r="C129" i="29"/>
  <c r="G39" i="108"/>
  <c r="K41" i="3"/>
  <c r="I24" i="12"/>
  <c r="F62" i="34"/>
  <c r="B3647" i="106"/>
  <c r="D3647" i="106" s="1"/>
  <c r="B2836" i="106"/>
  <c r="D2836" i="106" s="1"/>
  <c r="N22" i="3"/>
  <c r="B283" i="106" s="1"/>
  <c r="D283" i="106" s="1"/>
  <c r="B3254" i="106"/>
  <c r="D3254" i="106" s="1"/>
  <c r="G210" i="29"/>
  <c r="G15" i="145"/>
  <c r="C342" i="29"/>
  <c r="B7216" i="106" s="1"/>
  <c r="D7216" i="106" s="1"/>
  <c r="B1308" i="106"/>
  <c r="D1308" i="106" s="1"/>
  <c r="E174" i="29"/>
  <c r="B1309" i="106" s="1"/>
  <c r="D1309" i="106" s="1"/>
  <c r="L5" i="11"/>
  <c r="B2056" i="106" s="1"/>
  <c r="D2056" i="106" s="1"/>
  <c r="D69" i="36"/>
  <c r="F19" i="7"/>
  <c r="B1807" i="106" s="1"/>
  <c r="D1807" i="106" s="1"/>
  <c r="L342" i="29"/>
  <c r="K184" i="29"/>
  <c r="F13" i="4" s="1"/>
  <c r="B2596" i="106" s="1"/>
  <c r="D2596" i="106" s="1"/>
  <c r="G29" i="108"/>
  <c r="E29" i="108"/>
  <c r="B4087" i="106"/>
  <c r="D4087" i="106" s="1"/>
  <c r="F28" i="108"/>
  <c r="F41" i="108" s="1"/>
  <c r="G43" i="108" s="1"/>
  <c r="E28" i="108"/>
  <c r="D11" i="37"/>
  <c r="D31" i="36"/>
  <c r="H29" i="118"/>
  <c r="K28" i="118" s="1"/>
  <c r="O27" i="118" s="1"/>
  <c r="O29" i="118" s="1"/>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778" i="106" l="1"/>
  <c r="D5778" i="106" s="1"/>
  <c r="G6" i="4"/>
  <c r="B2604" i="106" s="1"/>
  <c r="D2604" i="106" s="1"/>
  <c r="B5770" i="106"/>
  <c r="D5770" i="106" s="1"/>
  <c r="I26" i="12"/>
  <c r="B7741" i="106" s="1"/>
  <c r="D7741" i="106" s="1"/>
  <c r="B1996" i="106"/>
  <c r="D1996" i="106" s="1"/>
  <c r="I7" i="4"/>
  <c r="B4444" i="106" s="1"/>
  <c r="D4444" i="106" s="1"/>
  <c r="B3568" i="106"/>
  <c r="D3568" i="106" s="1"/>
  <c r="D52" i="36"/>
  <c r="D7254" i="106"/>
  <c r="D7255" i="106"/>
  <c r="B1365" i="106"/>
  <c r="D1365" i="106" s="1"/>
  <c r="F65" i="34"/>
  <c r="D7256" i="106"/>
  <c r="D7251" i="106"/>
  <c r="K342" i="29"/>
  <c r="F13" i="34" s="1"/>
  <c r="D7253" i="106"/>
  <c r="L16" i="11"/>
  <c r="B2061" i="106" s="1"/>
  <c r="D2061" i="106" s="1"/>
  <c r="B1317" i="106"/>
  <c r="D1317" i="106" s="1"/>
  <c r="B5527" i="106"/>
  <c r="D5527" i="106" s="1"/>
  <c r="H151" i="29"/>
  <c r="B1273" i="106" s="1"/>
  <c r="D1273" i="106" s="1"/>
  <c r="L114" i="29"/>
  <c r="C114" i="29"/>
  <c r="B757" i="106" s="1"/>
  <c r="D757" i="106" s="1"/>
  <c r="F174" i="34"/>
  <c r="D44" i="36"/>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K17" i="4" l="1"/>
  <c r="D8" i="146"/>
  <c r="J20" i="4"/>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<sst xmlns="http://schemas.openxmlformats.org/spreadsheetml/2006/main" count="5114" uniqueCount="2128">
  <si>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</si>
  <si>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</si>
  <si>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</si>
  <si>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</si>
  <si>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</si>
  <si>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</si>
  <si>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</si>
  <si>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</si>
  <si>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</si>
  <si>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</si>
  <si>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</si>
  <si>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</si>
  <si>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</si>
  <si>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</si>
  <si>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</si>
  <si>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</si>
  <si>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</si>
  <si>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</si>
  <si>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</si>
  <si>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</si>
  <si>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</si>
  <si>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</si>
  <si>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</si>
  <si>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</si>
  <si>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</si>
  <si>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</si>
  <si>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</si>
  <si>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</si>
  <si>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</si>
  <si>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</si>
  <si>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</si>
  <si>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</si>
  <si>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</si>
  <si>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</si>
  <si>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</si>
  <si>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</si>
  <si>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</si>
  <si>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</si>
  <si>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</si>
  <si>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</si>
  <si>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</si>
  <si>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</si>
  <si>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</si>
  <si>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</si>
  <si>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</si>
  <si>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</si>
  <si>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</si>
  <si>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</si>
  <si>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</si>
  <si>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</si>
  <si>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</si>
  <si>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</si>
  <si>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</si>
  <si>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</si>
  <si>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</si>
  <si>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</si>
  <si>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</si>
  <si>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</si>
  <si>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</si>
  <si>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</si>
  <si>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</si>
  <si>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</si>
  <si>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</si>
  <si>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</si>
  <si>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</si>
  <si>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</si>
  <si>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</si>
  <si>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</si>
  <si>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</si>
  <si>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</si>
  <si>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</si>
  <si>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</si>
  <si>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</si>
  <si>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</si>
  <si>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</si>
  <si>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</si>
  <si>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</si>
  <si>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</si>
  <si>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</si>
  <si>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</si>
  <si>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</si>
  <si>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</si>
  <si>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</si>
  <si>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</si>
  <si>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</si>
  <si>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</si>
  <si>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</si>
  <si>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</si>
  <si>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</si>
  <si>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</si>
  <si>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</si>
  <si>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</si>
  <si>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</si>
  <si>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</si>
  <si>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</si>
  <si>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</si>
  <si>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</si>
  <si>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</si>
  <si>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</si>
  <si>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</si>
  <si>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</si>
  <si>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</si>
  <si>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</si>
  <si>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</si>
  <si>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</si>
  <si>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</si>
  <si>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</si>
  <si>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</si>
  <si>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</si>
  <si>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</si>
  <si>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</si>
  <si>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</si>
  <si>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</si>
  <si>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</si>
  <si>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</si>
  <si>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</si>
  <si>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</si>
  <si>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</si>
  <si>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</si>
  <si>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</si>
  <si>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</si>
  <si>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</si>
  <si>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</si>
  <si>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</si>
  <si>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</si>
  <si>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</si>
  <si>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</si>
  <si>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</si>
  <si>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</si>
  <si>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</si>
  <si>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</si>
  <si>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</si>
  <si>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</si>
  <si>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</si>
  <si>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</si>
  <si>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</si>
  <si>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</si>
  <si>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</si>
  <si>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</si>
  <si>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</si>
  <si>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</si>
  <si>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</si>
  <si>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</si>
  <si>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</si>
  <si>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</si>
  <si>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</si>
  <si>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</si>
  <si>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</si>
  <si>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</si>
  <si>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</si>
  <si>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</si>
  <si>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</si>
  <si>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</si>
  <si>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</si>
  <si>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</si>
  <si>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</si>
  <si>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</si>
  <si>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</si>
  <si>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</si>
  <si>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</si>
  <si>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</si>
  <si>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</si>
  <si>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</si>
  <si>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</si>
  <si>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</si>
  <si>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</si>
  <si>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</si>
  <si>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</si>
  <si>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</si>
  <si>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</si>
  <si>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</si>
  <si>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</si>
  <si>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</si>
  <si>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</si>
  <si>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</si>
  <si>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</si>
  <si>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</si>
  <si>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</si>
  <si>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</si>
  <si>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</si>
  <si>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</si>
  <si>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</si>
  <si>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</si>
  <si>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</si>
  <si>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</si>
  <si>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</si>
  <si>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</si>
  <si>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</si>
  <si>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</si>
  <si>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</si>
  <si>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</si>
  <si>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</si>
  <si>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</si>
  <si>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</si>
  <si>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</si>
  <si>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</si>
  <si>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</si>
  <si>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</si>
  <si>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</si>
  <si>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</si>
  <si>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</si>
  <si>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</si>
  <si>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</si>
  <si>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</si>
  <si>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</si>
  <si>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</si>
  <si>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</si>
  <si>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</si>
  <si>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</si>
  <si>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</si>
  <si>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</si>
  <si>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</si>
  <si>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</si>
  <si>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</si>
  <si>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</si>
  <si>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</si>
  <si>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</si>
  <si>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</si>
  <si>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</si>
  <si>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</si>
  <si>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</si>
  <si>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</si>
  <si>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</si>
  <si>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</si>
  <si>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</si>
  <si>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</si>
  <si>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</si>
  <si>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</si>
  <si>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</si>
  <si>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</si>
  <si>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</si>
  <si>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</si>
  <si>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</si>
  <si>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</si>
  <si>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</si>
  <si>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</si>
  <si>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</si>
  <si>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</si>
  <si>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</si>
  <si>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</si>
  <si>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</si>
  <si>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</si>
  <si>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</si>
  <si>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</si>
  <si>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</si>
  <si>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</si>
  <si>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</si>
  <si>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</si>
  <si>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</si>
  <si>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</si>
  <si>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</si>
  <si>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</si>
  <si>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</si>
  <si>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</si>
  <si>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</si>
  <si>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</si>
  <si>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</si>
  <si>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</si>
  <si>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</si>
  <si>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</si>
  <si>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</si>
  <si>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</si>
  <si>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</si>
  <si>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</si>
  <si>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</si>
  <si>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</si>
  <si>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</si>
  <si>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</si>
  <si>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</si>
  <si>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</si>
  <si>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</si>
  <si>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</si>
  <si>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</si>
  <si>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</si>
  <si>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</si>
  <si>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</si>
  <si>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</si>
  <si>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</si>
  <si>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</si>
  <si>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</si>
  <si>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</si>
  <si>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</si>
  <si>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</si>
  <si>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</si>
  <si>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</si>
  <si>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</si>
  <si>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</si>
  <si>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</si>
  <si>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</si>
  <si>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</si>
  <si>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</si>
  <si>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</si>
  <si>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</si>
  <si>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</si>
  <si>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</si>
  <si>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</si>
  <si>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</si>
  <si>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</si>
  <si>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</si>
  <si>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</si>
  <si>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</si>
  <si>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</si>
  <si>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</si>
  <si>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</si>
  <si>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</si>
  <si>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</si>
  <si>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</si>
  <si>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</si>
  <si>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</si>
  <si>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</si>
  <si>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</si>
  <si>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</si>
  <si>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</si>
  <si>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</si>
  <si>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</si>
  <si>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</si>
  <si>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</si>
  <si>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</si>
  <si>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</si>
  <si>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</si>
  <si>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</si>
  <si>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</si>
  <si>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</si>
  <si>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</si>
  <si>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</si>
  <si>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</si>
  <si>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</si>
  <si>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</si>
  <si>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</si>
  <si>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</si>
  <si>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</si>
  <si>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</si>
  <si>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</si>
  <si>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</si>
  <si>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</si>
  <si>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</si>
  <si>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</si>
  <si>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</si>
  <si>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</si>
  <si>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</si>
  <si>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</si>
  <si>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</si>
  <si>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</si>
  <si>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</si>
  <si>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</si>
  <si>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</si>
  <si>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</si>
  <si>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</si>
  <si>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</si>
  <si>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</si>
  <si>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</si>
  <si>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</si>
  <si>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</si>
  <si>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</si>
  <si>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</si>
  <si>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</si>
  <si>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</si>
  <si>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</si>
  <si>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</si>
  <si>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</si>
  <si>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</si>
  <si>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</si>
  <si>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</si>
  <si>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</si>
  <si>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</si>
  <si>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</si>
  <si>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</si>
  <si>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</si>
  <si>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</si>
  <si>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</si>
  <si>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</si>
  <si>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</si>
  <si>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</si>
  <si>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</si>
  <si>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</si>
  <si>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</si>
  <si>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</si>
  <si>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</si>
  <si>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</si>
  <si>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</si>
  <si>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</si>
  <si>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</si>
  <si>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</si>
  <si>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</si>
  <si>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</si>
  <si>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</si>
  <si>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</si>
  <si>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</si>
  <si>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</si>
  <si>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</si>
  <si>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</si>
  <si>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</si>
  <si>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</si>
  <si>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</si>
  <si>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</si>
  <si>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</si>
  <si>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</si>
  <si>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</si>
  <si>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</si>
  <si>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</si>
  <si>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</si>
  <si>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</si>
  <si>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</si>
  <si>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</si>
  <si>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</si>
  <si>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</si>
  <si>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</si>
  <si>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</si>
  <si>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</si>
  <si>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</si>
  <si>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</si>
  <si>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</si>
  <si>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</si>
  <si>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</si>
  <si>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</si>
  <si>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</si>
  <si>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</si>
  <si>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</si>
  <si>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</si>
  <si>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</si>
  <si>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</si>
  <si>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</si>
  <si>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</si>
  <si>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</si>
  <si>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</si>
  <si>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</si>
  <si>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</si>
  <si>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</si>
  <si>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</si>
  <si>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</si>
  <si>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</si>
  <si>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</si>
  <si>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</si>
  <si>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</si>
  <si>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</si>
  <si>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</si>
  <si>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</si>
  <si>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</si>
  <si>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</si>
  <si>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</si>
  <si>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</si>
  <si>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</si>
  <si>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</si>
  <si>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</si>
  <si>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</si>
  <si>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</si>
  <si>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</si>
  <si>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</si>
  <si>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</si>
  <si>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</si>
  <si>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</si>
  <si>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</si>
  <si>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</si>
  <si>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</si>
  <si>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</si>
  <si>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</si>
  <si>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</si>
  <si>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</si>
  <si>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</si>
  <si>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</si>
  <si>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</si>
  <si>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</si>
  <si>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</si>
  <si>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</si>
  <si>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</si>
  <si>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</si>
  <si>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</si>
  <si>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</si>
  <si>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</si>
  <si>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</si>
  <si>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</si>
  <si>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</si>
  <si>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</si>
  <si>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</si>
  <si>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</si>
  <si>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</si>
  <si>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</si>
  <si>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</si>
  <si>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</si>
  <si>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</si>
  <si>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</si>
  <si>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</si>
  <si>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</si>
  <si>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</si>
  <si>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</si>
  <si>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</si>
  <si>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</si>
  <si>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</si>
  <si>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</si>
  <si>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</si>
  <si>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</si>
  <si>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</si>
  <si>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</si>
  <si>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</si>
  <si>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</si>
  <si>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</si>
  <si>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</si>
  <si>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</si>
  <si>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</si>
  <si>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</si>
  <si>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</si>
  <si>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</si>
  <si>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</si>
  <si>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</si>
  <si>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</si>
  <si>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</si>
  <si>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</si>
  <si>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</si>
  <si>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</si>
  <si>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</si>
  <si>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</si>
  <si>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</si>
  <si>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</si>
  <si>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</si>
  <si>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</si>
  <si>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</si>
  <si>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</si>
  <si>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</si>
  <si>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</si>
  <si>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</si>
  <si>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</si>
  <si>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</si>
  <si>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</si>
  <si>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</si>
  <si>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</si>
  <si>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</si>
  <si>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</si>
  <si>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</si>
  <si>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</si>
  <si>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</si>
  <si>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</si>
  <si>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</si>
  <si>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</si>
  <si>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</si>
  <si>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</si>
  <si>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</si>
  <si>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</si>
  <si>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</si>
  <si>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</si>
  <si>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</si>
  <si>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</si>
  <si>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</si>
  <si>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</si>
  <si>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</si>
  <si>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</si>
  <si>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</si>
  <si>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</si>
  <si>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</si>
  <si>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</si>
  <si>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</si>
  <si>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</si>
  <si>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</si>
  <si>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</si>
  <si>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</si>
  <si>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</si>
  <si>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</si>
  <si>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</si>
  <si>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</si>
  <si>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</si>
  <si>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</si>
  <si>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</si>
  <si>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</si>
  <si>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</si>
  <si>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</si>
  <si>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</si>
  <si>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</si>
  <si>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</si>
  <si>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</si>
  <si>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</si>
  <si>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</si>
  <si>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</si>
  <si>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</si>
  <si>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</si>
  <si>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</si>
  <si>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</si>
  <si>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</si>
  <si>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</si>
  <si>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</si>
  <si>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</si>
  <si>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</si>
  <si>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</si>
  <si>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</si>
  <si>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</si>
  <si>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</si>
  <si>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</si>
  <si>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</si>
  <si>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</si>
  <si>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</si>
  <si>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</si>
  <si>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</si>
  <si>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</si>
  <si>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</si>
  <si>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</si>
  <si>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</si>
  <si>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</si>
  <si>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</si>
  <si>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</si>
  <si>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</si>
  <si>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</si>
  <si>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</si>
  <si>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</si>
  <si>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</si>
  <si>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</si>
  <si>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</si>
  <si>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</si>
  <si>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</si>
  <si>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</si>
  <si>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</si>
  <si>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</si>
  <si>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</si>
  <si>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</si>
  <si>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</si>
  <si>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</si>
  <si>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</si>
  <si>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</si>
  <si>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</si>
  <si>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</si>
  <si>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</si>
  <si>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</si>
  <si>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</si>
  <si>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</si>
  <si>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</si>
  <si>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</si>
  <si>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</si>
  <si>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</si>
  <si>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</si>
  <si>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</si>
  <si>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</si>
  <si>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</si>
  <si>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</si>
  <si>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</si>
  <si>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</si>
  <si>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</si>
  <si>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</si>
  <si>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</si>
  <si>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</si>
  <si>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</si>
  <si>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</si>
  <si>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</si>
  <si>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</si>
  <si>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</si>
  <si>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</si>
  <si>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</si>
  <si>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</si>
  <si>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</si>
  <si>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</si>
  <si>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</si>
  <si>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</si>
  <si>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</si>
  <si>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</si>
  <si>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</si>
  <si>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</si>
  <si>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</si>
  <si>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</si>
  <si>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</si>
  <si>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</si>
  <si>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</si>
  <si>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</si>
  <si>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</si>
  <si>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</si>
  <si>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</si>
  <si>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</si>
  <si>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</si>
  <si>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</si>
  <si>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</si>
  <si>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</si>
  <si>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</si>
  <si>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</si>
  <si>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</si>
  <si>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</si>
  <si>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</si>
  <si>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</si>
  <si>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</si>
  <si>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</si>
  <si>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</si>
  <si>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</si>
  <si>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</si>
  <si>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</si>
  <si>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</si>
  <si>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</si>
  <si>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</si>
  <si>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</si>
  <si>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</si>
  <si>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</si>
  <si>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</si>
  <si>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</si>
  <si>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</si>
  <si>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</si>
  <si>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</si>
  <si>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</si>
  <si>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</si>
  <si>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</si>
  <si>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</si>
  <si>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</si>
  <si>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</si>
  <si>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</si>
  <si>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</si>
  <si>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</si>
  <si>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</si>
  <si>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</si>
  <si>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</si>
  <si>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</si>
  <si>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</si>
  <si>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</si>
  <si>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</si>
  <si>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</si>
  <si>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</si>
  <si>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</si>
  <si>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</si>
  <si>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</si>
  <si>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</si>
  <si>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</si>
  <si>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</si>
  <si>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</si>
  <si>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</si>
  <si>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</si>
  <si>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</si>
  <si>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</si>
  <si>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</si>
  <si>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</si>
  <si>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</si>
  <si>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</si>
  <si>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</si>
  <si>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</si>
  <si>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</si>
  <si>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</si>
  <si>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</si>
  <si>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</si>
  <si>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</si>
  <si>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</si>
  <si>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</si>
  <si>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</si>
  <si>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</si>
  <si>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</si>
  <si>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</si>
  <si>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</si>
  <si>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</si>
  <si>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</si>
  <si>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</si>
  <si>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</si>
  <si>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</si>
  <si>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</si>
  <si>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</si>
  <si>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</si>
  <si>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</si>
  <si>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</si>
  <si>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</si>
  <si>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</si>
  <si>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</si>
  <si>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</si>
  <si>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</si>
  <si>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</si>
  <si>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</si>
  <si>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</si>
  <si>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</si>
  <si>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</si>
  <si>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</si>
  <si>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</si>
  <si>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</si>
  <si>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</si>
  <si>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</si>
  <si>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</si>
  <si>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</si>
  <si>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</si>
  <si>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</si>
  <si>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</si>
  <si>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</si>
  <si>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</si>
  <si>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</si>
  <si>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</si>
  <si>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</si>
  <si>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</si>
  <si>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</si>
  <si>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</si>
  <si>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</si>
  <si>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</si>
  <si>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</si>
  <si>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</si>
  <si>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</si>
  <si>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</si>
  <si>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</si>
  <si>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</si>
  <si>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</si>
  <si>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</si>
  <si>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</si>
  <si>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</si>
  <si>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</si>
  <si>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</si>
  <si>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</si>
  <si>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</si>
  <si>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</si>
  <si>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</si>
  <si>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</si>
  <si>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</si>
  <si>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</si>
  <si>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</si>
  <si>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</si>
  <si>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</si>
  <si>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</si>
  <si>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</si>
  <si>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</si>
  <si>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</si>
  <si>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</si>
  <si>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</si>
  <si>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</si>
  <si>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</si>
  <si>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</si>
  <si>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</si>
  <si>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</si>
  <si>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</si>
  <si>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</si>
  <si>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</si>
  <si>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</si>
  <si>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</si>
  <si>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</si>
  <si>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</si>
  <si>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</si>
  <si>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</si>
  <si>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</si>
  <si>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</si>
  <si>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</si>
  <si>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</si>
  <si>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</si>
  <si>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</si>
  <si>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</si>
  <si>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</si>
  <si>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</si>
  <si>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</si>
  <si>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</si>
  <si>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</si>
  <si>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</si>
  <si>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</si>
  <si>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</si>
  <si>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</si>
  <si>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</si>
  <si>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</si>
  <si>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</si>
  <si>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</si>
  <si>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</si>
  <si>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</si>
  <si>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</si>
  <si>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</si>
  <si>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</si>
  <si>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</si>
  <si>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</si>
  <si>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</si>
  <si>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</si>
  <si>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</si>
  <si>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</si>
  <si>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</si>
  <si>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</si>
  <si>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</si>
  <si>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</si>
  <si>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</si>
  <si>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</si>
  <si>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</si>
  <si>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</si>
  <si>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</si>
  <si>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</si>
  <si>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</si>
  <si>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</si>
  <si>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</si>
  <si>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</si>
  <si>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</si>
  <si>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</si>
  <si>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</si>
  <si>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</si>
  <si>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</si>
  <si>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</si>
  <si>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</si>
  <si>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</si>
  <si>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</si>
  <si>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</si>
  <si>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</si>
  <si>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</si>
  <si>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</si>
  <si>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</si>
  <si>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</si>
  <si>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</si>
  <si>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</si>
  <si>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</si>
  <si>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</si>
  <si>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</si>
  <si>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</si>
  <si>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</si>
  <si>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</si>
  <si>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</si>
  <si>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</si>
  <si>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</si>
  <si>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</si>
  <si>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</si>
  <si>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</si>
  <si>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</si>
  <si>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</si>
  <si>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</si>
  <si>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</si>
  <si>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</si>
  <si>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</si>
  <si>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</si>
  <si>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</si>
  <si>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</si>
  <si>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</si>
  <si>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</si>
  <si>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</si>
  <si>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</si>
  <si>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</si>
  <si>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</si>
  <si>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</si>
  <si>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</si>
  <si>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</si>
  <si>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</si>
  <si>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</si>
  <si>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</si>
  <si>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</si>
  <si>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</si>
  <si>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</si>
  <si>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</si>
  <si>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</si>
  <si>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</si>
  <si>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</si>
  <si>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</si>
  <si>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</si>
  <si>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</si>
  <si>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</si>
  <si>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</si>
  <si>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</si>
  <si>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</si>
  <si>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</si>
  <si>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</si>
  <si>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</si>
  <si>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</si>
  <si>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</si>
  <si>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</si>
  <si>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</si>
  <si>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</si>
  <si>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</si>
  <si>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</si>
  <si>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</si>
  <si>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</si>
  <si>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</si>
  <si>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</si>
  <si>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</si>
  <si>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</si>
  <si>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</si>
  <si>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</si>
  <si>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</si>
  <si>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</si>
  <si>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</si>
  <si>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</si>
  <si>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</si>
  <si>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</si>
  <si>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</si>
  <si>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</si>
  <si>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</si>
  <si>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</si>
  <si>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</si>
  <si>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</si>
  <si>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</si>
  <si>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</si>
  <si>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</si>
  <si>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</si>
  <si>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</si>
  <si>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</si>
  <si>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</si>
  <si>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</si>
  <si>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</si>
  <si>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</si>
  <si>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</si>
  <si>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</si>
  <si>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</si>
  <si>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</si>
  <si>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</si>
  <si>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</si>
  <si>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</si>
  <si>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</si>
  <si>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</si>
  <si>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</si>
  <si>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</si>
  <si>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</si>
  <si>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</si>
  <si>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</si>
  <si>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</si>
  <si>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</si>
  <si>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</si>
  <si>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</si>
  <si>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</si>
  <si>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</si>
  <si>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</si>
  <si>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</si>
  <si>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</si>
  <si>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</si>
  <si>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</si>
  <si>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</si>
  <si>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</si>
  <si>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</si>
  <si>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</si>
  <si>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</si>
  <si>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</si>
  <si>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</si>
  <si>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</si>
  <si>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</si>
  <si>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</si>
  <si>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</si>
  <si>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</si>
  <si>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</si>
  <si>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</si>
  <si>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</si>
  <si>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</si>
  <si>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</si>
  <si>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</si>
  <si>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</si>
  <si>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</si>
  <si>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</si>
  <si>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</si>
  <si>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</si>
  <si>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</si>
  <si>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</si>
  <si>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</si>
  <si>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</si>
  <si>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</si>
  <si>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</si>
  <si>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</si>
  <si>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</si>
  <si>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</si>
  <si>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</si>
  <si>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</si>
  <si>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</si>
  <si>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</si>
  <si>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</si>
  <si>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</si>
  <si>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</si>
  <si>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</si>
  <si>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</si>
  <si>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</si>
  <si>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</si>
  <si>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</si>
  <si>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</si>
  <si>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</si>
  <si>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</si>
  <si>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</si>
  <si>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</si>
  <si>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</si>
  <si>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</si>
  <si>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</si>
  <si>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</si>
  <si>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</si>
  <si>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</si>
  <si>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</si>
  <si>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</si>
  <si>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</si>
  <si>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</si>
  <si>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</si>
  <si>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</si>
  <si>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</si>
  <si>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</si>
  <si>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</si>
  <si>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</si>
  <si>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</si>
  <si>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</si>
  <si>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</si>
  <si>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</si>
  <si>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</si>
  <si>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</si>
  <si>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</si>
  <si>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</si>
  <si>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</si>
  <si>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</si>
  <si>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</si>
  <si>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</si>
  <si>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</si>
  <si>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</si>
  <si>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</si>
  <si>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</si>
  <si>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</si>
  <si>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</si>
  <si>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</si>
  <si>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</si>
  <si>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</si>
  <si>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</si>
  <si>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</si>
  <si>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</si>
  <si>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</si>
  <si>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</si>
  <si>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</si>
  <si>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</si>
  <si>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</si>
  <si>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</si>
  <si>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</si>
  <si>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</si>
  <si>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</si>
  <si>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</si>
  <si>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</si>
  <si>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</si>
  <si>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</si>
  <si>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</si>
  <si>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</si>
  <si>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</si>
  <si>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</si>
  <si>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</si>
  <si>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</si>
  <si>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</si>
  <si>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</si>
  <si>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</si>
  <si>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</si>
  <si>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</si>
  <si>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</si>
  <si>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</si>
  <si>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</si>
  <si>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</si>
  <si>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</si>
  <si>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</si>
  <si>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</si>
  <si>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</si>
  <si>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</si>
  <si>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</si>
  <si>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</si>
  <si>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</si>
  <si>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</si>
  <si>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</si>
  <si>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</si>
  <si>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</si>
  <si>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</si>
  <si>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</si>
  <si>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</si>
  <si>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</si>
  <si>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</si>
  <si>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</si>
  <si>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</si>
  <si>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</si>
  <si>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</si>
  <si>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</si>
  <si>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</si>
  <si>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</si>
  <si>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</si>
  <si>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</si>
  <si>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</si>
  <si>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</si>
  <si>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</si>
  <si>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</si>
  <si>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</si>
  <si>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</si>
  <si>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</si>
  <si>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</si>
  <si>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</si>
  <si>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</si>
  <si>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</si>
  <si>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</si>
  <si>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</si>
  <si>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</si>
  <si>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</si>
  <si>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</si>
  <si>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</si>
  <si>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</si>
  <si>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</si>
  <si>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</si>
  <si>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</si>
  <si>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</si>
  <si>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</si>
  <si>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</si>
  <si>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</si>
  <si>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</si>
  <si>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</si>
  <si>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</si>
  <si>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</si>
  <si>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</si>
  <si>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</si>
  <si>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</si>
  <si>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</si>
  <si>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</si>
  <si>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</si>
  <si>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</si>
  <si>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</si>
  <si>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</si>
  <si>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</si>
  <si>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</si>
  <si>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</si>
  <si>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</si>
  <si>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</si>
  <si>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</si>
  <si>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</si>
  <si>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</si>
  <si>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</si>
  <si>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</si>
  <si>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</si>
  <si>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</si>
  <si>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</si>
  <si>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</si>
  <si>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</si>
  <si>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</si>
  <si>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</si>
  <si>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</si>
  <si>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</si>
  <si>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</si>
  <si>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</si>
  <si>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</si>
  <si>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</si>
  <si>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</si>
  <si>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</si>
  <si>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</si>
  <si>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</si>
  <si>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</si>
  <si>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</si>
  <si>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</si>
  <si>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</si>
  <si>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</si>
  <si>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</si>
  <si>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</si>
  <si>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</si>
  <si>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</si>
  <si>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</si>
  <si>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</si>
  <si>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</si>
  <si>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</si>
  <si>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</si>
  <si>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</si>
  <si>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</si>
  <si>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</si>
  <si>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</si>
  <si>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</si>
  <si>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</si>
  <si>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</si>
  <si>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</si>
  <si>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</si>
  <si>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</si>
  <si>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</si>
  <si>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</si>
  <si>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</si>
  <si>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</si>
  <si>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</si>
  <si>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</si>
  <si>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</si>
  <si>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</si>
  <si>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</si>
  <si>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</si>
  <si>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</si>
  <si>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</si>
  <si>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</si>
  <si>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</si>
  <si>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</si>
  <si>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</si>
  <si>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</si>
  <si>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</si>
  <si>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</si>
  <si>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</si>
  <si>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</si>
  <si>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</si>
  <si>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</si>
  <si>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</si>
  <si>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</si>
  <si>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</si>
  <si>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</si>
  <si>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</si>
  <si>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</si>
  <si>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</si>
  <si>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</si>
  <si>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</si>
  <si>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</si>
  <si>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</si>
  <si>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</si>
  <si>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</si>
  <si>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</si>
  <si>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</si>
  <si>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</si>
  <si>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</si>
  <si>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</si>
  <si>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</si>
  <si>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</si>
  <si>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</si>
  <si>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</si>
  <si>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</si>
  <si>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</si>
  <si>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</si>
  <si>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</si>
  <si>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</si>
  <si>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</si>
  <si>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</si>
  <si>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</si>
  <si>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</si>
  <si>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</si>
  <si>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</si>
  <si>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</si>
  <si>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</si>
  <si>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</si>
  <si>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</si>
  <si>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</si>
  <si>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</si>
  <si>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</si>
  <si>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</si>
  <si>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</si>
  <si>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</si>
  <si>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</si>
  <si>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</si>
  <si>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</si>
  <si>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</si>
  <si>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</si>
  <si>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</si>
  <si>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</si>
  <si>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</si>
  <si>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</si>
  <si>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</si>
  <si>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</si>
  <si>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</si>
  <si>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</si>
  <si>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</si>
  <si>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</si>
  <si>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</si>
  <si>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</si>
  <si>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</si>
  <si>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</si>
  <si>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</si>
  <si>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</si>
  <si>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</si>
  <si>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</si>
  <si>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</si>
  <si>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</si>
  <si>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</si>
  <si>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</si>
  <si>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</si>
  <si>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</si>
  <si>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</si>
  <si>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</si>
  <si>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</si>
  <si>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</si>
  <si>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</si>
  <si>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</si>
  <si>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</si>
  <si>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</si>
  <si>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</si>
  <si>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</si>
  <si>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</si>
  <si>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</si>
  <si>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</si>
  <si>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</si>
  <si>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</si>
  <si>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</si>
  <si>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</si>
  <si>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</si>
  <si>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</si>
  <si>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</si>
  <si>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</si>
  <si>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</si>
  <si>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</si>
  <si>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</si>
  <si>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</si>
  <si>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</si>
  <si>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</si>
  <si>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</si>
  <si>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</si>
  <si>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</si>
  <si>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</si>
  <si>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</si>
  <si>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</si>
  <si>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</si>
  <si>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</si>
  <si>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</si>
  <si>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</si>
  <si>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</si>
  <si>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</si>
  <si>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</si>
  <si>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</si>
  <si>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</si>
  <si>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</si>
  <si>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</si>
  <si>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</si>
  <si>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</si>
  <si>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</si>
  <si>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</si>
  <si>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</si>
  <si>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</si>
  <si>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</si>
  <si>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</si>
  <si>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</si>
  <si>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</si>
  <si>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</si>
  <si>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</si>
  <si>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</si>
  <si>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</si>
  <si>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</si>
  <si>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</si>
  <si>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</si>
  <si>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</si>
  <si>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</si>
  <si>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</si>
  <si>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</si>
  <si>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</si>
  <si>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</si>
  <si>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</si>
  <si>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</si>
  <si>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</si>
  <si>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</si>
  <si>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</si>
  <si>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</si>
  <si>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</si>
  <si>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</si>
  <si>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</si>
  <si>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</si>
  <si>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</si>
  <si>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</si>
  <si>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</si>
  <si>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</si>
  <si>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</si>
  <si>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</si>
  <si>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</si>
  <si>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</si>
  <si>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</si>
  <si>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</si>
  <si>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</si>
  <si>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</si>
  <si>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</si>
  <si>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</si>
  <si>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</si>
  <si>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</si>
  <si>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</si>
  <si>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</si>
  <si>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</si>
  <si>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</si>
  <si>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</si>
  <si>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</si>
  <si>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</si>
  <si>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</si>
  <si>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</si>
  <si>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</si>
  <si>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</si>
  <si>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</si>
  <si>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</si>
  <si>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</si>
  <si>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</si>
  <si>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</si>
  <si>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</si>
  <si>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</si>
  <si>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</si>
  <si>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</si>
  <si>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</si>
  <si>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</si>
  <si>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</si>
  <si>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</si>
  <si>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</si>
  <si>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</si>
  <si>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</si>
  <si>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</si>
  <si>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</si>
  <si>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</si>
  <si>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</si>
  <si>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</si>
  <si>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</si>
  <si>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</si>
  <si>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</si>
  <si>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</si>
  <si>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</si>
  <si>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</si>
  <si>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</si>
  <si>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</si>
  <si>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</si>
  <si>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</si>
  <si>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</si>
  <si>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</si>
  <si>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</si>
  <si>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</si>
  <si>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</si>
  <si>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</si>
  <si>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</si>
  <si>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</si>
  <si>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</si>
  <si>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</si>
  <si>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</si>
  <si>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</si>
  <si>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</si>
  <si>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</si>
  <si>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</si>
  <si>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</si>
  <si>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</si>
  <si>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</si>
  <si>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</si>
  <si>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</si>
  <si>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</si>
  <si>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</si>
  <si>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</si>
  <si>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</si>
  <si>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</si>
  <si>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</si>
  <si>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</si>
  <si>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</si>
  <si>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</si>
  <si>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</si>
  <si>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</si>
  <si>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</si>
  <si>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</si>
  <si>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</si>
  <si>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</si>
  <si>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</si>
  <si>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</si>
  <si>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</si>
  <si>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</si>
  <si>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</si>
  <si>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</si>
  <si>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</si>
  <si>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</si>
  <si>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</si>
  <si>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</si>
  <si>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</si>
  <si>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</si>
  <si>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</si>
  <si>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</si>
  <si>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</si>
  <si>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</si>
  <si>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</si>
  <si>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</si>
  <si>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</si>
  <si>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</si>
  <si>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</si>
  <si>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</si>
  <si>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</si>
  <si>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</si>
  <si>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</si>
  <si>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</si>
  <si>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</si>
  <si>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</si>
  <si>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</si>
  <si>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</si>
  <si>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</si>
  <si>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</si>
  <si>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</si>
  <si>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</si>
  <si>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</si>
  <si>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</si>
  <si>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</si>
  <si>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</si>
  <si>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</si>
  <si>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</si>
  <si>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</si>
  <si>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</si>
  <si>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</si>
  <si>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</si>
  <si>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</si>
  <si>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</si>
  <si>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</si>
  <si>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</si>
  <si>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</si>
  <si>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</si>
  <si>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</si>
  <si>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</si>
  <si>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</si>
  <si>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</si>
  <si>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</si>
  <si>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</si>
  <si>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</si>
  <si>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</si>
  <si>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</si>
  <si>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</si>
  <si>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</si>
  <si>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</si>
  <si>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</si>
  <si>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</si>
  <si>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</si>
  <si>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</si>
  <si>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</si>
  <si>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</si>
  <si>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</si>
  <si>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</si>
  <si>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</si>
  <si>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</si>
  <si>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</si>
  <si>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</si>
  <si>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</si>
  <si>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</si>
  <si>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</si>
  <si>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</si>
  <si>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</si>
  <si>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</si>
  <si>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</si>
  <si>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</si>
  <si>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</si>
  <si>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</si>
  <si>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</si>
  <si>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</si>
  <si>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</si>
  <si>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</si>
  <si>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</si>
  <si>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</si>
  <si>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</si>
  <si>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</si>
  <si>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</si>
  <si>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</si>
  <si>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</si>
  <si>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</si>
  <si>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</si>
  <si>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</si>
  <si>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</si>
  <si>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</si>
  <si>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</si>
  <si>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</si>
  <si>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</si>
  <si>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</si>
  <si>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</si>
  <si>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</si>
  <si>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</si>
  <si>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</si>
  <si>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</si>
  <si>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</si>
  <si>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</si>
  <si>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</si>
  <si>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</si>
  <si>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</si>
  <si>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</si>
  <si>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</si>
  <si>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</si>
  <si>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</si>
  <si>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</si>
  <si>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</si>
  <si>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</si>
  <si>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</si>
  <si>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</si>
  <si>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</si>
  <si>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</si>
  <si>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</si>
  <si>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</si>
  <si>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</si>
  <si>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</si>
  <si>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</si>
  <si>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</si>
  <si>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</si>
  <si>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</si>
  <si>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</si>
  <si>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</si>
  <si>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</si>
  <si>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</si>
  <si>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</si>
  <si>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</si>
  <si>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</si>
  <si>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</si>
  <si>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</si>
  <si>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</si>
  <si>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</si>
  <si>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</si>
  <si>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</si>
  <si>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</si>
  <si>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</si>
  <si>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</si>
  <si>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</si>
  <si>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</si>
  <si>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</si>
  <si>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</si>
  <si>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</si>
  <si>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</si>
  <si>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</si>
  <si>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</si>
  <si>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</si>
  <si>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</si>
  <si>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</si>
  <si>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</si>
  <si>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</si>
  <si>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</si>
  <si>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</si>
  <si>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</si>
  <si>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</si>
  <si>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</si>
  <si>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</si>
  <si>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</si>
  <si>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</si>
  <si>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</si>
  <si>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</si>
  <si>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</si>
  <si>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</si>
  <si>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</si>
  <si>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</si>
  <si>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</si>
  <si>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</si>
  <si>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</si>
  <si>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</si>
  <si>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</si>
  <si>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</si>
  <si>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</si>
  <si>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</si>
  <si>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</si>
  <si>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</si>
  <si>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</si>
  <si>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</si>
  <si>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</si>
  <si>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</si>
  <si>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</si>
  <si>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</si>
  <si>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</si>
  <si>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</si>
  <si>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</si>
  <si>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</si>
  <si>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</si>
  <si>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</si>
  <si>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</si>
  <si>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</si>
  <si>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</si>
  <si>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</si>
  <si>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</si>
  <si>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</si>
  <si>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</si>
  <si>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</si>
  <si>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</si>
  <si>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</si>
  <si>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</si>
  <si>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</si>
  <si>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</si>
  <si>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</si>
  <si>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</si>
  <si>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</si>
  <si>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</si>
  <si>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</si>
  <si>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</si>
  <si>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</si>
  <si>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</si>
  <si>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</si>
  <si>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</si>
  <si>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</si>
  <si>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</si>
  <si>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</si>
  <si>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</si>
  <si>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</si>
  <si>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</si>
  <si>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</si>
  <si>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</si>
  <si>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</si>
  <si>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</si>
  <si>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</si>
  <si>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</si>
  <si>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</si>
  <si>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</si>
  <si>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</si>
  <si>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</si>
  <si>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</si>
  <si>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</si>
  <si>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</si>
  <si>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</si>
  <si>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</si>
  <si>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</si>
  <si>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</si>
  <si>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</si>
  <si>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</si>
  <si>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</si>
  <si>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</si>
  <si>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</si>
  <si>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</si>
  <si>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</si>
  <si>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</si>
  <si>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</si>
  <si>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</si>
  <si>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</si>
  <si>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</si>
  <si>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</si>
  <si>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</si>
  <si>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</si>
  <si>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</si>
  <si>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</si>
  <si>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</si>
  <si>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</si>
  <si>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</si>
  <si>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</si>
  <si>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</si>
  <si>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</si>
  <si>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</si>
  <si>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</si>
  <si>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</si>
  <si>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</si>
  <si>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</si>
  <si>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</si>
  <si>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</si>
  <si>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</si>
  <si>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</si>
  <si>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</si>
  <si>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</si>
  <si>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</si>
  <si>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</si>
  <si>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</si>
  <si>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</si>
  <si>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</si>
  <si>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</si>
  <si>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</si>
  <si>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</si>
  <si>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</si>
  <si>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</si>
  <si>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</si>
  <si>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</si>
  <si>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</si>
  <si>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</si>
  <si>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</si>
  <si>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</si>
  <si>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</si>
  <si>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</si>
  <si>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</si>
  <si>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</si>
  <si>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</si>
  <si>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</si>
  <si>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</si>
  <si>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</si>
  <si>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</si>
  <si>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</si>
  <si>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</si>
  <si>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</si>
  <si>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</si>
  <si>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</si>
  <si>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</si>
  <si>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</si>
  <si>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</si>
  <si>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</si>
  <si>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</si>
  <si>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</si>
  <si>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</si>
  <si>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</si>
  <si>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</si>
  <si>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</si>
  <si>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</si>
  <si>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</si>
  <si>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</si>
  <si>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</si>
  <si>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</si>
  <si>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</si>
  <si>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</si>
  <si>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</si>
  <si>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</si>
  <si>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</si>
  <si>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</si>
  <si>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</si>
  <si>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</si>
  <si>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</si>
  <si>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</si>
  <si>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</si>
  <si>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</si>
  <si>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</si>
  <si>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</si>
  <si>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</si>
  <si>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</si>
  <si>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</si>
  <si>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</si>
  <si>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</si>
  <si>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</si>
  <si>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</si>
  <si>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</si>
  <si>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</si>
  <si>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</si>
  <si>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</si>
  <si>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</si>
  <si>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</si>
  <si>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</si>
  <si>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</si>
  <si>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</si>
  <si>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</si>
  <si>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</si>
  <si>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</si>
  <si>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</si>
  <si>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</si>
  <si>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</si>
  <si>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</si>
  <si>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</si>
  <si>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</si>
  <si>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</si>
  <si>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</si>
  <si>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</si>
  <si>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</si>
  <si>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</si>
  <si>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</si>
  <si>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</si>
  <si>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</si>
  <si>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</si>
  <si>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</si>
  <si>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</si>
  <si>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</si>
  <si>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</si>
  <si>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</si>
  <si>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</si>
  <si>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</si>
  <si>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</si>
  <si>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</si>
  <si>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</si>
  <si>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</si>
  <si>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</si>
  <si>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</si>
  <si>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</si>
  <si>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</si>
  <si>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</si>
  <si>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</si>
  <si>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</si>
  <si>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</si>
  <si>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</si>
  <si>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</si>
  <si>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</si>
  <si>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</si>
  <si>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</si>
  <si>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</si>
  <si>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</si>
  <si>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</si>
  <si>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</si>
  <si>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</si>
  <si>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</si>
  <si>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</si>
  <si>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</si>
  <si>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</si>
  <si>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</si>
  <si>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</si>
  <si>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</si>
  <si>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</si>
  <si>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</si>
  <si>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</si>
  <si>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</si>
  <si>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</si>
  <si>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</si>
  <si>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</si>
  <si>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</si>
  <si>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</si>
  <si>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</si>
  <si>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</si>
  <si>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</si>
  <si>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</si>
  <si>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</si>
  <si>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</si>
  <si>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</si>
  <si>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</si>
  <si>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</si>
  <si>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</si>
  <si>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</si>
  <si>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</si>
  <si>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</si>
  <si>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</si>
  <si>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</si>
  <si>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</si>
  <si>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</si>
  <si>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</si>
  <si>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</si>
  <si>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</si>
  <si>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</si>
  <si>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</si>
  <si>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</si>
  <si>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</si>
  <si>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</si>
  <si>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</si>
  <si>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</si>
  <si>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</si>
  <si>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</si>
  <si>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</si>
  <si>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</si>
  <si>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</si>
  <si>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</si>
  <si>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</si>
  <si>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</si>
  <si>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</si>
  <si>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</si>
  <si>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</si>
  <si>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</si>
  <si>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</si>
  <si>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</si>
  <si>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</si>
  <si>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</si>
  <si>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</si>
  <si>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</si>
  <si>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</si>
  <si>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</si>
  <si>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</si>
  <si>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</si>
  <si>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</si>
  <si>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</si>
  <si>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</si>
  <si>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</si>
  <si>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</si>
  <si>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</si>
  <si>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</si>
  <si>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</si>
  <si>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</si>
  <si>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</si>
  <si>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</si>
  <si>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</si>
  <si>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</si>
  <si>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</si>
  <si>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</si>
  <si>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</si>
  <si>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</si>
  <si>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</si>
  <si>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</si>
  <si>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</si>
  <si>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</si>
  <si>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</si>
  <si>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</si>
  <si>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</si>
  <si>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</si>
  <si>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</si>
  <si>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</si>
  <si>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</si>
  <si>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</si>
  <si>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</si>
  <si>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</si>
  <si>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</si>
  <si>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</si>
  <si>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</si>
  <si>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</si>
  <si>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</si>
  <si>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</si>
  <si>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</si>
  <si>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</si>
  <si>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</si>
  <si>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</si>
  <si>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</si>
  <si>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</si>
  <si>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</si>
  <si>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</si>
  <si>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</si>
  <si>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</si>
  <si>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</si>
  <si>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</si>
  <si>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</si>
  <si>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</si>
  <si>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</si>
  <si>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</si>
  <si>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</si>
  <si>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</si>
  <si>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</si>
  <si>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</si>
  <si>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</si>
  <si>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</si>
  <si>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</si>
  <si>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</si>
  <si>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</si>
  <si>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</si>
  <si>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</si>
  <si>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</si>
  <si>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</si>
  <si>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</si>
  <si>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</si>
  <si>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</si>
  <si>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</si>
  <si>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</si>
  <si>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</si>
  <si>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</si>
  <si>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</si>
  <si>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</si>
  <si>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</si>
  <si>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</si>
  <si>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</si>
  <si>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</si>
  <si>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</si>
  <si>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</si>
  <si>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</si>
  <si>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</si>
  <si>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</si>
  <si>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</si>
  <si>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</si>
  <si>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</si>
  <si>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</si>
  <si>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</si>
  <si>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</si>
  <si>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</si>
  <si>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</si>
  <si>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</si>
  <si>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</si>
  <si>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</si>
  <si>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</si>
  <si>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</si>
  <si>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</si>
  <si>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</si>
  <si>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</si>
  <si>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</si>
  <si>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</si>
  <si>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</si>
  <si>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</si>
  <si>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</si>
  <si>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</si>
  <si>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</si>
  <si>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</si>
  <si>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</si>
  <si>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</si>
  <si>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</si>
  <si>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LA SALLE</t>
  </si>
  <si>
    <t>400 W. MAIN STREET</t>
  </si>
  <si>
    <t>GRAND RIDGE, ILLINOIS</t>
  </si>
  <si>
    <t>SANDET@GRGS95.ORG</t>
  </si>
  <si>
    <t>NEWKIRK &amp; ASSOCIATES, INC.</t>
  </si>
  <si>
    <t>WILLIAM J. NEWKIRK</t>
  </si>
  <si>
    <t>2 W. MAIN STREET</t>
  </si>
  <si>
    <t>PLANO</t>
  </si>
  <si>
    <t>IL</t>
  </si>
  <si>
    <t>630-552-1040</t>
  </si>
  <si>
    <t>630-552-7399</t>
  </si>
  <si>
    <t>066-004656</t>
  </si>
  <si>
    <t>BNEWKIRK@NEWKIRKCPAS.COM</t>
  </si>
  <si>
    <t>TED SANDERS</t>
  </si>
  <si>
    <t>815-249-6225</t>
  </si>
  <si>
    <t>815-249-5049</t>
  </si>
  <si>
    <t>General Obligation Debt Certificates</t>
  </si>
  <si>
    <t>2014 Working Cash Fund/Refunding Bonds</t>
  </si>
  <si>
    <t>1 &amp; 3</t>
  </si>
  <si>
    <t>Debt Certificates</t>
  </si>
  <si>
    <t>ED-Special Education-Purchased Services</t>
  </si>
  <si>
    <t>10-1200-300</t>
  </si>
  <si>
    <t>Hillman Pediatric</t>
  </si>
  <si>
    <t>ED-Educational Media Service-Purchased Services</t>
  </si>
  <si>
    <t>10-2220-300</t>
  </si>
  <si>
    <t>Applebee Technology</t>
  </si>
  <si>
    <t>Ed-Special Education Programs-Purchased Services</t>
  </si>
  <si>
    <t>10-4120-300</t>
  </si>
  <si>
    <t>LEASE</t>
  </si>
  <si>
    <t>Ed-Special Education Programs-Other</t>
  </si>
  <si>
    <t>10-4220-600</t>
  </si>
  <si>
    <t>Circuit Breaker School</t>
  </si>
  <si>
    <t>Transportation-Other Support Svcs Pupils- Purchased Svcs</t>
  </si>
  <si>
    <t>40-2190-300</t>
  </si>
  <si>
    <t>IL Central School Bus</t>
  </si>
  <si>
    <t>Transportation-Pupil Transportation- Purchased Svcs</t>
  </si>
  <si>
    <t>40-2550-300</t>
  </si>
  <si>
    <t>TRANSPORTATION WITH A PERSONAL TOUCH INC</t>
  </si>
  <si>
    <t>x</t>
  </si>
  <si>
    <t>LaSalle County ROE</t>
  </si>
  <si>
    <t>NextEra Energy</t>
  </si>
  <si>
    <t>Deer Park #82, Lostant CUSD #425, and Tonica CCSD #79</t>
  </si>
  <si>
    <t>L.E.A.S.E.</t>
  </si>
  <si>
    <t>Ahtletic Co-op Deer Park</t>
  </si>
  <si>
    <t>ACCT.</t>
  </si>
  <si>
    <t>PAGE</t>
  </si>
  <si>
    <t>FUND</t>
  </si>
  <si>
    <t>LINE #</t>
  </si>
  <si>
    <t>DESCRIPTION</t>
  </si>
  <si>
    <t>AMOUNT</t>
  </si>
  <si>
    <t>Milk sales</t>
  </si>
  <si>
    <t>Credit card fees</t>
  </si>
  <si>
    <t>Reimbursements</t>
  </si>
  <si>
    <t>Library grant</t>
  </si>
  <si>
    <t>REAP Grant</t>
  </si>
  <si>
    <t>Breakfast and noon supervisors</t>
  </si>
  <si>
    <t>Assemblies</t>
  </si>
  <si>
    <t>Graduation and PBIS supplies</t>
  </si>
  <si>
    <t>ROE Co-op and United Streaming</t>
  </si>
  <si>
    <t>Paying Agent Fees</t>
  </si>
  <si>
    <t>Bus monitoring</t>
  </si>
  <si>
    <t xml:space="preserve">FICA taxes for noon supervisors </t>
  </si>
  <si>
    <t>Grand Ridge CCSD 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</si>
</sst>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3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0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1" fillId="0" borderId="157" xfId="22" applyFont="1" applyBorder="1" applyAlignment="1" applyProtection="1">
      <alignment vertical="top"/>
      <protection locked="0"/>
    </xf>
    <xf numFmtId="49" fontId="1" fillId="0" borderId="157" xfId="22" applyNumberFormat="1" applyFont="1" applyBorder="1" applyAlignment="1" applyProtection="1">
      <alignment horizontal="center" vertical="top"/>
      <protection locked="0"/>
    </xf>
    <xf numFmtId="0" fontId="1" fillId="0" borderId="157" xfId="22" applyFont="1" applyBorder="1" applyAlignment="1" applyProtection="1">
      <alignment horizontal="left" vertical="top" wrapText="1"/>
      <protection locked="0"/>
    </xf>
    <xf numFmtId="49" fontId="132" fillId="0" borderId="105" xfId="30" applyNumberFormat="1" applyFont="1" applyBorder="1" applyAlignment="1" applyProtection="1">
      <alignment horizontal="center" vertical="center"/>
      <protection locked="0"/>
    </xf>
    <xf numFmtId="49" fontId="132" fillId="0" borderId="109" xfId="30" applyNumberFormat="1" applyFont="1" applyFill="1" applyBorder="1" applyAlignment="1" applyProtection="1">
      <alignment horizontal="center" vertical="center"/>
      <protection locked="0"/>
    </xf>
    <xf numFmtId="0" fontId="99" fillId="0" borderId="105" xfId="30" applyFont="1" applyBorder="1" applyProtection="1">
      <protection locked="0"/>
    </xf>
    <xf numFmtId="49" fontId="132" fillId="0" borderId="107" xfId="30" applyNumberFormat="1" applyFont="1" applyFill="1" applyBorder="1" applyAlignment="1" applyProtection="1">
      <alignment horizontal="center" vertical="center"/>
      <protection locked="0"/>
    </xf>
    <xf numFmtId="0" fontId="0" fillId="0" borderId="0" xfId="0" applyFill="1"/>
    <xf numFmtId="0" fontId="9" fillId="0" borderId="0" xfId="0" applyFont="1" applyFill="1"/>
    <xf numFmtId="164" fontId="9" fillId="0" borderId="78" xfId="0" applyNumberFormat="1" applyFont="1" applyFill="1" applyBorder="1"/>
    <xf numFmtId="164" fontId="9" fillId="0" borderId="0" xfId="0" applyNumberFormat="1" applyFont="1" applyFill="1" applyBorder="1"/>
    <xf numFmtId="0" fontId="0" fillId="0" borderId="78" xfId="0" applyFill="1" applyBorder="1"/>
    <xf numFmtId="164" fontId="10" fillId="0" borderId="0" xfId="0" applyNumberFormat="1" applyFont="1" applyFill="1"/>
    <xf numFmtId="0" fontId="9" fillId="0" borderId="0" xfId="0" applyNumberFormat="1" applyFont="1" applyFill="1"/>
    <xf numFmtId="164" fontId="9" fillId="0" borderId="0" xfId="0" applyNumberFormat="1" applyFont="1" applyFill="1"/>
    <xf numFmtId="181" fontId="9" fillId="0" borderId="0" xfId="1" applyNumberFormat="1" applyFont="1" applyFill="1"/>
    <xf numFmtId="181" fontId="9" fillId="0" borderId="78" xfId="1" applyNumberFormat="1" applyFont="1" applyFill="1" applyBorder="1"/>
    <xf numFmtId="0" fontId="0" fillId="0" borderId="0" xfId="0" applyNumberFormat="1" applyFill="1"/>
    <xf numFmtId="164" fontId="0" fillId="0" borderId="0" xfId="0" applyNumberFormat="1" applyFill="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31">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30"/>
    <cellStyle name="Normal 3 2 2 3" xfId="23"/>
    <cellStyle name="Normal 3 2 3" xfId="28"/>
    <cellStyle name="Normal 3 2 4" xfId="25"/>
    <cellStyle name="Normal 3 2 5" xfId="20"/>
    <cellStyle name="Normal 3 3" xfId="29"/>
    <cellStyle name="Normal 3 4" xfId="27"/>
    <cellStyle name="Normal 3 5" xfId="24"/>
    <cellStyle name="Normal 3 6" xfId="19"/>
    <cellStyle name="Normal 4" xfId="16"/>
    <cellStyle name="Normal 4 2" xfId="26"/>
    <cellStyle name="Normal 4 3" xfId="21"/>
    <cellStyle name="Normal 5" xfId="17"/>
    <cellStyle name="Normal 5 2" xfId="22"/>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123825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25977</xdr:colOff>
          <xdr:row>1</xdr:row>
          <xdr:rowOff>0</xdr:rowOff>
        </xdr:from>
        <xdr:to>
          <xdr:col>1</xdr:col>
          <xdr:colOff>940377</xdr:colOff>
          <xdr:row>5</xdr:row>
          <xdr:rowOff>123825</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33" t="s">
        <v>405</v>
      </c>
      <c r="J1" s="2034"/>
      <c r="K1" s="2034"/>
      <c r="L1" s="2034"/>
      <c r="M1" s="2034"/>
      <c r="N1" s="2034"/>
      <c r="O1" s="2034"/>
      <c r="P1" s="2034"/>
      <c r="Q1" s="2034"/>
      <c r="R1" s="2034"/>
      <c r="S1" s="2034"/>
    </row>
    <row r="2" spans="1:28" ht="12" customHeight="1" x14ac:dyDescent="0.2">
      <c r="A2" s="47" t="s">
        <v>1993</v>
      </c>
      <c r="D2" s="48"/>
      <c r="I2" s="2035" t="s">
        <v>979</v>
      </c>
      <c r="J2" s="2034"/>
      <c r="K2" s="2034"/>
      <c r="L2" s="2034"/>
      <c r="M2" s="2034"/>
      <c r="N2" s="2034"/>
      <c r="O2" s="2034"/>
      <c r="P2" s="2034"/>
      <c r="Q2" s="2034"/>
      <c r="R2" s="2034"/>
      <c r="S2" s="2034"/>
    </row>
    <row r="3" spans="1:28" ht="12" customHeight="1" x14ac:dyDescent="0.2">
      <c r="A3" s="155" t="s">
        <v>1945</v>
      </c>
      <c r="B3" s="156"/>
      <c r="C3" s="156"/>
      <c r="D3" s="157"/>
      <c r="I3" s="2035" t="s">
        <v>52</v>
      </c>
      <c r="J3" s="2034"/>
      <c r="K3" s="2034"/>
      <c r="L3" s="2034"/>
      <c r="M3" s="2034"/>
      <c r="N3" s="2034"/>
      <c r="O3" s="2034"/>
      <c r="P3" s="2034"/>
      <c r="Q3" s="2034"/>
      <c r="R3" s="2034"/>
      <c r="S3" s="2034"/>
    </row>
    <row r="4" spans="1:28" ht="12" customHeight="1" x14ac:dyDescent="0.2">
      <c r="A4" s="37"/>
      <c r="I4" s="2035" t="s">
        <v>524</v>
      </c>
      <c r="J4" s="2034"/>
      <c r="K4" s="2034"/>
      <c r="L4" s="2034"/>
      <c r="M4" s="2034"/>
      <c r="N4" s="2034"/>
      <c r="O4" s="2034"/>
      <c r="P4" s="2034"/>
      <c r="Q4" s="2034"/>
      <c r="R4" s="2034"/>
      <c r="S4" s="2034"/>
    </row>
    <row r="5" spans="1:28" ht="14.1" customHeight="1" x14ac:dyDescent="0.2">
      <c r="B5" s="104" t="s">
        <v>2064</v>
      </c>
      <c r="C5" s="26" t="s">
        <v>910</v>
      </c>
      <c r="D5" s="84"/>
      <c r="E5" s="84"/>
      <c r="H5" s="38"/>
      <c r="I5" s="2042" t="s">
        <v>680</v>
      </c>
      <c r="J5" s="1987"/>
      <c r="K5" s="1987"/>
      <c r="L5" s="1987"/>
      <c r="M5" s="1987"/>
      <c r="N5" s="1987"/>
      <c r="O5" s="1987"/>
      <c r="P5" s="1987"/>
      <c r="Q5" s="1987"/>
      <c r="R5" s="1987"/>
      <c r="S5" s="1987"/>
    </row>
    <row r="6" spans="1:28" ht="14.1" customHeight="1" x14ac:dyDescent="0.2">
      <c r="B6" s="104"/>
      <c r="C6" s="26" t="s">
        <v>911</v>
      </c>
      <c r="D6" s="84"/>
      <c r="E6" s="84"/>
      <c r="I6" s="2041" t="s">
        <v>883</v>
      </c>
      <c r="J6" s="1987"/>
      <c r="K6" s="1987"/>
      <c r="L6" s="1987"/>
      <c r="M6" s="1987"/>
      <c r="N6" s="1987"/>
      <c r="O6" s="1987"/>
      <c r="P6" s="1987"/>
      <c r="Q6" s="1987"/>
      <c r="R6" s="1987"/>
      <c r="S6" s="1987"/>
    </row>
    <row r="7" spans="1:28" ht="12.2" customHeight="1" x14ac:dyDescent="0.2">
      <c r="I7" s="2036">
        <v>43646</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674</v>
      </c>
      <c r="J9" s="2039"/>
      <c r="K9" s="2039"/>
      <c r="L9" s="2039"/>
      <c r="M9" s="2039"/>
      <c r="N9" s="2039"/>
      <c r="O9" s="2039"/>
      <c r="P9" s="2039"/>
      <c r="Q9" s="2039"/>
      <c r="R9" s="2039"/>
      <c r="S9" s="2040"/>
      <c r="T9" s="1983" t="s">
        <v>533</v>
      </c>
      <c r="U9" s="1984"/>
      <c r="V9" s="1984"/>
      <c r="W9" s="1984"/>
      <c r="X9" s="1984"/>
      <c r="Y9" s="1984"/>
      <c r="Z9" s="1984"/>
      <c r="AA9" s="1985"/>
    </row>
    <row r="10" spans="1:28" ht="13.5" customHeight="1" x14ac:dyDescent="0.2">
      <c r="A10" s="1992" t="s">
        <v>675</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955</v>
      </c>
      <c r="B11" s="1996"/>
      <c r="C11" s="1996"/>
      <c r="D11" s="1996"/>
      <c r="E11" s="1996"/>
      <c r="F11" s="1996"/>
      <c r="G11" s="1996"/>
      <c r="H11" s="1997"/>
      <c r="I11" s="27"/>
      <c r="J11" s="74"/>
      <c r="K11" s="27"/>
      <c r="O11" s="148" t="s">
        <v>2064</v>
      </c>
      <c r="P11" s="100" t="s">
        <v>201</v>
      </c>
      <c r="Q11" s="30"/>
      <c r="R11" s="28"/>
      <c r="S11" s="27"/>
      <c r="T11" s="1989"/>
      <c r="U11" s="1990"/>
      <c r="V11" s="1990"/>
      <c r="W11" s="1990"/>
      <c r="X11" s="1990"/>
      <c r="Y11" s="1990"/>
      <c r="Z11" s="1990"/>
      <c r="AA11" s="199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3">
        <v>35050095004</v>
      </c>
      <c r="B13" s="2004"/>
      <c r="C13" s="2004"/>
      <c r="D13" s="2004"/>
      <c r="E13" s="2004"/>
      <c r="F13" s="2004"/>
      <c r="G13" s="2004"/>
      <c r="H13" s="2005"/>
      <c r="I13" s="31"/>
      <c r="J13" s="30"/>
      <c r="K13" s="28"/>
      <c r="L13" s="30"/>
      <c r="M13" s="30"/>
      <c r="N13" s="30"/>
      <c r="O13" s="30"/>
      <c r="P13" s="30"/>
      <c r="Q13" s="30"/>
      <c r="R13" s="30"/>
      <c r="S13" s="30"/>
      <c r="T13" s="2008" t="s">
        <v>2069</v>
      </c>
      <c r="U13" s="2009"/>
      <c r="V13" s="2009"/>
      <c r="W13" s="2009"/>
      <c r="X13" s="2009"/>
      <c r="Y13" s="2010"/>
      <c r="Z13" s="2010"/>
      <c r="AA13" s="201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1" t="s">
        <v>2065</v>
      </c>
      <c r="B15" s="2006"/>
      <c r="C15" s="2006"/>
      <c r="D15" s="2006"/>
      <c r="E15" s="2006"/>
      <c r="F15" s="2006"/>
      <c r="G15" s="2006"/>
      <c r="H15" s="2007"/>
      <c r="T15" s="1969" t="s">
        <v>2070</v>
      </c>
      <c r="U15" s="1970"/>
      <c r="V15" s="1970"/>
      <c r="W15" s="1970"/>
      <c r="X15" s="1970"/>
      <c r="Y15" s="2012"/>
      <c r="Z15" s="2012"/>
      <c r="AA15" s="201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1" t="s">
        <v>2127</v>
      </c>
      <c r="B17" s="2031"/>
      <c r="C17" s="2031"/>
      <c r="D17" s="2031"/>
      <c r="E17" s="2031"/>
      <c r="F17" s="2031"/>
      <c r="G17" s="2031"/>
      <c r="H17" s="2032"/>
      <c r="T17" s="2018" t="s">
        <v>2071</v>
      </c>
      <c r="U17" s="2019"/>
      <c r="V17" s="2019"/>
      <c r="W17" s="2019"/>
      <c r="X17" s="2019"/>
      <c r="Y17" s="2019"/>
      <c r="Z17" s="2019"/>
      <c r="AA17" s="2020"/>
    </row>
    <row r="18" spans="1:27" ht="13.5" customHeight="1" x14ac:dyDescent="0.2">
      <c r="A18" s="85" t="s">
        <v>530</v>
      </c>
      <c r="B18" s="76"/>
      <c r="C18" s="72"/>
      <c r="D18" s="76"/>
      <c r="E18" s="76"/>
      <c r="F18" s="76"/>
      <c r="G18" s="76"/>
      <c r="H18" s="56"/>
      <c r="I18" s="2028" t="s">
        <v>676</v>
      </c>
      <c r="J18" s="2029"/>
      <c r="K18" s="2029"/>
      <c r="L18" s="2029"/>
      <c r="M18" s="2029"/>
      <c r="N18" s="2029"/>
      <c r="O18" s="2029"/>
      <c r="P18" s="2029"/>
      <c r="Q18" s="2029"/>
      <c r="R18" s="2029"/>
      <c r="S18" s="2030"/>
      <c r="T18" s="85" t="s">
        <v>711</v>
      </c>
      <c r="U18" s="51"/>
      <c r="V18" s="72"/>
      <c r="W18" s="50"/>
      <c r="X18" s="85" t="s">
        <v>266</v>
      </c>
      <c r="Y18" s="81"/>
      <c r="Z18" s="159" t="s">
        <v>677</v>
      </c>
      <c r="AA18" s="46"/>
    </row>
    <row r="19" spans="1:27" ht="13.5" customHeight="1" x14ac:dyDescent="0.2">
      <c r="A19" s="2001" t="s">
        <v>2066</v>
      </c>
      <c r="B19" s="2002"/>
      <c r="C19" s="2002"/>
      <c r="D19" s="2002"/>
      <c r="E19" s="2002"/>
      <c r="F19" s="2002"/>
      <c r="G19" s="2002"/>
      <c r="H19" s="2000"/>
      <c r="I19" s="30"/>
      <c r="J19" s="99"/>
      <c r="K19" s="40"/>
      <c r="L19" s="38"/>
      <c r="M19" s="112" t="s">
        <v>315</v>
      </c>
      <c r="P19" s="27"/>
      <c r="Q19" s="27"/>
      <c r="R19" s="27"/>
      <c r="S19" s="31"/>
      <c r="T19" s="2001" t="s">
        <v>2072</v>
      </c>
      <c r="U19" s="1999"/>
      <c r="V19" s="1999"/>
      <c r="W19" s="2000"/>
      <c r="X19" s="2016" t="s">
        <v>2073</v>
      </c>
      <c r="Y19" s="2017"/>
      <c r="Z19" s="2014">
        <v>60545</v>
      </c>
      <c r="AA19" s="201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8" t="s">
        <v>2067</v>
      </c>
      <c r="B21" s="1999"/>
      <c r="C21" s="1999"/>
      <c r="D21" s="1999"/>
      <c r="E21" s="1999"/>
      <c r="F21" s="1999"/>
      <c r="G21" s="1999"/>
      <c r="H21" s="2000"/>
      <c r="I21" s="2024" t="s">
        <v>678</v>
      </c>
      <c r="J21" s="1987"/>
      <c r="K21" s="1987"/>
      <c r="L21" s="1987"/>
      <c r="M21" s="1987"/>
      <c r="N21" s="1987"/>
      <c r="O21" s="1987"/>
      <c r="P21" s="1987"/>
      <c r="Q21" s="1987"/>
      <c r="R21" s="1987"/>
      <c r="S21" s="1988"/>
      <c r="T21" s="1966" t="s">
        <v>2074</v>
      </c>
      <c r="U21" s="1967"/>
      <c r="V21" s="1967"/>
      <c r="W21" s="1967"/>
      <c r="X21" s="1980" t="s">
        <v>2075</v>
      </c>
      <c r="Y21" s="1981"/>
      <c r="Z21" s="1981"/>
      <c r="AA21" s="1982"/>
    </row>
    <row r="22" spans="1:27" ht="13.5" customHeight="1" x14ac:dyDescent="0.2">
      <c r="A22" s="87" t="s">
        <v>531</v>
      </c>
      <c r="B22" s="59"/>
      <c r="C22" s="59"/>
      <c r="D22" s="59"/>
      <c r="E22" s="59"/>
      <c r="F22" s="59"/>
      <c r="G22" s="59"/>
      <c r="H22" s="60"/>
      <c r="I22" s="2025" t="s">
        <v>1429</v>
      </c>
      <c r="J22" s="2026"/>
      <c r="K22" s="2026"/>
      <c r="L22" s="2026"/>
      <c r="M22" s="2026"/>
      <c r="N22" s="2026"/>
      <c r="O22" s="2026"/>
      <c r="P22" s="2026"/>
      <c r="Q22" s="2026"/>
      <c r="R22" s="2026"/>
      <c r="S22" s="2027"/>
      <c r="T22" s="85" t="s">
        <v>1516</v>
      </c>
      <c r="U22" s="51"/>
      <c r="V22" s="72"/>
      <c r="W22" s="51"/>
      <c r="X22" s="160" t="s">
        <v>1318</v>
      </c>
      <c r="Z22" s="45"/>
      <c r="AA22" s="46"/>
    </row>
    <row r="23" spans="1:27" ht="13.5" customHeight="1" x14ac:dyDescent="0.2">
      <c r="A23" s="2021" t="s">
        <v>2068</v>
      </c>
      <c r="B23" s="2022"/>
      <c r="C23" s="2022"/>
      <c r="D23" s="2022"/>
      <c r="E23" s="2022"/>
      <c r="F23" s="2022"/>
      <c r="G23" s="2022"/>
      <c r="H23" s="2023"/>
      <c r="T23" s="1961" t="s">
        <v>2076</v>
      </c>
      <c r="U23" s="1962"/>
      <c r="V23" s="1962"/>
      <c r="W23" s="1962"/>
      <c r="X23" s="1977">
        <v>44530</v>
      </c>
      <c r="Y23" s="1978"/>
      <c r="Z23" s="1978"/>
      <c r="AA23" s="1979"/>
    </row>
    <row r="24" spans="1:27" ht="14.1" customHeight="1" x14ac:dyDescent="0.2">
      <c r="A24" s="88" t="s">
        <v>677</v>
      </c>
      <c r="B24" s="49"/>
      <c r="C24" s="49"/>
      <c r="D24" s="49"/>
      <c r="E24" s="49"/>
      <c r="F24" s="49"/>
      <c r="G24" s="49"/>
      <c r="H24" s="61"/>
      <c r="J24" s="2063">
        <f>IF(B5="x",IF(AUDITCHECK!D29="AFR form Incomplete.","",IF(AUDITCHECK!D29="Deficit reduction plan is required.","School District must complete a deficit reduction plan in the 2019-2020 Budget",)),"")</f>
        <v>0</v>
      </c>
      <c r="K24" s="2063"/>
      <c r="L24" s="2063"/>
      <c r="M24" s="2063"/>
      <c r="N24" s="2063"/>
      <c r="O24" s="2063"/>
      <c r="P24" s="2063"/>
      <c r="Q24" s="2063"/>
      <c r="R24" s="2063"/>
      <c r="S24" s="2064"/>
      <c r="T24" s="105" t="s">
        <v>531</v>
      </c>
      <c r="U24" s="106"/>
      <c r="V24" s="106"/>
      <c r="W24" s="106"/>
      <c r="X24" s="107"/>
      <c r="Y24" s="107"/>
      <c r="Z24" s="107"/>
      <c r="AA24" s="108"/>
    </row>
    <row r="25" spans="1:27" ht="14.1" customHeight="1" x14ac:dyDescent="0.2">
      <c r="A25" s="1998">
        <v>61325</v>
      </c>
      <c r="B25" s="1999"/>
      <c r="C25" s="1999"/>
      <c r="D25" s="1999"/>
      <c r="E25" s="1999"/>
      <c r="F25" s="1999"/>
      <c r="G25" s="1999"/>
      <c r="H25" s="2000"/>
      <c r="I25" s="113"/>
      <c r="J25" s="2065"/>
      <c r="K25" s="2065"/>
      <c r="L25" s="2065"/>
      <c r="M25" s="2065"/>
      <c r="N25" s="2065"/>
      <c r="O25" s="2065"/>
      <c r="P25" s="2065"/>
      <c r="Q25" s="2065"/>
      <c r="R25" s="2065"/>
      <c r="S25" s="2066"/>
      <c r="T25" s="1958" t="s">
        <v>2077</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6" t="s">
        <v>1511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1" t="s">
        <v>2078</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531</v>
      </c>
      <c r="B39" s="2055"/>
      <c r="C39" s="72"/>
      <c r="D39" s="69"/>
      <c r="E39" s="69"/>
      <c r="F39" s="79"/>
      <c r="G39" s="69"/>
      <c r="H39" s="56"/>
      <c r="I39" s="2054" t="s">
        <v>531</v>
      </c>
      <c r="J39" s="2055"/>
      <c r="K39" s="2055"/>
      <c r="L39" s="2055"/>
      <c r="M39" s="2055"/>
      <c r="N39" s="67"/>
      <c r="O39" s="72"/>
      <c r="P39" s="72"/>
      <c r="Q39" s="78"/>
      <c r="R39" s="72"/>
      <c r="S39" s="56"/>
      <c r="T39" s="72" t="s">
        <v>531</v>
      </c>
      <c r="U39" s="51"/>
      <c r="V39" s="72"/>
      <c r="W39" s="50"/>
      <c r="X39" s="78"/>
      <c r="Y39" s="45"/>
      <c r="Z39" s="45"/>
      <c r="AA39" s="46"/>
    </row>
    <row r="40" spans="1:27" ht="13.5" customHeight="1" x14ac:dyDescent="0.2">
      <c r="A40" s="2057" t="s">
        <v>2068</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7" t="s">
        <v>2079</v>
      </c>
      <c r="B42" s="2048"/>
      <c r="C42" s="2049"/>
      <c r="D42" s="2062" t="s">
        <v>2080</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showGridLines="0" defaultGridColor="0" colorId="8" zoomScale="110" zoomScaleNormal="110" workbookViewId="0">
      <selection activeCell="C59" sqref="C59"/>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200" t="s">
        <v>1802</v>
      </c>
      <c r="B2" s="1527" t="s">
        <v>1951</v>
      </c>
      <c r="C2" s="714" t="s">
        <v>1952</v>
      </c>
      <c r="D2" s="714" t="s">
        <v>1953</v>
      </c>
      <c r="E2" s="714" t="s">
        <v>1954</v>
      </c>
      <c r="F2" s="714" t="s">
        <v>1955</v>
      </c>
    </row>
    <row r="3" spans="1:6" ht="12" customHeight="1" x14ac:dyDescent="0.2">
      <c r="A3" s="2201"/>
      <c r="B3" s="1524"/>
      <c r="C3" s="1525"/>
      <c r="D3" s="1526" t="s">
        <v>256</v>
      </c>
      <c r="E3" s="1525"/>
      <c r="F3" s="1526" t="s">
        <v>257</v>
      </c>
    </row>
    <row r="4" spans="1:6" ht="13.7" customHeight="1" x14ac:dyDescent="0.2">
      <c r="A4" s="715" t="s">
        <v>1155</v>
      </c>
      <c r="B4" s="1748">
        <f>'Revenues 9-14'!C5</f>
        <v>1747290</v>
      </c>
      <c r="C4" s="1523"/>
      <c r="D4" s="1751">
        <f>B4-C4</f>
        <v>1747290</v>
      </c>
      <c r="E4" s="1523">
        <v>1811161</v>
      </c>
      <c r="F4" s="1751">
        <f>E4-C4</f>
        <v>1811161</v>
      </c>
    </row>
    <row r="5" spans="1:6" ht="13.7" customHeight="1" x14ac:dyDescent="0.2">
      <c r="A5" s="715" t="s">
        <v>870</v>
      </c>
      <c r="B5" s="1749">
        <f>'Revenues 9-14'!D5</f>
        <v>196773</v>
      </c>
      <c r="C5" s="585"/>
      <c r="D5" s="1752">
        <f t="shared" ref="D5:D18" si="0">B5-C5</f>
        <v>196773</v>
      </c>
      <c r="E5" s="585">
        <v>164881</v>
      </c>
      <c r="F5" s="1752">
        <f>E5-C5</f>
        <v>164881</v>
      </c>
    </row>
    <row r="6" spans="1:6" ht="13.7" customHeight="1" x14ac:dyDescent="0.2">
      <c r="A6" s="715" t="s">
        <v>411</v>
      </c>
      <c r="B6" s="1749">
        <f>'Revenues 9-14'!E5</f>
        <v>120427</v>
      </c>
      <c r="C6" s="585"/>
      <c r="D6" s="1752">
        <f t="shared" si="0"/>
        <v>120427</v>
      </c>
      <c r="E6" s="585">
        <v>121446</v>
      </c>
      <c r="F6" s="1752">
        <f t="shared" ref="F6:F18" si="1">E6-C6</f>
        <v>121446</v>
      </c>
    </row>
    <row r="7" spans="1:6" ht="13.7" customHeight="1" x14ac:dyDescent="0.2">
      <c r="A7" s="715" t="s">
        <v>155</v>
      </c>
      <c r="B7" s="1749">
        <f>'Revenues 9-14'!F5</f>
        <v>94448</v>
      </c>
      <c r="C7" s="585"/>
      <c r="D7" s="1752">
        <f t="shared" si="0"/>
        <v>94448</v>
      </c>
      <c r="E7" s="585">
        <v>97901</v>
      </c>
      <c r="F7" s="1752">
        <f t="shared" si="1"/>
        <v>97901</v>
      </c>
    </row>
    <row r="8" spans="1:6" ht="13.7" customHeight="1" x14ac:dyDescent="0.2">
      <c r="A8" s="715" t="s">
        <v>1179</v>
      </c>
      <c r="B8" s="1749">
        <f>'Revenues 9-14'!G5</f>
        <v>29973</v>
      </c>
      <c r="C8" s="585"/>
      <c r="D8" s="1752">
        <f t="shared" si="0"/>
        <v>29973</v>
      </c>
      <c r="E8" s="585">
        <v>35008</v>
      </c>
      <c r="F8" s="1752">
        <f t="shared" si="1"/>
        <v>35008</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0</v>
      </c>
      <c r="C10" s="585"/>
      <c r="D10" s="1752">
        <f t="shared" si="0"/>
        <v>0</v>
      </c>
      <c r="E10" s="585"/>
      <c r="F10" s="1752">
        <f t="shared" si="1"/>
        <v>0</v>
      </c>
    </row>
    <row r="11" spans="1:6" x14ac:dyDescent="0.2">
      <c r="A11" s="715" t="s">
        <v>409</v>
      </c>
      <c r="B11" s="1749">
        <f>'Revenues 9-14'!J5</f>
        <v>72933</v>
      </c>
      <c r="C11" s="585"/>
      <c r="D11" s="1752">
        <f t="shared" si="0"/>
        <v>72933</v>
      </c>
      <c r="E11" s="585">
        <v>70007</v>
      </c>
      <c r="F11" s="1752">
        <f t="shared" si="1"/>
        <v>70007</v>
      </c>
    </row>
    <row r="12" spans="1:6" ht="13.7" customHeight="1" x14ac:dyDescent="0.2">
      <c r="A12" s="715" t="s">
        <v>157</v>
      </c>
      <c r="B12" s="1749">
        <f>'Revenues 9-14'!K5</f>
        <v>0</v>
      </c>
      <c r="C12" s="585"/>
      <c r="D12" s="1752">
        <f t="shared" si="0"/>
        <v>0</v>
      </c>
      <c r="E12" s="585">
        <v>40792</v>
      </c>
      <c r="F12" s="1752">
        <f t="shared" si="1"/>
        <v>40792</v>
      </c>
    </row>
    <row r="13" spans="1:6" ht="13.7" customHeight="1" x14ac:dyDescent="0.2">
      <c r="A13" s="715" t="s">
        <v>936</v>
      </c>
      <c r="B13" s="1749">
        <f>SUM('Revenues 9-14'!C6:D6)</f>
        <v>20186</v>
      </c>
      <c r="C13" s="585"/>
      <c r="D13" s="1752">
        <f t="shared" si="0"/>
        <v>20186</v>
      </c>
      <c r="E13" s="585">
        <v>20616</v>
      </c>
      <c r="F13" s="1752">
        <f t="shared" si="1"/>
        <v>20616</v>
      </c>
    </row>
    <row r="14" spans="1:6" ht="13.7" customHeight="1" x14ac:dyDescent="0.2">
      <c r="A14" s="715" t="s">
        <v>410</v>
      </c>
      <c r="B14" s="1749">
        <f>SUM('Revenues 9-14'!C7:D7,'Revenues 9-14'!F7:H7)</f>
        <v>15747</v>
      </c>
      <c r="C14" s="585"/>
      <c r="D14" s="1752">
        <f t="shared" si="0"/>
        <v>15747</v>
      </c>
      <c r="E14" s="585">
        <v>16317</v>
      </c>
      <c r="F14" s="1752">
        <f t="shared" si="1"/>
        <v>16317</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44956</v>
      </c>
      <c r="C16" s="585"/>
      <c r="D16" s="1752">
        <f t="shared" si="0"/>
        <v>44956</v>
      </c>
      <c r="E16" s="585">
        <v>45002</v>
      </c>
      <c r="F16" s="1752">
        <f t="shared" si="1"/>
        <v>45002</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2342733</v>
      </c>
      <c r="C19" s="1750">
        <f>SUM(C4:C18)</f>
        <v>0</v>
      </c>
      <c r="D19" s="1750">
        <f>SUM(D4:D18)</f>
        <v>2342733</v>
      </c>
      <c r="E19" s="1750">
        <f>SUM(E4:E18)</f>
        <v>2423131</v>
      </c>
      <c r="F19" s="1750">
        <f>SUM(F4:F18)</f>
        <v>2423131</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K59"/>
  <sheetViews>
    <sheetView showGridLines="0" defaultGridColor="0" topLeftCell="A25" colorId="8" zoomScale="110" zoomScaleNormal="110" workbookViewId="0">
      <selection activeCell="C59" sqref="C5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629</v>
      </c>
      <c r="B1" s="2207"/>
      <c r="C1" s="721"/>
    </row>
    <row r="2" spans="1:7" ht="33.75" x14ac:dyDescent="0.2">
      <c r="A2" s="2215" t="s">
        <v>1802</v>
      </c>
      <c r="B2" s="2216"/>
      <c r="C2" s="1882" t="s">
        <v>1956</v>
      </c>
      <c r="D2" s="723" t="s">
        <v>1957</v>
      </c>
      <c r="E2" s="723" t="s">
        <v>1958</v>
      </c>
      <c r="F2" s="1882" t="s">
        <v>1959</v>
      </c>
    </row>
    <row r="3" spans="1:7" ht="15.75" customHeight="1" x14ac:dyDescent="0.2">
      <c r="A3" s="2219" t="s">
        <v>1114</v>
      </c>
      <c r="B3" s="2220"/>
      <c r="C3" s="2208"/>
      <c r="D3" s="2209"/>
      <c r="E3" s="2209"/>
      <c r="F3" s="2210"/>
    </row>
    <row r="4" spans="1:7" ht="12.75" customHeight="1" thickBot="1" x14ac:dyDescent="0.25">
      <c r="A4" s="2217" t="s">
        <v>630</v>
      </c>
      <c r="B4" s="2218"/>
      <c r="C4" s="581"/>
      <c r="D4" s="581"/>
      <c r="E4" s="581"/>
      <c r="F4" s="1754">
        <f>SUM(C4+D4)-E4</f>
        <v>0</v>
      </c>
    </row>
    <row r="5" spans="1:7" ht="15.75" customHeight="1" thickTop="1" x14ac:dyDescent="0.2">
      <c r="A5" s="2202" t="s">
        <v>1110</v>
      </c>
      <c r="B5" s="2203"/>
      <c r="C5" s="2211"/>
      <c r="D5" s="2212"/>
      <c r="E5" s="2212"/>
      <c r="F5" s="2213"/>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204" t="s">
        <v>631</v>
      </c>
      <c r="B15" s="2205"/>
      <c r="C15" s="1754">
        <f>SUM(C6:C14)</f>
        <v>0</v>
      </c>
      <c r="D15" s="1754">
        <f>SUM(D6:D14)</f>
        <v>0</v>
      </c>
      <c r="E15" s="1754">
        <f>SUM(E6:E14)</f>
        <v>0</v>
      </c>
      <c r="F15" s="1754">
        <f>SUM(F6:F14)</f>
        <v>0</v>
      </c>
      <c r="G15" s="552"/>
    </row>
    <row r="16" spans="1:7" s="202" customFormat="1" ht="15.75" customHeight="1" thickTop="1" x14ac:dyDescent="0.2">
      <c r="A16" s="2214" t="s">
        <v>1111</v>
      </c>
      <c r="B16" s="2203"/>
      <c r="C16" s="2211"/>
      <c r="D16" s="2212"/>
      <c r="E16" s="2212"/>
      <c r="F16" s="2213"/>
    </row>
    <row r="17" spans="1:11" ht="12.75" customHeight="1" thickBot="1" x14ac:dyDescent="0.25">
      <c r="A17" s="2227" t="s">
        <v>64</v>
      </c>
      <c r="B17" s="2228"/>
      <c r="C17" s="726"/>
      <c r="D17" s="585"/>
      <c r="E17" s="726"/>
      <c r="F17" s="1754">
        <f>SUM(C17+D17)-E17</f>
        <v>0</v>
      </c>
    </row>
    <row r="18" spans="1:11" ht="12.75" customHeight="1" thickTop="1" thickBot="1" x14ac:dyDescent="0.25">
      <c r="A18" s="2227" t="s">
        <v>6</v>
      </c>
      <c r="B18" s="2228"/>
      <c r="C18" s="726"/>
      <c r="D18" s="585"/>
      <c r="E18" s="726"/>
      <c r="F18" s="1754">
        <f>SUM(C18+D18)-E18</f>
        <v>0</v>
      </c>
    </row>
    <row r="19" spans="1:11" ht="12.75" customHeight="1" thickTop="1" thickBot="1" x14ac:dyDescent="0.25">
      <c r="A19" s="2227" t="s">
        <v>388</v>
      </c>
      <c r="B19" s="2228"/>
      <c r="C19" s="726"/>
      <c r="D19" s="585"/>
      <c r="E19" s="726"/>
      <c r="F19" s="1754">
        <f>SUM(C19+D19)-E19</f>
        <v>0</v>
      </c>
    </row>
    <row r="20" spans="1:11" ht="12.75" customHeight="1" thickTop="1" thickBot="1" x14ac:dyDescent="0.25">
      <c r="A20" s="2227" t="s">
        <v>448</v>
      </c>
      <c r="B20" s="2228"/>
      <c r="C20" s="726"/>
      <c r="D20" s="585"/>
      <c r="E20" s="726"/>
      <c r="F20" s="1754">
        <f>SUM(C20+D20)-E20</f>
        <v>0</v>
      </c>
    </row>
    <row r="21" spans="1:11" ht="14.25" thickTop="1" thickBot="1" x14ac:dyDescent="0.25">
      <c r="A21" s="2204" t="s">
        <v>632</v>
      </c>
      <c r="B21" s="2205"/>
      <c r="C21" s="1754">
        <f>SUM(C17:C20)</f>
        <v>0</v>
      </c>
      <c r="D21" s="1754">
        <f>SUM(D17:D20)</f>
        <v>0</v>
      </c>
      <c r="E21" s="1754">
        <f>SUM(E17:E20)</f>
        <v>0</v>
      </c>
      <c r="F21" s="1754">
        <f>SUM(F17:F20)</f>
        <v>0</v>
      </c>
      <c r="G21" s="552"/>
    </row>
    <row r="22" spans="1:11" ht="15.75" customHeight="1" thickTop="1" x14ac:dyDescent="0.2">
      <c r="A22" s="2229" t="s">
        <v>1112</v>
      </c>
      <c r="B22" s="2203"/>
      <c r="C22" s="2211"/>
      <c r="D22" s="2212"/>
      <c r="E22" s="2212"/>
      <c r="F22" s="2213"/>
    </row>
    <row r="23" spans="1:11" ht="13.5" thickBot="1" x14ac:dyDescent="0.25">
      <c r="A23" s="2217" t="s">
        <v>633</v>
      </c>
      <c r="B23" s="2218"/>
      <c r="C23" s="581"/>
      <c r="D23" s="581"/>
      <c r="E23" s="581"/>
      <c r="F23" s="1754">
        <f>SUM(C23+D23)-E23</f>
        <v>0</v>
      </c>
      <c r="G23" s="552"/>
    </row>
    <row r="24" spans="1:11" ht="15.75" customHeight="1" thickTop="1" x14ac:dyDescent="0.2">
      <c r="A24" s="2229" t="s">
        <v>1113</v>
      </c>
      <c r="B24" s="2203"/>
      <c r="C24" s="2211"/>
      <c r="D24" s="2212"/>
      <c r="E24" s="2212"/>
      <c r="F24" s="2213"/>
    </row>
    <row r="25" spans="1:11" ht="13.5" thickBot="1" x14ac:dyDescent="0.25">
      <c r="A25" s="2217" t="s">
        <v>634</v>
      </c>
      <c r="B25" s="2218"/>
      <c r="C25" s="581"/>
      <c r="D25" s="581"/>
      <c r="E25" s="581"/>
      <c r="F25" s="1754">
        <f>SUM(C25+D25)-E25</f>
        <v>0</v>
      </c>
      <c r="G25" s="552"/>
    </row>
    <row r="26" spans="1:11" ht="15.75" customHeight="1" thickTop="1" x14ac:dyDescent="0.2">
      <c r="A26" s="2202" t="s">
        <v>657</v>
      </c>
      <c r="B26" s="2203"/>
      <c r="C26" s="727"/>
      <c r="D26" s="727"/>
      <c r="E26" s="727"/>
      <c r="F26" s="728"/>
    </row>
    <row r="27" spans="1:11" ht="13.5" thickBot="1" x14ac:dyDescent="0.25">
      <c r="A27" s="2204" t="s">
        <v>1070</v>
      </c>
      <c r="B27" s="2205"/>
      <c r="C27" s="585"/>
      <c r="D27" s="585"/>
      <c r="E27" s="585"/>
      <c r="F27" s="1754">
        <f>SUM(C27+D27)-E27</f>
        <v>0</v>
      </c>
      <c r="G27" s="552"/>
    </row>
    <row r="28" spans="1:11" ht="7.5" customHeight="1" thickTop="1" x14ac:dyDescent="0.2">
      <c r="A28" s="593"/>
    </row>
    <row r="29" spans="1:11" ht="23.25" customHeight="1" x14ac:dyDescent="0.2">
      <c r="A29" s="2230" t="s">
        <v>582</v>
      </c>
      <c r="B29" s="2207"/>
      <c r="C29" s="729"/>
      <c r="D29" s="729"/>
      <c r="E29" s="729"/>
      <c r="F29" s="729"/>
      <c r="G29" s="729"/>
      <c r="H29" s="729"/>
      <c r="I29" s="729"/>
      <c r="J29" s="729"/>
    </row>
    <row r="30" spans="1:11" ht="33.75" x14ac:dyDescent="0.2">
      <c r="A30" s="1528" t="s">
        <v>1071</v>
      </c>
      <c r="B30" s="730" t="s">
        <v>1124</v>
      </c>
      <c r="C30" s="1883" t="s">
        <v>583</v>
      </c>
      <c r="D30" s="1883" t="s">
        <v>1673</v>
      </c>
      <c r="E30" s="1883" t="s">
        <v>1960</v>
      </c>
      <c r="F30" s="1883" t="s">
        <v>1961</v>
      </c>
      <c r="G30" s="1883" t="s">
        <v>1911</v>
      </c>
      <c r="H30" s="1883" t="s">
        <v>1962</v>
      </c>
      <c r="I30" s="1883" t="s">
        <v>1963</v>
      </c>
      <c r="J30" s="1884" t="s">
        <v>2</v>
      </c>
      <c r="K30" s="731"/>
    </row>
    <row r="31" spans="1:11" ht="12" customHeight="1" x14ac:dyDescent="0.2">
      <c r="A31" s="1935" t="s">
        <v>2081</v>
      </c>
      <c r="B31" s="1936">
        <v>37817</v>
      </c>
      <c r="C31" s="1937">
        <v>155000</v>
      </c>
      <c r="D31" s="1938">
        <v>7</v>
      </c>
      <c r="E31" s="734">
        <v>60000</v>
      </c>
      <c r="F31" s="734"/>
      <c r="G31" s="734"/>
      <c r="H31" s="734">
        <v>10000</v>
      </c>
      <c r="I31" s="1755">
        <f>((E31+F31)-H31)+G31</f>
        <v>50000</v>
      </c>
      <c r="J31" s="734">
        <v>50000</v>
      </c>
      <c r="K31" s="736"/>
    </row>
    <row r="32" spans="1:11" ht="12" customHeight="1" x14ac:dyDescent="0.2">
      <c r="A32" s="1935" t="s">
        <v>2082</v>
      </c>
      <c r="B32" s="1936">
        <v>41760</v>
      </c>
      <c r="C32" s="1937">
        <v>1400000</v>
      </c>
      <c r="D32" s="1938" t="s">
        <v>2083</v>
      </c>
      <c r="E32" s="734">
        <v>1400000</v>
      </c>
      <c r="F32" s="734"/>
      <c r="G32" s="734"/>
      <c r="H32" s="734">
        <v>60000</v>
      </c>
      <c r="I32" s="1755">
        <f>((E32+F32)-H32)+G32</f>
        <v>1340000</v>
      </c>
      <c r="J32" s="734">
        <v>1340000</v>
      </c>
      <c r="K32" s="736"/>
    </row>
    <row r="33" spans="1:11" ht="12" customHeight="1" x14ac:dyDescent="0.2">
      <c r="A33" s="732"/>
      <c r="B33" s="733"/>
      <c r="C33" s="734"/>
      <c r="D33" s="735"/>
      <c r="E33" s="734"/>
      <c r="F33" s="734"/>
      <c r="G33" s="734"/>
      <c r="H33" s="734"/>
      <c r="I33" s="1755">
        <f t="shared" ref="I33:I48" si="1">((E33+F33)-H33)+G33</f>
        <v>0</v>
      </c>
      <c r="J33" s="734"/>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1555000</v>
      </c>
      <c r="D49" s="745"/>
      <c r="E49" s="1755">
        <f t="shared" ref="E49:J49" si="2">SUM(E31:E48)</f>
        <v>1460000</v>
      </c>
      <c r="F49" s="1755">
        <f t="shared" si="2"/>
        <v>0</v>
      </c>
      <c r="G49" s="1755">
        <f t="shared" si="2"/>
        <v>0</v>
      </c>
      <c r="H49" s="1755">
        <f t="shared" si="2"/>
        <v>70000</v>
      </c>
      <c r="I49" s="1755">
        <f t="shared" si="2"/>
        <v>1390000</v>
      </c>
      <c r="J49" s="1755">
        <f t="shared" si="2"/>
        <v>1390000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21" t="s">
        <v>584</v>
      </c>
      <c r="C52" s="2222"/>
      <c r="D52" s="2222"/>
      <c r="E52" s="749" t="s">
        <v>845</v>
      </c>
      <c r="F52" s="2223" t="s">
        <v>2084</v>
      </c>
      <c r="G52" s="2224"/>
      <c r="H52" s="736"/>
      <c r="I52" s="736"/>
      <c r="J52" s="746"/>
    </row>
    <row r="53" spans="1:11" ht="11.25" customHeight="1" x14ac:dyDescent="0.2">
      <c r="A53" s="750" t="s">
        <v>913</v>
      </c>
      <c r="B53" s="751" t="s">
        <v>951</v>
      </c>
      <c r="C53" s="746"/>
      <c r="D53" s="737"/>
      <c r="E53" s="749" t="s">
        <v>497</v>
      </c>
      <c r="F53" s="2225"/>
      <c r="G53" s="2226"/>
      <c r="H53" s="736"/>
      <c r="I53" s="736"/>
      <c r="J53" s="746"/>
    </row>
    <row r="54" spans="1:11" ht="11.25" customHeight="1" x14ac:dyDescent="0.2">
      <c r="A54" s="752" t="s">
        <v>914</v>
      </c>
      <c r="B54" s="747" t="s">
        <v>952</v>
      </c>
      <c r="C54" s="746"/>
      <c r="D54" s="737"/>
      <c r="E54" s="749" t="s">
        <v>498</v>
      </c>
      <c r="F54" s="2225"/>
      <c r="G54" s="222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K48"/>
  <sheetViews>
    <sheetView showGridLines="0" defaultGridColor="0" colorId="8" zoomScale="110" zoomScaleNormal="110" workbookViewId="0">
      <selection activeCell="C59" sqref="C5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856</v>
      </c>
      <c r="B1" s="2256"/>
      <c r="C1" s="2256"/>
      <c r="D1" s="2256"/>
      <c r="E1" s="2256"/>
      <c r="F1" s="2256"/>
      <c r="G1" s="2257"/>
      <c r="H1" s="1529"/>
      <c r="I1" s="760"/>
      <c r="J1" s="433"/>
    </row>
    <row r="2" spans="1:11" ht="26.25" x14ac:dyDescent="0.2">
      <c r="A2" s="2234" t="s">
        <v>1677</v>
      </c>
      <c r="B2" s="2235"/>
      <c r="C2" s="2235"/>
      <c r="D2" s="2235"/>
      <c r="E2" s="2236"/>
      <c r="F2" s="761" t="s">
        <v>904</v>
      </c>
      <c r="G2" s="762" t="s">
        <v>1674</v>
      </c>
      <c r="H2" s="762" t="s">
        <v>410</v>
      </c>
      <c r="I2" s="762" t="s">
        <v>1158</v>
      </c>
      <c r="J2" s="762" t="s">
        <v>1812</v>
      </c>
      <c r="K2" s="762" t="s">
        <v>138</v>
      </c>
    </row>
    <row r="3" spans="1:11" x14ac:dyDescent="0.2">
      <c r="A3" s="2237" t="s">
        <v>1964</v>
      </c>
      <c r="B3" s="2238"/>
      <c r="C3" s="2238"/>
      <c r="D3" s="2238"/>
      <c r="E3" s="2239"/>
      <c r="F3" s="763"/>
      <c r="G3" s="764"/>
      <c r="H3" s="764"/>
      <c r="I3" s="764"/>
      <c r="J3" s="765"/>
      <c r="K3" s="765"/>
    </row>
    <row r="4" spans="1:11" x14ac:dyDescent="0.2">
      <c r="A4" s="2240" t="s">
        <v>369</v>
      </c>
      <c r="B4" s="2241"/>
      <c r="C4" s="2241"/>
      <c r="D4" s="2241"/>
      <c r="E4" s="2222"/>
      <c r="F4" s="766"/>
      <c r="G4" s="767"/>
      <c r="H4" s="768"/>
      <c r="I4" s="767"/>
      <c r="J4" s="769"/>
      <c r="K4" s="769"/>
    </row>
    <row r="5" spans="1:11" x14ac:dyDescent="0.2">
      <c r="A5" s="2258" t="s">
        <v>1069</v>
      </c>
      <c r="B5" s="2231"/>
      <c r="C5" s="2231"/>
      <c r="D5" s="2231"/>
      <c r="E5" s="2259"/>
      <c r="F5" s="770" t="s">
        <v>848</v>
      </c>
      <c r="G5" s="771"/>
      <c r="H5" s="764">
        <v>15747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58" t="s">
        <v>1813</v>
      </c>
      <c r="B10" s="2231"/>
      <c r="C10" s="2231"/>
      <c r="D10" s="2231"/>
      <c r="E10" s="2260"/>
      <c r="F10" s="783" t="s">
        <v>862</v>
      </c>
      <c r="G10" s="782"/>
      <c r="H10" s="784"/>
      <c r="I10" s="764"/>
      <c r="J10" s="765"/>
      <c r="K10" s="765"/>
    </row>
    <row r="11" spans="1:11" x14ac:dyDescent="0.2">
      <c r="A11" s="2258" t="s">
        <v>160</v>
      </c>
      <c r="B11" s="2231"/>
      <c r="C11" s="2231"/>
      <c r="D11" s="2231"/>
      <c r="E11" s="2259"/>
      <c r="F11" s="770" t="s">
        <v>852</v>
      </c>
      <c r="G11" s="771"/>
      <c r="H11" s="764"/>
      <c r="I11" s="764"/>
      <c r="J11" s="765"/>
      <c r="K11" s="773"/>
    </row>
    <row r="12" spans="1:11" ht="13.5" thickBot="1" x14ac:dyDescent="0.25">
      <c r="A12" s="2248" t="s">
        <v>905</v>
      </c>
      <c r="B12" s="2249"/>
      <c r="C12" s="2249"/>
      <c r="D12" s="2249"/>
      <c r="E12" s="2250"/>
      <c r="F12" s="1756"/>
      <c r="G12" s="1757">
        <f>SUM(G5:G11)</f>
        <v>0</v>
      </c>
      <c r="H12" s="1757">
        <f>SUM(H5:H11)</f>
        <v>15747</v>
      </c>
      <c r="I12" s="1757">
        <f>SUM(I5:I11)</f>
        <v>0</v>
      </c>
      <c r="J12" s="1757">
        <f>SUM(J5:J11)</f>
        <v>0</v>
      </c>
      <c r="K12" s="1757">
        <f>SUM(K5:K11)</f>
        <v>0</v>
      </c>
    </row>
    <row r="13" spans="1:11" ht="13.5" thickTop="1" x14ac:dyDescent="0.2">
      <c r="A13" s="2242" t="s">
        <v>370</v>
      </c>
      <c r="B13" s="2243"/>
      <c r="C13" s="2243"/>
      <c r="D13" s="2243"/>
      <c r="E13" s="2244"/>
      <c r="F13" s="785"/>
      <c r="G13" s="786"/>
      <c r="H13" s="787"/>
      <c r="I13" s="788"/>
      <c r="J13" s="788"/>
      <c r="K13" s="788"/>
    </row>
    <row r="14" spans="1:11" x14ac:dyDescent="0.2">
      <c r="A14" s="2264" t="s">
        <v>456</v>
      </c>
      <c r="B14" s="2264"/>
      <c r="C14" s="2264"/>
      <c r="D14" s="2264"/>
      <c r="E14" s="2265"/>
      <c r="F14" s="789" t="s">
        <v>854</v>
      </c>
      <c r="G14" s="782"/>
      <c r="H14" s="764">
        <v>15747</v>
      </c>
      <c r="I14" s="771"/>
      <c r="J14" s="773"/>
      <c r="K14" s="765"/>
    </row>
    <row r="15" spans="1:11" x14ac:dyDescent="0.2">
      <c r="A15" s="2231" t="s">
        <v>4</v>
      </c>
      <c r="B15" s="2231"/>
      <c r="C15" s="2231"/>
      <c r="D15" s="2231"/>
      <c r="E15" s="2259"/>
      <c r="F15" s="789" t="s">
        <v>855</v>
      </c>
      <c r="G15" s="771"/>
      <c r="H15" s="764"/>
      <c r="I15" s="764"/>
      <c r="J15" s="765"/>
      <c r="K15" s="765"/>
    </row>
    <row r="16" spans="1:11" x14ac:dyDescent="0.2">
      <c r="A16" s="2231" t="s">
        <v>298</v>
      </c>
      <c r="B16" s="2231"/>
      <c r="C16" s="2231"/>
      <c r="D16" s="2231"/>
      <c r="E16" s="2259"/>
      <c r="F16" s="789" t="s">
        <v>923</v>
      </c>
      <c r="G16" s="772"/>
      <c r="H16" s="767"/>
      <c r="I16" s="767"/>
      <c r="J16" s="769"/>
      <c r="K16" s="769"/>
    </row>
    <row r="17" spans="1:11" x14ac:dyDescent="0.2">
      <c r="A17" s="2253" t="s">
        <v>935</v>
      </c>
      <c r="B17" s="2253"/>
      <c r="C17" s="2253"/>
      <c r="D17" s="2253"/>
      <c r="E17" s="2254"/>
      <c r="F17" s="790"/>
      <c r="G17" s="791"/>
      <c r="H17" s="792"/>
      <c r="I17" s="792"/>
      <c r="J17" s="793"/>
      <c r="K17" s="794"/>
    </row>
    <row r="18" spans="1:11" x14ac:dyDescent="0.2">
      <c r="A18" s="2245" t="s">
        <v>368</v>
      </c>
      <c r="B18" s="2246"/>
      <c r="C18" s="2246"/>
      <c r="D18" s="2246"/>
      <c r="E18" s="2247"/>
      <c r="F18" s="789" t="s">
        <v>932</v>
      </c>
      <c r="G18" s="782"/>
      <c r="H18" s="782"/>
      <c r="I18" s="782"/>
      <c r="J18" s="765"/>
      <c r="K18" s="795"/>
    </row>
    <row r="19" spans="1:11" ht="21.75" customHeight="1" x14ac:dyDescent="0.2">
      <c r="A19" s="2266" t="s">
        <v>1809</v>
      </c>
      <c r="B19" s="2266"/>
      <c r="C19" s="2266"/>
      <c r="D19" s="2266"/>
      <c r="E19" s="2267"/>
      <c r="F19" s="789" t="s">
        <v>933</v>
      </c>
      <c r="G19" s="782"/>
      <c r="H19" s="782"/>
      <c r="I19" s="782"/>
      <c r="J19" s="765"/>
      <c r="K19" s="795"/>
    </row>
    <row r="20" spans="1:11" x14ac:dyDescent="0.2">
      <c r="A20" s="2245" t="s">
        <v>1814</v>
      </c>
      <c r="B20" s="2246"/>
      <c r="C20" s="2246"/>
      <c r="D20" s="2246"/>
      <c r="E20" s="2247"/>
      <c r="F20" s="789" t="s">
        <v>934</v>
      </c>
      <c r="G20" s="782"/>
      <c r="H20" s="782"/>
      <c r="I20" s="782"/>
      <c r="J20" s="765"/>
      <c r="K20" s="795"/>
    </row>
    <row r="21" spans="1:11" ht="13.5" thickBot="1" x14ac:dyDescent="0.25">
      <c r="A21" s="2251" t="s">
        <v>638</v>
      </c>
      <c r="B21" s="2251"/>
      <c r="C21" s="2251"/>
      <c r="D21" s="2251"/>
      <c r="E21" s="2251"/>
      <c r="F21" s="1758"/>
      <c r="G21" s="792"/>
      <c r="H21" s="796"/>
      <c r="I21" s="796"/>
      <c r="J21" s="1759">
        <f>SUM(J18:J20)</f>
        <v>0</v>
      </c>
      <c r="K21" s="793"/>
    </row>
    <row r="22" spans="1:11" ht="13.5" thickTop="1" x14ac:dyDescent="0.2">
      <c r="A22" s="2231" t="s">
        <v>1815</v>
      </c>
      <c r="B22" s="2231"/>
      <c r="C22" s="2231"/>
      <c r="D22" s="2231"/>
      <c r="E22" s="2259"/>
      <c r="F22" s="789" t="s">
        <v>862</v>
      </c>
      <c r="G22" s="782"/>
      <c r="H22" s="764"/>
      <c r="I22" s="764"/>
      <c r="J22" s="797"/>
      <c r="K22" s="765"/>
    </row>
    <row r="23" spans="1:11" ht="13.5" thickBot="1" x14ac:dyDescent="0.25">
      <c r="A23" s="2252" t="s">
        <v>906</v>
      </c>
      <c r="B23" s="2251"/>
      <c r="C23" s="2251"/>
      <c r="D23" s="2251"/>
      <c r="E23" s="2251"/>
      <c r="F23" s="1760"/>
      <c r="G23" s="1757">
        <f>SUM(G14:G16,G21,G22)</f>
        <v>0</v>
      </c>
      <c r="H23" s="1757">
        <f>SUM(H14:H16,H21,H22)</f>
        <v>15747</v>
      </c>
      <c r="I23" s="1757">
        <f>SUM(I14:I16,I21,I22)</f>
        <v>0</v>
      </c>
      <c r="J23" s="1757">
        <f>SUM(J14:J16,J21,J22)</f>
        <v>0</v>
      </c>
      <c r="K23" s="1757">
        <f>SUM(K14:K16,K21,K22)</f>
        <v>0</v>
      </c>
    </row>
    <row r="24" spans="1:11" ht="14.25" thickTop="1" thickBot="1" x14ac:dyDescent="0.25">
      <c r="A24" s="2252" t="s">
        <v>1965</v>
      </c>
      <c r="B24" s="2251"/>
      <c r="C24" s="2251"/>
      <c r="D24" s="2251"/>
      <c r="E24" s="2251"/>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8" t="s">
        <v>1910</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61"/>
      <c r="I31" s="2262"/>
      <c r="J31" s="2262"/>
      <c r="K31" s="2262"/>
    </row>
    <row r="32" spans="1:11" x14ac:dyDescent="0.2">
      <c r="A32" s="809"/>
      <c r="B32" s="237"/>
      <c r="C32" s="237"/>
      <c r="D32" s="237"/>
      <c r="E32" s="805"/>
      <c r="F32" s="811" t="s">
        <v>540</v>
      </c>
      <c r="G32" s="764"/>
      <c r="H32" s="2263"/>
      <c r="I32" s="2262"/>
      <c r="J32" s="2262"/>
      <c r="K32" s="2262"/>
    </row>
    <row r="33" spans="1:11" ht="1.5" customHeight="1" x14ac:dyDescent="0.2">
      <c r="A33" s="812" t="s">
        <v>1169</v>
      </c>
      <c r="B33" s="364"/>
      <c r="C33" s="364"/>
      <c r="D33" s="364"/>
      <c r="E33" s="364"/>
      <c r="F33" s="364"/>
      <c r="G33" s="813"/>
      <c r="H33" s="2263"/>
      <c r="I33" s="2262"/>
      <c r="J33" s="2262"/>
      <c r="K33" s="226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1" t="s">
        <v>541</v>
      </c>
      <c r="B41" s="2232"/>
      <c r="C41" s="2232"/>
      <c r="D41" s="2232"/>
      <c r="E41" s="2232"/>
      <c r="F41" s="223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1810</v>
      </c>
      <c r="B46" s="408" t="s">
        <v>1675</v>
      </c>
    </row>
    <row r="47" spans="1:11" s="823" customFormat="1" ht="12.75" customHeight="1" x14ac:dyDescent="0.2">
      <c r="A47" s="821"/>
      <c r="B47" s="822" t="s">
        <v>1676</v>
      </c>
      <c r="E47" s="822"/>
      <c r="K47" s="824"/>
    </row>
    <row r="48" spans="1:11" ht="12.75" customHeight="1" x14ac:dyDescent="0.2">
      <c r="A48" s="1531"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showGridLines="0" defaultGridColor="0" colorId="8" zoomScale="110" zoomScaleNormal="110" workbookViewId="0">
      <selection activeCell="C59" sqref="C5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1909</v>
      </c>
      <c r="B1" s="2271"/>
      <c r="C1" s="2272"/>
      <c r="D1" s="826"/>
      <c r="E1" s="827"/>
      <c r="F1" s="827"/>
      <c r="G1" s="828"/>
      <c r="H1" s="829"/>
      <c r="I1" s="830"/>
      <c r="J1" s="2268"/>
      <c r="K1" s="2269"/>
      <c r="L1" s="2269"/>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8" t="s">
        <v>892</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159265</v>
      </c>
      <c r="D5" s="841"/>
      <c r="E5" s="841"/>
      <c r="F5" s="1759">
        <f>(C5+D5)-E5</f>
        <v>159265</v>
      </c>
      <c r="G5" s="837"/>
      <c r="H5" s="842"/>
      <c r="I5" s="842"/>
      <c r="J5" s="842"/>
      <c r="K5" s="793"/>
      <c r="L5" s="1768">
        <f>F5-K5</f>
        <v>159265</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6245932</v>
      </c>
      <c r="D8" s="844">
        <v>36114</v>
      </c>
      <c r="E8" s="844"/>
      <c r="F8" s="1759">
        <f>(C8+D8)-E8</f>
        <v>6282046</v>
      </c>
      <c r="G8" s="843">
        <v>50</v>
      </c>
      <c r="H8" s="765">
        <v>1736762</v>
      </c>
      <c r="I8" s="765">
        <f>110887+6080-1</f>
        <v>116966</v>
      </c>
      <c r="J8" s="765"/>
      <c r="K8" s="1768">
        <f>(H8+I8)-J8</f>
        <v>1853728</v>
      </c>
      <c r="L8" s="1768">
        <f>F8-K8</f>
        <v>4428318</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73587</v>
      </c>
      <c r="D10" s="846"/>
      <c r="E10" s="846"/>
      <c r="F10" s="1763">
        <f>(C10+D10)-E10</f>
        <v>73587</v>
      </c>
      <c r="G10" s="843">
        <v>20</v>
      </c>
      <c r="H10" s="847">
        <v>34269</v>
      </c>
      <c r="I10" s="847">
        <v>3239</v>
      </c>
      <c r="J10" s="847"/>
      <c r="K10" s="1768">
        <f>(H10+I10)-J10</f>
        <v>37508</v>
      </c>
      <c r="L10" s="1768">
        <f>F10-K10</f>
        <v>36079</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430945</v>
      </c>
      <c r="D12" s="844"/>
      <c r="E12" s="844"/>
      <c r="F12" s="1759">
        <f>(C12+D12)-E12</f>
        <v>430945</v>
      </c>
      <c r="G12" s="843">
        <v>10</v>
      </c>
      <c r="H12" s="765">
        <v>332414</v>
      </c>
      <c r="I12" s="765">
        <v>25593</v>
      </c>
      <c r="J12" s="765"/>
      <c r="K12" s="1768">
        <f>(H12+I12)-J12</f>
        <v>358007</v>
      </c>
      <c r="L12" s="1768">
        <f>F12-K12</f>
        <v>72938</v>
      </c>
    </row>
    <row r="13" spans="1:14" ht="14.25" thickTop="1" thickBot="1" x14ac:dyDescent="0.25">
      <c r="A13" s="848" t="s">
        <v>1122</v>
      </c>
      <c r="B13" s="840">
        <v>252</v>
      </c>
      <c r="C13" s="844"/>
      <c r="D13" s="844"/>
      <c r="E13" s="844"/>
      <c r="F13" s="1759">
        <f>(C13+D13)-E13</f>
        <v>0</v>
      </c>
      <c r="G13" s="843">
        <v>5</v>
      </c>
      <c r="H13" s="765"/>
      <c r="I13" s="765"/>
      <c r="J13" s="765"/>
      <c r="K13" s="1768">
        <f>(H13+I13)-J13</f>
        <v>0</v>
      </c>
      <c r="L13" s="1768">
        <f>F13-K13</f>
        <v>0</v>
      </c>
    </row>
    <row r="14" spans="1:14" ht="14.25" thickTop="1" thickBot="1" x14ac:dyDescent="0.25">
      <c r="A14" s="848" t="s">
        <v>1123</v>
      </c>
      <c r="B14" s="840">
        <v>253</v>
      </c>
      <c r="C14" s="765">
        <v>83672</v>
      </c>
      <c r="D14" s="765"/>
      <c r="E14" s="765"/>
      <c r="F14" s="1759">
        <f>(C14+D14)-E14</f>
        <v>83672</v>
      </c>
      <c r="G14" s="843">
        <v>3</v>
      </c>
      <c r="H14" s="765">
        <v>44387</v>
      </c>
      <c r="I14" s="765">
        <v>19607</v>
      </c>
      <c r="J14" s="765"/>
      <c r="K14" s="1768">
        <f>(H14+I14)-J14</f>
        <v>63994</v>
      </c>
      <c r="L14" s="1768">
        <f>F14-K14</f>
        <v>19678</v>
      </c>
    </row>
    <row r="15" spans="1:14" ht="15" customHeight="1" thickTop="1" thickBot="1" x14ac:dyDescent="0.25">
      <c r="A15" s="1630" t="s">
        <v>528</v>
      </c>
      <c r="B15" s="1629">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6993401</v>
      </c>
      <c r="D16" s="1759">
        <f>SUM(D3,D5:D6,D8:D10,D12:D15)</f>
        <v>36114</v>
      </c>
      <c r="E16" s="1759">
        <f>SUM(E3,E5:E6,E8:E10,E12:E15)</f>
        <v>0</v>
      </c>
      <c r="F16" s="1759">
        <f>SUM(F3,F5:F6,F8:F10,F12:F15)</f>
        <v>7029515</v>
      </c>
      <c r="G16" s="843"/>
      <c r="H16" s="1759">
        <f>SUM(H3,H6,H8:H10,H12:H14,)</f>
        <v>2147832</v>
      </c>
      <c r="I16" s="1759">
        <f>SUM(I3,I6,I8:I10,I12:I14,)</f>
        <v>165405</v>
      </c>
      <c r="J16" s="1759">
        <f>SUM(J3,J6,J8:J10,J12:J14,)</f>
        <v>0</v>
      </c>
      <c r="K16" s="1759">
        <f>(H16+I16)-J16</f>
        <v>2313237</v>
      </c>
      <c r="L16" s="1759">
        <f>F16-K16</f>
        <v>4716278</v>
      </c>
    </row>
    <row r="17" spans="1:12" ht="15" customHeight="1" thickTop="1" thickBot="1" x14ac:dyDescent="0.25">
      <c r="A17" s="1632" t="s">
        <v>291</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165405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H202"/>
  <sheetViews>
    <sheetView showGridLines="0" defaultGridColor="0" colorId="8" zoomScale="110" zoomScaleNormal="110" workbookViewId="0">
      <pane ySplit="5" topLeftCell="A163" activePane="bottomLeft" state="frozen"/>
      <selection activeCell="C59" sqref="C59"/>
      <selection pane="bottomLeft" activeCell="C59" sqref="C5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6" t="s">
        <v>1975</v>
      </c>
      <c r="B1" s="2277"/>
      <c r="C1" s="2277"/>
      <c r="D1" s="2277"/>
      <c r="E1" s="2277"/>
      <c r="F1" s="2278"/>
      <c r="G1" s="855"/>
    </row>
    <row r="2" spans="1:7" ht="15" customHeight="1" thickBot="1" x14ac:dyDescent="0.25">
      <c r="A2" s="2279" t="s">
        <v>477</v>
      </c>
      <c r="B2" s="2280"/>
      <c r="C2" s="2280"/>
      <c r="D2" s="2280"/>
      <c r="E2" s="2280"/>
      <c r="F2" s="228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2"/>
      <c r="B5" s="2283"/>
      <c r="C5" s="2283"/>
      <c r="D5" s="2283"/>
      <c r="E5" s="2283"/>
      <c r="F5" s="2283"/>
    </row>
    <row r="6" spans="1:7" ht="13.5" customHeight="1" thickBot="1" x14ac:dyDescent="0.25">
      <c r="A6" s="2273" t="s">
        <v>1104</v>
      </c>
      <c r="B6" s="2274"/>
      <c r="C6" s="2274"/>
      <c r="D6" s="2274"/>
      <c r="E6" s="2274"/>
      <c r="F6" s="227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2275119</v>
      </c>
      <c r="G8" s="865"/>
    </row>
    <row r="9" spans="1:7" x14ac:dyDescent="0.2">
      <c r="A9" s="869" t="s">
        <v>460</v>
      </c>
      <c r="B9" s="870" t="s">
        <v>1877</v>
      </c>
      <c r="C9" s="871"/>
      <c r="D9" s="869" t="s">
        <v>501</v>
      </c>
      <c r="E9" s="868"/>
      <c r="F9" s="1907">
        <f>'Expenditures 15-22'!K151</f>
        <v>240143</v>
      </c>
      <c r="G9" s="872"/>
    </row>
    <row r="10" spans="1:7" x14ac:dyDescent="0.2">
      <c r="A10" s="869" t="s">
        <v>499</v>
      </c>
      <c r="B10" s="870" t="s">
        <v>1878</v>
      </c>
      <c r="C10" s="871"/>
      <c r="D10" s="869" t="s">
        <v>501</v>
      </c>
      <c r="E10" s="868"/>
      <c r="F10" s="1907">
        <f>'Expenditures 15-22'!K174</f>
        <v>133848</v>
      </c>
      <c r="G10" s="872"/>
    </row>
    <row r="11" spans="1:7" x14ac:dyDescent="0.2">
      <c r="A11" s="869" t="s">
        <v>461</v>
      </c>
      <c r="B11" s="870" t="s">
        <v>1879</v>
      </c>
      <c r="C11" s="871"/>
      <c r="D11" s="869" t="s">
        <v>501</v>
      </c>
      <c r="E11" s="868"/>
      <c r="F11" s="1907">
        <f>'Expenditures 15-22'!K210</f>
        <v>306706</v>
      </c>
      <c r="G11" s="872"/>
    </row>
    <row r="12" spans="1:7" x14ac:dyDescent="0.2">
      <c r="A12" s="869" t="s">
        <v>462</v>
      </c>
      <c r="B12" s="870" t="s">
        <v>1880</v>
      </c>
      <c r="C12" s="871"/>
      <c r="D12" s="869" t="s">
        <v>501</v>
      </c>
      <c r="E12" s="868"/>
      <c r="F12" s="1907">
        <f>'Expenditures 15-22'!K295</f>
        <v>65298</v>
      </c>
      <c r="G12" s="872"/>
    </row>
    <row r="13" spans="1:7" x14ac:dyDescent="0.2">
      <c r="A13" s="869" t="s">
        <v>106</v>
      </c>
      <c r="B13" s="870" t="s">
        <v>1881</v>
      </c>
      <c r="C13" s="871"/>
      <c r="D13" s="869" t="s">
        <v>501</v>
      </c>
      <c r="E13" s="868"/>
      <c r="F13" s="1907">
        <f>'Expenditures 15-22'!K342</f>
        <v>87804</v>
      </c>
      <c r="G13" s="873"/>
    </row>
    <row r="14" spans="1:7" ht="12" customHeight="1" thickBot="1" x14ac:dyDescent="0.25">
      <c r="A14" s="1769"/>
      <c r="B14" s="1770"/>
      <c r="C14" s="1771"/>
      <c r="D14" s="1772" t="s">
        <v>501</v>
      </c>
      <c r="E14" s="1773" t="s">
        <v>958</v>
      </c>
      <c r="F14" s="1774">
        <f>SUM(F8:F13)</f>
        <v>3108918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2">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2002</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127645</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1">
        <f>'Expenditures 15-22'!K102</f>
        <v>89248</v>
      </c>
      <c r="G53" s="865"/>
    </row>
    <row r="54" spans="1:7" x14ac:dyDescent="0.2">
      <c r="A54" s="869" t="s">
        <v>459</v>
      </c>
      <c r="B54" s="869" t="s">
        <v>1476</v>
      </c>
      <c r="C54" s="889" t="s">
        <v>982</v>
      </c>
      <c r="D54" s="885" t="s">
        <v>1095</v>
      </c>
      <c r="E54" s="868"/>
      <c r="F54" s="1911">
        <f>'Expenditures 15-22'!G114</f>
        <v>26852</v>
      </c>
      <c r="G54" s="865"/>
    </row>
    <row r="55" spans="1:7" x14ac:dyDescent="0.2">
      <c r="A55" s="869" t="s">
        <v>459</v>
      </c>
      <c r="B55" s="869" t="s">
        <v>1477</v>
      </c>
      <c r="C55" s="889" t="s">
        <v>982</v>
      </c>
      <c r="D55" s="885" t="s">
        <v>291</v>
      </c>
      <c r="E55" s="868"/>
      <c r="F55" s="1911">
        <f>'Expenditures 15-22'!I114</f>
        <v>0</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1">
        <f>'Expenditures 15-22'!K139</f>
        <v>0</v>
      </c>
      <c r="G57" s="865"/>
    </row>
    <row r="58" spans="1:7" x14ac:dyDescent="0.2">
      <c r="A58" s="869" t="s">
        <v>460</v>
      </c>
      <c r="B58" s="869" t="s">
        <v>1883</v>
      </c>
      <c r="C58" s="886" t="s">
        <v>982</v>
      </c>
      <c r="D58" s="885" t="s">
        <v>1095</v>
      </c>
      <c r="E58" s="868"/>
      <c r="F58" s="1913">
        <f>'Expenditures 15-22'!G151</f>
        <v>60005</v>
      </c>
      <c r="G58" s="865"/>
    </row>
    <row r="59" spans="1:7" x14ac:dyDescent="0.2">
      <c r="A59" s="893" t="s">
        <v>460</v>
      </c>
      <c r="B59" s="856" t="s">
        <v>1884</v>
      </c>
      <c r="C59" s="894" t="s">
        <v>982</v>
      </c>
      <c r="D59" s="856" t="s">
        <v>291</v>
      </c>
      <c r="F59" s="1914">
        <f>'Expenditures 15-22'!I151</f>
        <v>0</v>
      </c>
      <c r="G59" s="865"/>
    </row>
    <row r="60" spans="1:7" x14ac:dyDescent="0.2">
      <c r="A60" s="893" t="s">
        <v>499</v>
      </c>
      <c r="B60" s="856" t="s">
        <v>1885</v>
      </c>
      <c r="C60" s="894">
        <v>4000</v>
      </c>
      <c r="D60" s="856" t="s">
        <v>312</v>
      </c>
      <c r="F60" s="1912">
        <f>'Expenditures 15-22'!K160</f>
        <v>0</v>
      </c>
      <c r="G60" s="865"/>
    </row>
    <row r="61" spans="1:7" x14ac:dyDescent="0.2">
      <c r="A61" s="895" t="s">
        <v>499</v>
      </c>
      <c r="B61" s="895" t="s">
        <v>1886</v>
      </c>
      <c r="C61" s="896" t="str">
        <f>'Expenditures 15-22'!B170</f>
        <v>5300</v>
      </c>
      <c r="D61" s="897" t="s">
        <v>311</v>
      </c>
      <c r="E61" s="879"/>
      <c r="F61" s="1911">
        <f>'Expenditures 15-22'!K170</f>
        <v>70000</v>
      </c>
      <c r="G61" s="865"/>
    </row>
    <row r="62" spans="1:7" x14ac:dyDescent="0.2">
      <c r="A62" s="869" t="s">
        <v>461</v>
      </c>
      <c r="B62" s="869" t="s">
        <v>1887</v>
      </c>
      <c r="C62" s="886">
        <f>'Expenditures 15-22'!B185</f>
        <v>3000</v>
      </c>
      <c r="D62" s="876" t="s">
        <v>449</v>
      </c>
      <c r="E62" s="868"/>
      <c r="F62" s="1911">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1889</v>
      </c>
      <c r="C64" s="896" t="str">
        <f>'Expenditures 15-22'!B206</f>
        <v>5300</v>
      </c>
      <c r="D64" s="892" t="s">
        <v>311</v>
      </c>
      <c r="E64" s="868"/>
      <c r="F64" s="1911">
        <f>'Expenditures 15-22'!K206</f>
        <v>0</v>
      </c>
      <c r="G64" s="865"/>
    </row>
    <row r="65" spans="1:8" x14ac:dyDescent="0.2">
      <c r="A65" s="869" t="s">
        <v>461</v>
      </c>
      <c r="B65" s="869" t="s">
        <v>1890</v>
      </c>
      <c r="C65" s="886" t="s">
        <v>982</v>
      </c>
      <c r="D65" s="885" t="s">
        <v>1095</v>
      </c>
      <c r="E65" s="868"/>
      <c r="F65" s="1911">
        <f>'Expenditures 15-22'!G210</f>
        <v>0</v>
      </c>
      <c r="G65" s="865"/>
    </row>
    <row r="66" spans="1:8" x14ac:dyDescent="0.2">
      <c r="A66" s="869" t="s">
        <v>461</v>
      </c>
      <c r="B66" s="869" t="s">
        <v>1891</v>
      </c>
      <c r="C66" s="886" t="s">
        <v>982</v>
      </c>
      <c r="D66" s="885" t="s">
        <v>291</v>
      </c>
      <c r="E66" s="868"/>
      <c r="F66" s="1911">
        <f>'Expenditures 15-22'!I210</f>
        <v>0</v>
      </c>
      <c r="G66" s="865"/>
    </row>
    <row r="67" spans="1:8" x14ac:dyDescent="0.2">
      <c r="A67" s="869" t="s">
        <v>462</v>
      </c>
      <c r="B67" s="869" t="s">
        <v>1892</v>
      </c>
      <c r="C67" s="886" t="str">
        <f>'Expenditures 15-22'!B216</f>
        <v>1125</v>
      </c>
      <c r="D67" s="892" t="str">
        <f>'Expenditures 15-22'!A216</f>
        <v>Pre-K Programs</v>
      </c>
      <c r="E67" s="868"/>
      <c r="F67" s="1911">
        <f>'Expenditures 15-22'!K216</f>
        <v>0</v>
      </c>
      <c r="G67" s="865"/>
    </row>
    <row r="68" spans="1:8" x14ac:dyDescent="0.2">
      <c r="A68" s="869" t="s">
        <v>462</v>
      </c>
      <c r="B68" s="869" t="s">
        <v>1479</v>
      </c>
      <c r="C68" s="886" t="str">
        <f>'Expenditures 15-22'!B218</f>
        <v>1225</v>
      </c>
      <c r="D68" s="892" t="str">
        <f>'Expenditures 15-22'!A218</f>
        <v>Special Education Programs - Pre-K</v>
      </c>
      <c r="E68" s="868"/>
      <c r="F68" s="1911">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1894</v>
      </c>
      <c r="C70" s="886">
        <f>'Expenditures 15-22'!B221</f>
        <v>1300</v>
      </c>
      <c r="D70" s="887" t="str">
        <f>'Expenditures 15-22'!A221</f>
        <v>Adult/Continuing Education Programs</v>
      </c>
      <c r="E70" s="868"/>
      <c r="F70" s="1911">
        <f>'Expenditures 15-22'!K221</f>
        <v>0</v>
      </c>
      <c r="G70" s="865"/>
    </row>
    <row r="71" spans="1:8" x14ac:dyDescent="0.2">
      <c r="A71" s="869" t="s">
        <v>462</v>
      </c>
      <c r="B71" s="869" t="s">
        <v>1895</v>
      </c>
      <c r="C71" s="886">
        <f>'Expenditures 15-22'!B224</f>
        <v>1600</v>
      </c>
      <c r="D71" s="887" t="str">
        <f>'Expenditures 15-22'!A224</f>
        <v>Summer School Programs</v>
      </c>
      <c r="E71" s="868"/>
      <c r="F71" s="1911">
        <f>'Expenditures 15-22'!K224</f>
        <v>0</v>
      </c>
      <c r="G71" s="865"/>
    </row>
    <row r="72" spans="1:8" x14ac:dyDescent="0.2">
      <c r="A72" s="869" t="s">
        <v>462</v>
      </c>
      <c r="B72" s="869" t="s">
        <v>1896</v>
      </c>
      <c r="C72" s="886">
        <f>'Expenditures 15-22'!B280</f>
        <v>3000</v>
      </c>
      <c r="D72" s="876" t="s">
        <v>449</v>
      </c>
      <c r="E72" s="868"/>
      <c r="F72" s="1911">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1898</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1899</v>
      </c>
      <c r="E76" s="1773" t="s">
        <v>958</v>
      </c>
      <c r="F76" s="1777">
        <f>SUM(F18:F74)</f>
        <v>373750</v>
      </c>
      <c r="G76" s="865"/>
    </row>
    <row r="77" spans="1:8" s="893" customFormat="1" ht="12" customHeight="1" thickTop="1" thickBot="1" x14ac:dyDescent="0.25">
      <c r="A77" s="1778"/>
      <c r="B77" s="1775"/>
      <c r="C77" s="1771"/>
      <c r="D77" s="1776" t="s">
        <v>1900</v>
      </c>
      <c r="E77" s="1773"/>
      <c r="F77" s="1779">
        <f>(F14-F76)</f>
        <v>2735168</v>
      </c>
      <c r="G77" s="869"/>
    </row>
    <row r="78" spans="1:8" s="893" customFormat="1" ht="12" customHeight="1" thickTop="1" x14ac:dyDescent="0.2">
      <c r="A78" s="1780"/>
      <c r="B78" s="1775"/>
      <c r="C78" s="1771"/>
      <c r="D78" s="1776" t="s">
        <v>2062</v>
      </c>
      <c r="E78" s="1773"/>
      <c r="F78" s="898">
        <v>173.58500000000001</v>
      </c>
      <c r="G78" s="899"/>
      <c r="H78" s="869"/>
    </row>
    <row r="79" spans="1:8" s="893" customFormat="1" ht="12" customHeight="1" thickBot="1" x14ac:dyDescent="0.25">
      <c r="A79" s="1781"/>
      <c r="B79" s="1775"/>
      <c r="C79" s="1771"/>
      <c r="D79" s="1776" t="s">
        <v>1901</v>
      </c>
      <c r="E79" s="1773" t="s">
        <v>958</v>
      </c>
      <c r="F79" s="1782">
        <f>IF(F78&gt;0,F77/F78," Complete Line 78")</f>
        <v>15756.93752340352</v>
      </c>
      <c r="G79" s="869"/>
    </row>
    <row r="80" spans="1:8" s="893" customFormat="1" ht="8.25" customHeight="1" thickTop="1" x14ac:dyDescent="0.2">
      <c r="A80" s="900"/>
      <c r="B80" s="869"/>
      <c r="C80" s="871"/>
      <c r="D80" s="901"/>
      <c r="E80" s="868"/>
      <c r="F80" s="902"/>
      <c r="G80" s="869"/>
    </row>
    <row r="81" spans="1:7" s="893" customFormat="1" ht="12" thickBot="1" x14ac:dyDescent="0.25">
      <c r="A81" s="2273" t="s">
        <v>1105</v>
      </c>
      <c r="B81" s="2274"/>
      <c r="C81" s="2274"/>
      <c r="D81" s="2274"/>
      <c r="E81" s="2274"/>
      <c r="F81" s="227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29535</v>
      </c>
      <c r="G94" s="912"/>
    </row>
    <row r="95" spans="1:7" x14ac:dyDescent="0.2">
      <c r="A95" s="908" t="s">
        <v>140</v>
      </c>
      <c r="B95" s="908" t="s">
        <v>175</v>
      </c>
      <c r="C95" s="910">
        <v>1700</v>
      </c>
      <c r="D95" s="918" t="str">
        <f>'Revenues 9-14'!A82</f>
        <v>Total District/School Activity Income</v>
      </c>
      <c r="E95" s="906"/>
      <c r="F95" s="1788">
        <f>SUM('Revenues 9-14'!C82,'Revenues 9-14'!D82)</f>
        <v>12477</v>
      </c>
      <c r="G95" s="912"/>
    </row>
    <row r="96" spans="1:7" x14ac:dyDescent="0.2">
      <c r="A96" s="908" t="s">
        <v>459</v>
      </c>
      <c r="B96" s="908" t="s">
        <v>176</v>
      </c>
      <c r="C96" s="910">
        <f>'Revenues 9-14'!B84</f>
        <v>1811</v>
      </c>
      <c r="D96" s="911" t="str">
        <f>'Revenues 9-14'!A84</f>
        <v>Rentals - Regular Textbooks</v>
      </c>
      <c r="E96" s="906"/>
      <c r="F96" s="1788">
        <f>'Revenues 9-14'!C84</f>
        <v>11736</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7520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18917</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1200</v>
      </c>
      <c r="G103" s="912"/>
    </row>
    <row r="104" spans="1:7" x14ac:dyDescent="0.2">
      <c r="A104" s="908" t="s">
        <v>459</v>
      </c>
      <c r="B104" s="908" t="s">
        <v>808</v>
      </c>
      <c r="C104" s="910">
        <f>'Revenues 9-14'!B106</f>
        <v>1993</v>
      </c>
      <c r="D104" s="911" t="str">
        <f>'Revenues 9-14'!A106</f>
        <v>Other Local Fees (Describe &amp; Itemize)</v>
      </c>
      <c r="E104" s="906"/>
      <c r="F104" s="1788">
        <f>('Revenues 9-14'!C106)</f>
        <v>634</v>
      </c>
      <c r="G104" s="912"/>
    </row>
    <row r="105" spans="1:7" x14ac:dyDescent="0.2">
      <c r="A105" s="908" t="s">
        <v>503</v>
      </c>
      <c r="B105" s="908" t="s">
        <v>2003</v>
      </c>
      <c r="C105" s="913">
        <v>3100</v>
      </c>
      <c r="D105" s="919" t="str">
        <f>'Revenues 9-14'!A132</f>
        <v>Total Special Education</v>
      </c>
      <c r="E105" s="906"/>
      <c r="F105" s="1788">
        <f>SUM('Revenues 9-14'!C132:D132,'Revenues 9-14'!F132)</f>
        <v>92959</v>
      </c>
      <c r="G105" s="912"/>
    </row>
    <row r="106" spans="1:7" x14ac:dyDescent="0.2">
      <c r="A106" s="908" t="s">
        <v>673</v>
      </c>
      <c r="B106" s="908" t="s">
        <v>2004</v>
      </c>
      <c r="C106" s="920">
        <v>3200</v>
      </c>
      <c r="D106" s="911" t="str">
        <f>'Revenues 9-14'!A141</f>
        <v>Total Career and Technical Education</v>
      </c>
      <c r="E106" s="906"/>
      <c r="F106" s="1788">
        <f>SUM('Revenues 9-14'!C141,'Revenues 9-14'!D141,'Revenues 9-14'!G141)</f>
        <v>0</v>
      </c>
      <c r="G106" s="912"/>
    </row>
    <row r="107" spans="1:7" x14ac:dyDescent="0.2">
      <c r="A107" s="921" t="s">
        <v>664</v>
      </c>
      <c r="B107" s="908" t="s">
        <v>2005</v>
      </c>
      <c r="C107" s="920">
        <v>3300</v>
      </c>
      <c r="D107" s="911" t="str">
        <f>'Revenues 9-14'!A145</f>
        <v>Total Bilingual Ed</v>
      </c>
      <c r="E107" s="906"/>
      <c r="F107" s="1788">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8">
        <f>'Revenues 9-14'!C146</f>
        <v>477</v>
      </c>
      <c r="G108" s="912"/>
    </row>
    <row r="109" spans="1:7" x14ac:dyDescent="0.2">
      <c r="A109" s="908" t="s">
        <v>673</v>
      </c>
      <c r="B109" s="908" t="s">
        <v>2007</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8">
        <f>SUM('Revenues 9-14'!C148,'Revenues 9-14'!D148)</f>
        <v>0</v>
      </c>
      <c r="G110" s="912"/>
    </row>
    <row r="111" spans="1:7" x14ac:dyDescent="0.2">
      <c r="A111" s="908" t="s">
        <v>668</v>
      </c>
      <c r="B111" s="908" t="s">
        <v>2009</v>
      </c>
      <c r="C111" s="922">
        <v>3500</v>
      </c>
      <c r="D111" s="911" t="str">
        <f>'Revenues 9-14'!A155</f>
        <v>Total Transportation</v>
      </c>
      <c r="E111" s="906"/>
      <c r="F111" s="1788">
        <f>SUM('Revenues 9-14'!C155,'Revenues 9-14'!D155,'Revenues 9-14'!F155,'Revenues 9-14'!G155)</f>
        <v>167159</v>
      </c>
      <c r="G111" s="912"/>
    </row>
    <row r="112" spans="1:7" x14ac:dyDescent="0.2">
      <c r="A112" s="908" t="s">
        <v>459</v>
      </c>
      <c r="B112" s="908" t="s">
        <v>2010</v>
      </c>
      <c r="C112" s="920">
        <f>'Revenues 9-14'!B156</f>
        <v>3610</v>
      </c>
      <c r="D112" s="911" t="str">
        <f>'Revenues 9-14'!A156</f>
        <v>Learning Improvement - Change Grants</v>
      </c>
      <c r="E112" s="906"/>
      <c r="F112" s="1788">
        <f>'Revenues 9-14'!C156</f>
        <v>0</v>
      </c>
      <c r="G112" s="912"/>
    </row>
    <row r="113" spans="1:7" x14ac:dyDescent="0.2">
      <c r="A113" s="908" t="s">
        <v>668</v>
      </c>
      <c r="B113" s="908" t="s">
        <v>2011</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5">
        <f>SUM('Revenues 9-14'!C163:G163)</f>
        <v>0</v>
      </c>
      <c r="G118" s="912"/>
    </row>
    <row r="119" spans="1:7" x14ac:dyDescent="0.2">
      <c r="A119" s="923" t="s">
        <v>504</v>
      </c>
      <c r="B119" s="923" t="s">
        <v>2017</v>
      </c>
      <c r="C119" s="924">
        <f>'Revenues 9-14'!B164</f>
        <v>3815</v>
      </c>
      <c r="D119" s="925" t="str">
        <f>'Revenues 9-14'!A164</f>
        <v>State Charter Schools</v>
      </c>
      <c r="E119" s="906"/>
      <c r="F119" s="1905">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8">
        <f>'Revenues 9-14'!D167</f>
        <v>0</v>
      </c>
      <c r="G120" s="930"/>
    </row>
    <row r="121" spans="1:7" x14ac:dyDescent="0.2">
      <c r="A121" s="927" t="s">
        <v>500</v>
      </c>
      <c r="B121" s="927" t="s">
        <v>2019</v>
      </c>
      <c r="C121" s="928">
        <f>'Revenues 9-14'!B168</f>
        <v>3999</v>
      </c>
      <c r="D121" s="929" t="s">
        <v>543</v>
      </c>
      <c r="E121" s="931"/>
      <c r="F121" s="1788">
        <f>SUM('Revenues 9-14'!C168:G168,'Revenues 9-14'!J168)</f>
        <v>750</v>
      </c>
      <c r="G121" s="930"/>
    </row>
    <row r="122" spans="1:7" x14ac:dyDescent="0.2">
      <c r="A122" s="927" t="s">
        <v>459</v>
      </c>
      <c r="B122" s="927" t="s">
        <v>2020</v>
      </c>
      <c r="C122" s="932">
        <f>'Revenues 9-14'!B177</f>
        <v>4045</v>
      </c>
      <c r="D122" s="929" t="str">
        <f>'Revenues 9-14'!A177 &amp; " (Subtract)"</f>
        <v>Head Start (Subtract)</v>
      </c>
      <c r="E122" s="906"/>
      <c r="F122" s="1788">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2022</v>
      </c>
      <c r="C124" s="932">
        <v>4100</v>
      </c>
      <c r="D124" s="933" t="str">
        <f>'Revenues 9-14'!A188</f>
        <v>Total Title V</v>
      </c>
      <c r="E124" s="906"/>
      <c r="F124" s="1788">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8">
        <f>SUM('Revenues 9-14'!C198,'Revenues 9-14'!G198)</f>
        <v>30065</v>
      </c>
      <c r="G125" s="930"/>
    </row>
    <row r="126" spans="1:7" x14ac:dyDescent="0.2">
      <c r="A126" s="927" t="s">
        <v>668</v>
      </c>
      <c r="B126" s="927" t="s">
        <v>2024</v>
      </c>
      <c r="C126" s="932">
        <v>4300</v>
      </c>
      <c r="D126" s="933" t="str">
        <f>'Revenues 9-14'!A204</f>
        <v>Total Title I</v>
      </c>
      <c r="E126" s="906"/>
      <c r="F126" s="1788">
        <f>SUM('Revenues 9-14'!C204,'Revenues 9-14'!D204,'Revenues 9-14'!F204,'Revenues 9-14'!G204)</f>
        <v>71861</v>
      </c>
      <c r="G126" s="930"/>
    </row>
    <row r="127" spans="1:7" x14ac:dyDescent="0.2">
      <c r="A127" s="927" t="s">
        <v>668</v>
      </c>
      <c r="B127" s="927" t="s">
        <v>2025</v>
      </c>
      <c r="C127" s="932">
        <v>4400</v>
      </c>
      <c r="D127" s="933" t="str">
        <f>'Revenues 9-14'!A209</f>
        <v>Total Title IV</v>
      </c>
      <c r="E127" s="906"/>
      <c r="F127" s="1788">
        <f>SUM('Revenues 9-14'!C209,'Revenues 9-14'!D209,'Revenues 9-14'!F209,'Revenues 9-14'!G209)</f>
        <v>7469</v>
      </c>
      <c r="G127" s="930"/>
    </row>
    <row r="128" spans="1:7" x14ac:dyDescent="0.2">
      <c r="A128" s="927" t="s">
        <v>668</v>
      </c>
      <c r="B128" s="927" t="s">
        <v>2026</v>
      </c>
      <c r="C128" s="932">
        <f>'Revenues 9-14'!B213</f>
        <v>4620</v>
      </c>
      <c r="D128" s="933" t="str">
        <f>'Revenues 9-14'!A213</f>
        <v>Fed - Spec Education - IDEA - Flow Through</v>
      </c>
      <c r="E128" s="906"/>
      <c r="F128" s="1788">
        <f>SUM('Revenues 9-14'!C213:D213,'Revenues 9-14'!F213:G213)</f>
        <v>72875</v>
      </c>
      <c r="G128" s="930"/>
    </row>
    <row r="129" spans="1:7" x14ac:dyDescent="0.2">
      <c r="A129" s="927" t="s">
        <v>668</v>
      </c>
      <c r="B129" s="927" t="s">
        <v>2027</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2029</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8">
        <v>0</v>
      </c>
      <c r="G138" s="905"/>
    </row>
    <row r="139" spans="1:7" s="867" customFormat="1" hidden="1" x14ac:dyDescent="0.2">
      <c r="A139" s="934" t="s">
        <v>206</v>
      </c>
      <c r="B139" s="934" t="s">
        <v>2036</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2044</v>
      </c>
      <c r="C157" s="940" t="s">
        <v>841</v>
      </c>
      <c r="D157" s="941" t="s">
        <v>777</v>
      </c>
      <c r="E157" s="942"/>
      <c r="F157" s="1788">
        <f>SUM(F133:F156)</f>
        <v>0</v>
      </c>
      <c r="G157" s="905"/>
    </row>
    <row r="158" spans="1:7" s="867" customFormat="1" x14ac:dyDescent="0.2">
      <c r="A158" s="938" t="s">
        <v>459</v>
      </c>
      <c r="B158" s="939" t="s">
        <v>2045</v>
      </c>
      <c r="C158" s="940" t="s">
        <v>1427</v>
      </c>
      <c r="D158" s="941" t="s">
        <v>1428</v>
      </c>
      <c r="E158" s="942"/>
      <c r="F158" s="1788">
        <f>SUM('Revenues 9-14'!C253)</f>
        <v>0</v>
      </c>
      <c r="G158" s="905"/>
    </row>
    <row r="159" spans="1:7" s="867" customFormat="1" x14ac:dyDescent="0.2">
      <c r="A159" s="938" t="s">
        <v>500</v>
      </c>
      <c r="B159" s="939" t="s">
        <v>2046</v>
      </c>
      <c r="C159" s="940" t="s">
        <v>1466</v>
      </c>
      <c r="D159" s="941" t="s">
        <v>1467</v>
      </c>
      <c r="E159" s="942"/>
      <c r="F159" s="1788">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5">
        <f>SUM('Revenues 9-14'!C259,'Revenues 9-14'!D259,'Revenues 9-14'!F259,'Revenues 9-14'!G259)</f>
        <v>9043</v>
      </c>
      <c r="G164" s="930"/>
    </row>
    <row r="165" spans="1:7" x14ac:dyDescent="0.2">
      <c r="A165" s="927" t="s">
        <v>668</v>
      </c>
      <c r="B165" s="927" t="s">
        <v>2052</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8">
        <f>SUM('Revenues 9-14'!C263:D263,'Revenues 9-14'!F263:G263)</f>
        <v>2753</v>
      </c>
      <c r="G168" s="947">
        <v>6320</v>
      </c>
    </row>
    <row r="169" spans="1:7" x14ac:dyDescent="0.2">
      <c r="A169" s="927" t="s">
        <v>668</v>
      </c>
      <c r="B169" s="927" t="s">
        <v>2054</v>
      </c>
      <c r="C169" s="932">
        <f>'Revenues 9-14'!B264</f>
        <v>4992</v>
      </c>
      <c r="D169" s="933" t="str">
        <f>'Revenues 9-14'!A264</f>
        <v>Medicaid Matching Funds - Fee-for-Service Program</v>
      </c>
      <c r="E169" s="906"/>
      <c r="F169" s="1788">
        <f>SUM('Revenues 9-14'!C264:D264,'Revenues 9-14'!F264:G264)</f>
        <v>12159</v>
      </c>
      <c r="G169" s="947"/>
    </row>
    <row r="170" spans="1:7" x14ac:dyDescent="0.2">
      <c r="A170" s="948" t="s">
        <v>668</v>
      </c>
      <c r="B170" s="944" t="s">
        <v>2055</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6" t="s">
        <v>5</v>
      </c>
      <c r="B171" s="1917" t="s">
        <v>1920</v>
      </c>
      <c r="C171" s="1918">
        <v>3100</v>
      </c>
      <c r="D171" s="1919" t="s">
        <v>1922</v>
      </c>
      <c r="E171" s="906"/>
      <c r="F171" s="1904">
        <v>106169</v>
      </c>
      <c r="G171" s="927"/>
    </row>
    <row r="172" spans="1:7" x14ac:dyDescent="0.2">
      <c r="A172" s="1916" t="s">
        <v>664</v>
      </c>
      <c r="B172" s="1917" t="s">
        <v>1920</v>
      </c>
      <c r="C172" s="1918">
        <v>3300</v>
      </c>
      <c r="D172" s="1919" t="s">
        <v>1923</v>
      </c>
      <c r="E172" s="906"/>
      <c r="F172" s="1904">
        <v>0</v>
      </c>
      <c r="G172" s="927"/>
    </row>
    <row r="173" spans="1:7" ht="6" customHeight="1" x14ac:dyDescent="0.2">
      <c r="A173" s="927"/>
      <c r="B173" s="927"/>
      <c r="C173" s="949"/>
      <c r="D173" s="927"/>
      <c r="E173" s="906"/>
      <c r="F173" s="950"/>
      <c r="G173" s="947"/>
    </row>
    <row r="174" spans="1:7" x14ac:dyDescent="0.2">
      <c r="A174" s="1769"/>
      <c r="B174" s="1783"/>
      <c r="C174" s="1784"/>
      <c r="D174" s="1785" t="s">
        <v>2056</v>
      </c>
      <c r="E174" s="1786" t="s">
        <v>958</v>
      </c>
      <c r="F174" s="1787">
        <f>SUM(F84:F132,F157:F172)</f>
        <v>655758</v>
      </c>
    </row>
    <row r="175" spans="1:7" ht="12" customHeight="1" x14ac:dyDescent="0.2">
      <c r="A175" s="1769"/>
      <c r="B175" s="1783"/>
      <c r="C175" s="1784"/>
      <c r="D175" s="1785" t="s">
        <v>2057</v>
      </c>
      <c r="E175" s="1786"/>
      <c r="F175" s="1788">
        <f>'PCTC-OEPP 27-28'!F77-F174</f>
        <v>2079410</v>
      </c>
    </row>
    <row r="176" spans="1:7" ht="12" customHeight="1" x14ac:dyDescent="0.2">
      <c r="A176" s="1769"/>
      <c r="B176" s="1783"/>
      <c r="C176" s="1784"/>
      <c r="D176" s="1785" t="s">
        <v>1817</v>
      </c>
      <c r="E176" s="1786"/>
      <c r="F176" s="1788">
        <f>'Cap Outlay Deprec 26'!I18</f>
        <v>165405</v>
      </c>
    </row>
    <row r="177" spans="1:7" ht="12" customHeight="1" x14ac:dyDescent="0.2">
      <c r="A177" s="1769"/>
      <c r="B177" s="1783"/>
      <c r="C177" s="1784"/>
      <c r="D177" s="1785" t="s">
        <v>2058</v>
      </c>
      <c r="E177" s="1786"/>
      <c r="F177" s="1788">
        <f>F175+F176</f>
        <v>2244815</v>
      </c>
    </row>
    <row r="178" spans="1:7" ht="12" customHeight="1" x14ac:dyDescent="0.2">
      <c r="A178" s="1769"/>
      <c r="B178" s="1789"/>
      <c r="C178" s="1784"/>
      <c r="D178" s="1785" t="str">
        <f>D78</f>
        <v>9 Month ADA from District Average Daily Attendance/Prior General State Aid Inquiry 2018-2019</v>
      </c>
      <c r="E178" s="1786"/>
      <c r="F178" s="1790">
        <f>'PCTC-OEPP 27-28'!F78</f>
        <v>173.58500000000001</v>
      </c>
      <c r="G178" s="930"/>
    </row>
    <row r="179" spans="1:7" ht="12" customHeight="1" thickBot="1" x14ac:dyDescent="0.25">
      <c r="A179" s="1769"/>
      <c r="B179" s="1789"/>
      <c r="C179" s="1784"/>
      <c r="D179" s="1785" t="s">
        <v>2059</v>
      </c>
      <c r="E179" s="1786" t="s">
        <v>1545</v>
      </c>
      <c r="F179" s="1791">
        <f>F177/F178</f>
        <v>12932.079384739463</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0" customFormat="1" ht="12.2" customHeight="1" x14ac:dyDescent="0.2">
      <c r="A182" s="1920" t="s">
        <v>1994</v>
      </c>
      <c r="B182" s="1921"/>
      <c r="C182" s="1922"/>
      <c r="D182" s="1921"/>
      <c r="E182" s="1922"/>
      <c r="F182" s="1921"/>
      <c r="G182" s="1921"/>
    </row>
    <row r="183" spans="1:7" s="1920" customFormat="1" ht="12.2" customHeight="1" x14ac:dyDescent="0.2">
      <c r="A183" s="1923" t="s">
        <v>1996</v>
      </c>
      <c r="C183" s="1922"/>
      <c r="D183" s="1921"/>
      <c r="E183" s="1922"/>
      <c r="F183" s="1921"/>
      <c r="G183" s="1921"/>
    </row>
    <row r="184" spans="1:7" ht="12" customHeight="1" x14ac:dyDescent="0.2">
      <c r="C184" s="949"/>
      <c r="D184" s="930"/>
      <c r="E184" s="949"/>
      <c r="F184" s="930"/>
      <c r="G184" s="930"/>
    </row>
    <row r="185" spans="1:7" x14ac:dyDescent="0.2">
      <c r="A185" s="1924" t="s">
        <v>1925</v>
      </c>
      <c r="B185" s="1925"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41"/>
  <sheetViews>
    <sheetView showGridLines="0" topLeftCell="A13" zoomScaleNormal="100" workbookViewId="0">
      <selection activeCell="C59" sqref="C59"/>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87" t="s">
        <v>1818</v>
      </c>
      <c r="B4" s="2288"/>
      <c r="C4" s="2288"/>
      <c r="D4" s="2288"/>
      <c r="E4" s="2288"/>
      <c r="F4" s="2288"/>
      <c r="G4" s="2289"/>
    </row>
    <row r="5" spans="1:7" x14ac:dyDescent="0.25">
      <c r="A5" s="2290"/>
      <c r="B5" s="2291"/>
      <c r="C5" s="2291"/>
      <c r="D5" s="2291"/>
      <c r="E5" s="2291"/>
      <c r="F5" s="2291"/>
      <c r="G5" s="2292"/>
    </row>
    <row r="6" spans="1:7" ht="18.75" x14ac:dyDescent="0.25">
      <c r="A6" s="1533" t="s">
        <v>1819</v>
      </c>
      <c r="B6" s="1534"/>
      <c r="C6" s="1534"/>
      <c r="D6" s="1534"/>
      <c r="E6" s="1534"/>
      <c r="F6" s="1534"/>
      <c r="G6" s="1535"/>
    </row>
    <row r="7" spans="1:7" ht="30.75" customHeight="1" x14ac:dyDescent="0.25">
      <c r="A7" s="2293" t="s">
        <v>1932</v>
      </c>
      <c r="B7" s="2294"/>
      <c r="C7" s="2294"/>
      <c r="D7" s="2294"/>
      <c r="E7" s="2294"/>
      <c r="F7" s="2294"/>
      <c r="G7" s="2295"/>
    </row>
    <row r="8" spans="1:7" ht="15.75" customHeight="1" x14ac:dyDescent="0.25">
      <c r="A8" s="2296" t="s">
        <v>1907</v>
      </c>
      <c r="B8" s="2297"/>
      <c r="C8" s="2297"/>
      <c r="D8" s="2297"/>
      <c r="E8" s="2297"/>
      <c r="F8" s="2297"/>
      <c r="G8" s="2298"/>
    </row>
    <row r="9" spans="1:7" ht="35.25" customHeight="1" x14ac:dyDescent="0.25">
      <c r="A9" s="2293" t="s">
        <v>1935</v>
      </c>
      <c r="B9" s="2294"/>
      <c r="C9" s="2294"/>
      <c r="D9" s="2294"/>
      <c r="E9" s="2294"/>
      <c r="F9" s="2294"/>
      <c r="G9" s="2295"/>
    </row>
    <row r="10" spans="1:7" ht="15" customHeight="1" x14ac:dyDescent="0.25">
      <c r="A10" s="1536" t="s">
        <v>1820</v>
      </c>
      <c r="B10" s="1537"/>
      <c r="C10" s="1537"/>
      <c r="D10" s="1537"/>
      <c r="E10" s="1537"/>
      <c r="F10" s="1537"/>
      <c r="G10" s="1538"/>
    </row>
    <row r="11" spans="1:7" ht="17.25" customHeight="1" x14ac:dyDescent="0.25">
      <c r="A11" s="2293" t="s">
        <v>1934</v>
      </c>
      <c r="B11" s="2294"/>
      <c r="C11" s="2294"/>
      <c r="D11" s="2294"/>
      <c r="E11" s="2294"/>
      <c r="F11" s="2294"/>
      <c r="G11" s="2295"/>
    </row>
    <row r="12" spans="1:7" ht="15" customHeight="1" x14ac:dyDescent="0.25">
      <c r="A12" s="1536" t="s">
        <v>1825</v>
      </c>
      <c r="B12" s="1537"/>
      <c r="C12" s="1537"/>
      <c r="D12" s="1537"/>
      <c r="E12" s="1537"/>
      <c r="F12" s="1537"/>
      <c r="G12" s="1538"/>
    </row>
    <row r="13" spans="1:7" ht="32.25" customHeight="1" x14ac:dyDescent="0.25">
      <c r="A13" s="2284" t="s">
        <v>1976</v>
      </c>
      <c r="B13" s="2285"/>
      <c r="C13" s="2285"/>
      <c r="D13" s="2285"/>
      <c r="E13" s="2285"/>
      <c r="F13" s="2285"/>
      <c r="G13" s="2286"/>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41" t="s">
        <v>2085</v>
      </c>
      <c r="B17" s="1940" t="s">
        <v>2086</v>
      </c>
      <c r="C17" s="1939" t="s">
        <v>2087</v>
      </c>
      <c r="D17" s="1843">
        <v>10799</v>
      </c>
      <c r="E17" s="1539">
        <f t="shared" ref="E17:E141" si="0">IF(D17&lt;=25000,D17,IF(D17&gt;25000,25000,0))</f>
        <v>10799</v>
      </c>
      <c r="F17" s="193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2">
        <f>IF(F17=0,0,D17-F17)</f>
        <v>0</v>
      </c>
      <c r="H17" s="1646"/>
    </row>
    <row r="18" spans="1:8" x14ac:dyDescent="0.25">
      <c r="A18" s="1941" t="s">
        <v>2088</v>
      </c>
      <c r="B18" s="1940" t="s">
        <v>2089</v>
      </c>
      <c r="C18" s="1939" t="s">
        <v>2090</v>
      </c>
      <c r="D18" s="1843">
        <v>8805</v>
      </c>
      <c r="E18" s="1539">
        <f t="shared" ref="E18:E140" si="2">IF(D18&lt;=25000,D18,IF(D18&gt;25000,25000,0))</f>
        <v>8805</v>
      </c>
      <c r="F18" s="1930">
        <f t="shared" si="1"/>
        <v>0</v>
      </c>
      <c r="G18" s="1792">
        <f t="shared" ref="G18:G140" si="3">IF(F18=0,0,D18-F18)</f>
        <v>0</v>
      </c>
    </row>
    <row r="19" spans="1:8" x14ac:dyDescent="0.25">
      <c r="A19" s="1941" t="s">
        <v>2091</v>
      </c>
      <c r="B19" s="1940" t="s">
        <v>2092</v>
      </c>
      <c r="C19" s="1939" t="s">
        <v>2093</v>
      </c>
      <c r="D19" s="1843">
        <v>66343</v>
      </c>
      <c r="E19" s="1539">
        <f t="shared" si="2"/>
        <v>25000</v>
      </c>
      <c r="F19" s="1930">
        <f t="shared" si="1"/>
        <v>0</v>
      </c>
      <c r="G19" s="1792">
        <f t="shared" si="3"/>
        <v>0</v>
      </c>
    </row>
    <row r="20" spans="1:8" x14ac:dyDescent="0.25">
      <c r="A20" s="1941" t="s">
        <v>2094</v>
      </c>
      <c r="B20" s="1940" t="s">
        <v>2095</v>
      </c>
      <c r="C20" s="1939" t="s">
        <v>2096</v>
      </c>
      <c r="D20" s="1843">
        <v>19162</v>
      </c>
      <c r="E20" s="1539">
        <f t="shared" si="2"/>
        <v>19162</v>
      </c>
      <c r="F20" s="1930">
        <f t="shared" si="1"/>
        <v>0</v>
      </c>
      <c r="G20" s="1792">
        <f t="shared" si="3"/>
        <v>0</v>
      </c>
    </row>
    <row r="21" spans="1:8" ht="30" x14ac:dyDescent="0.25">
      <c r="A21" s="1941" t="s">
        <v>2097</v>
      </c>
      <c r="B21" s="1940" t="s">
        <v>2098</v>
      </c>
      <c r="C21" s="1939" t="s">
        <v>2099</v>
      </c>
      <c r="D21" s="1843">
        <v>15974</v>
      </c>
      <c r="E21" s="1539">
        <f t="shared" si="2"/>
        <v>15974</v>
      </c>
      <c r="F21" s="1930">
        <f t="shared" si="1"/>
        <v>0</v>
      </c>
      <c r="G21" s="1792">
        <f t="shared" si="3"/>
        <v>0</v>
      </c>
    </row>
    <row r="22" spans="1:8" x14ac:dyDescent="0.25">
      <c r="A22" s="1941" t="s">
        <v>2100</v>
      </c>
      <c r="B22" s="1940" t="s">
        <v>2101</v>
      </c>
      <c r="C22" s="1939" t="s">
        <v>2099</v>
      </c>
      <c r="D22" s="1843">
        <v>186739</v>
      </c>
      <c r="E22" s="1539">
        <f t="shared" si="2"/>
        <v>25000</v>
      </c>
      <c r="F22" s="1930">
        <f t="shared" si="1"/>
        <v>25000</v>
      </c>
      <c r="G22" s="1792">
        <f t="shared" si="3"/>
        <v>161739</v>
      </c>
    </row>
    <row r="23" spans="1:8" x14ac:dyDescent="0.25">
      <c r="A23" s="1941" t="s">
        <v>2100</v>
      </c>
      <c r="B23" s="1940" t="s">
        <v>2101</v>
      </c>
      <c r="C23" s="1939" t="s">
        <v>2102</v>
      </c>
      <c r="D23" s="1843">
        <v>72220</v>
      </c>
      <c r="E23" s="1539">
        <f t="shared" si="2"/>
        <v>25000</v>
      </c>
      <c r="F23" s="1930">
        <f t="shared" si="1"/>
        <v>25000</v>
      </c>
      <c r="G23" s="1792">
        <f t="shared" si="3"/>
        <v>47220</v>
      </c>
    </row>
    <row r="24" spans="1:8" x14ac:dyDescent="0.25">
      <c r="A24" s="1652"/>
      <c r="B24" s="1932"/>
      <c r="C24" s="1655"/>
      <c r="D24" s="1843"/>
      <c r="E24" s="1539">
        <f t="shared" si="2"/>
        <v>0</v>
      </c>
      <c r="F24" s="1930">
        <f t="shared" si="1"/>
        <v>0</v>
      </c>
      <c r="G24" s="1792">
        <f t="shared" si="3"/>
        <v>0</v>
      </c>
    </row>
    <row r="25" spans="1:8" x14ac:dyDescent="0.25">
      <c r="A25" s="1652"/>
      <c r="B25" s="1932"/>
      <c r="C25" s="1655"/>
      <c r="D25" s="1843"/>
      <c r="E25" s="1539">
        <f t="shared" si="2"/>
        <v>0</v>
      </c>
      <c r="F25" s="1930">
        <f t="shared" si="1"/>
        <v>0</v>
      </c>
      <c r="G25" s="1792">
        <f t="shared" si="3"/>
        <v>0</v>
      </c>
    </row>
    <row r="26" spans="1:8" x14ac:dyDescent="0.25">
      <c r="A26" s="1652"/>
      <c r="B26" s="1932"/>
      <c r="C26" s="1653"/>
      <c r="D26" s="1843"/>
      <c r="E26" s="1539">
        <f t="shared" si="2"/>
        <v>0</v>
      </c>
      <c r="F26" s="1930">
        <f t="shared" si="1"/>
        <v>0</v>
      </c>
      <c r="G26" s="1792">
        <f t="shared" si="3"/>
        <v>0</v>
      </c>
    </row>
    <row r="27" spans="1:8" x14ac:dyDescent="0.25">
      <c r="A27" s="1652"/>
      <c r="B27" s="1932"/>
      <c r="C27" s="1653"/>
      <c r="D27" s="1843"/>
      <c r="E27" s="1539">
        <f t="shared" si="2"/>
        <v>0</v>
      </c>
      <c r="F27" s="1930">
        <f t="shared" si="1"/>
        <v>0</v>
      </c>
      <c r="G27" s="1792">
        <f t="shared" si="3"/>
        <v>0</v>
      </c>
    </row>
    <row r="28" spans="1:8" x14ac:dyDescent="0.25">
      <c r="A28" s="1652"/>
      <c r="B28" s="1932"/>
      <c r="C28" s="1653"/>
      <c r="D28" s="1843"/>
      <c r="E28" s="1539">
        <f t="shared" si="2"/>
        <v>0</v>
      </c>
      <c r="F28" s="1930">
        <f t="shared" si="1"/>
        <v>0</v>
      </c>
      <c r="G28" s="1792">
        <f t="shared" si="3"/>
        <v>0</v>
      </c>
    </row>
    <row r="29" spans="1:8" x14ac:dyDescent="0.25">
      <c r="A29" s="1652"/>
      <c r="B29" s="1932"/>
      <c r="C29" s="1653"/>
      <c r="D29" s="1843"/>
      <c r="E29" s="1539">
        <f t="shared" si="2"/>
        <v>0</v>
      </c>
      <c r="F29" s="1930">
        <f t="shared" si="1"/>
        <v>0</v>
      </c>
      <c r="G29" s="1792">
        <f t="shared" si="3"/>
        <v>0</v>
      </c>
    </row>
    <row r="30" spans="1:8" x14ac:dyDescent="0.25">
      <c r="A30" s="1652"/>
      <c r="B30" s="1932"/>
      <c r="C30" s="1653"/>
      <c r="D30" s="1843"/>
      <c r="E30" s="1539">
        <f t="shared" si="2"/>
        <v>0</v>
      </c>
      <c r="F30" s="1930">
        <f t="shared" si="1"/>
        <v>0</v>
      </c>
      <c r="G30" s="1792">
        <f t="shared" si="3"/>
        <v>0</v>
      </c>
    </row>
    <row r="31" spans="1:8" x14ac:dyDescent="0.25">
      <c r="A31" s="1652"/>
      <c r="B31" s="1932"/>
      <c r="C31" s="1653"/>
      <c r="D31" s="1843"/>
      <c r="E31" s="1539">
        <f t="shared" si="2"/>
        <v>0</v>
      </c>
      <c r="F31" s="1930">
        <f t="shared" si="1"/>
        <v>0</v>
      </c>
      <c r="G31" s="1792">
        <f t="shared" si="3"/>
        <v>0</v>
      </c>
    </row>
    <row r="32" spans="1:8" x14ac:dyDescent="0.25">
      <c r="A32" s="1652"/>
      <c r="B32" s="1932"/>
      <c r="C32" s="1653"/>
      <c r="D32" s="1843"/>
      <c r="E32" s="1539">
        <f t="shared" si="2"/>
        <v>0</v>
      </c>
      <c r="F32" s="1930">
        <f t="shared" si="1"/>
        <v>0</v>
      </c>
      <c r="G32" s="1792">
        <f t="shared" si="3"/>
        <v>0</v>
      </c>
    </row>
    <row r="33" spans="1:7" x14ac:dyDescent="0.25">
      <c r="A33" s="1652"/>
      <c r="B33" s="1932"/>
      <c r="C33" s="1653"/>
      <c r="D33" s="1843"/>
      <c r="E33" s="1539">
        <f t="shared" si="2"/>
        <v>0</v>
      </c>
      <c r="F33" s="1930">
        <f t="shared" si="1"/>
        <v>0</v>
      </c>
      <c r="G33" s="1792">
        <f t="shared" si="3"/>
        <v>0</v>
      </c>
    </row>
    <row r="34" spans="1:7" x14ac:dyDescent="0.25">
      <c r="A34" s="1652"/>
      <c r="B34" s="1932"/>
      <c r="C34" s="1653"/>
      <c r="D34" s="1843"/>
      <c r="E34" s="1539">
        <f t="shared" si="2"/>
        <v>0</v>
      </c>
      <c r="F34" s="1930">
        <f t="shared" si="1"/>
        <v>0</v>
      </c>
      <c r="G34" s="1792">
        <f t="shared" si="3"/>
        <v>0</v>
      </c>
    </row>
    <row r="35" spans="1:7" x14ac:dyDescent="0.25">
      <c r="A35" s="1652"/>
      <c r="B35" s="1932"/>
      <c r="C35" s="1653"/>
      <c r="D35" s="1843"/>
      <c r="E35" s="1539">
        <f t="shared" si="2"/>
        <v>0</v>
      </c>
      <c r="F35" s="1930">
        <f t="shared" si="1"/>
        <v>0</v>
      </c>
      <c r="G35" s="1792">
        <f t="shared" si="3"/>
        <v>0</v>
      </c>
    </row>
    <row r="36" spans="1:7" x14ac:dyDescent="0.25">
      <c r="A36" s="1652"/>
      <c r="B36" s="1932"/>
      <c r="C36" s="1653"/>
      <c r="D36" s="1843"/>
      <c r="E36" s="1539">
        <f t="shared" si="2"/>
        <v>0</v>
      </c>
      <c r="F36" s="1930">
        <f t="shared" si="1"/>
        <v>0</v>
      </c>
      <c r="G36" s="1792">
        <f t="shared" si="3"/>
        <v>0</v>
      </c>
    </row>
    <row r="37" spans="1:7" x14ac:dyDescent="0.25">
      <c r="A37" s="1652"/>
      <c r="B37" s="1932"/>
      <c r="C37" s="1653"/>
      <c r="D37" s="1843"/>
      <c r="E37" s="1539">
        <f t="shared" si="2"/>
        <v>0</v>
      </c>
      <c r="F37" s="1930">
        <f t="shared" si="1"/>
        <v>0</v>
      </c>
      <c r="G37" s="1792">
        <f t="shared" si="3"/>
        <v>0</v>
      </c>
    </row>
    <row r="38" spans="1:7" x14ac:dyDescent="0.25">
      <c r="A38" s="1652"/>
      <c r="B38" s="1933"/>
      <c r="C38" s="1653"/>
      <c r="D38" s="1843"/>
      <c r="E38" s="1539">
        <f t="shared" si="2"/>
        <v>0</v>
      </c>
      <c r="F38" s="1930">
        <f t="shared" si="1"/>
        <v>0</v>
      </c>
      <c r="G38" s="1792">
        <f t="shared" si="3"/>
        <v>0</v>
      </c>
    </row>
    <row r="39" spans="1:7" x14ac:dyDescent="0.25">
      <c r="A39" s="1652"/>
      <c r="B39" s="1933"/>
      <c r="C39" s="1653"/>
      <c r="D39" s="1843"/>
      <c r="E39" s="1539">
        <f t="shared" si="2"/>
        <v>0</v>
      </c>
      <c r="F39" s="1930">
        <f t="shared" si="1"/>
        <v>0</v>
      </c>
      <c r="G39" s="1792">
        <f t="shared" si="3"/>
        <v>0</v>
      </c>
    </row>
    <row r="40" spans="1:7" x14ac:dyDescent="0.25">
      <c r="A40" s="1652"/>
      <c r="B40" s="1933"/>
      <c r="C40" s="1653"/>
      <c r="D40" s="1843"/>
      <c r="E40" s="1539">
        <f t="shared" si="2"/>
        <v>0</v>
      </c>
      <c r="F40" s="1930">
        <f t="shared" si="1"/>
        <v>0</v>
      </c>
      <c r="G40" s="1792">
        <f t="shared" si="3"/>
        <v>0</v>
      </c>
    </row>
    <row r="41" spans="1:7" x14ac:dyDescent="0.25">
      <c r="A41" s="1652"/>
      <c r="B41" s="1933"/>
      <c r="C41" s="1653"/>
      <c r="D41" s="1843"/>
      <c r="E41" s="1539">
        <f t="shared" si="2"/>
        <v>0</v>
      </c>
      <c r="F41" s="1930">
        <f t="shared" si="1"/>
        <v>0</v>
      </c>
      <c r="G41" s="1792">
        <f t="shared" si="3"/>
        <v>0</v>
      </c>
    </row>
    <row r="42" spans="1:7" x14ac:dyDescent="0.25">
      <c r="A42" s="1652"/>
      <c r="B42" s="1933"/>
      <c r="C42" s="1653"/>
      <c r="D42" s="1843"/>
      <c r="E42" s="1539">
        <f t="shared" si="2"/>
        <v>0</v>
      </c>
      <c r="F42" s="1930">
        <f t="shared" si="1"/>
        <v>0</v>
      </c>
      <c r="G42" s="1792">
        <f t="shared" si="3"/>
        <v>0</v>
      </c>
    </row>
    <row r="43" spans="1:7" x14ac:dyDescent="0.25">
      <c r="A43" s="1652"/>
      <c r="B43" s="1933"/>
      <c r="C43" s="1653"/>
      <c r="D43" s="1843"/>
      <c r="E43" s="1539">
        <f t="shared" si="2"/>
        <v>0</v>
      </c>
      <c r="F43" s="1930">
        <f t="shared" si="1"/>
        <v>0</v>
      </c>
      <c r="G43" s="1792">
        <f t="shared" si="3"/>
        <v>0</v>
      </c>
    </row>
    <row r="44" spans="1:7" x14ac:dyDescent="0.25">
      <c r="A44" s="1652"/>
      <c r="B44" s="1933"/>
      <c r="C44" s="1653"/>
      <c r="D44" s="1843"/>
      <c r="E44" s="1539">
        <f t="shared" si="2"/>
        <v>0</v>
      </c>
      <c r="F44" s="1930">
        <f t="shared" si="1"/>
        <v>0</v>
      </c>
      <c r="G44" s="1792">
        <f t="shared" si="3"/>
        <v>0</v>
      </c>
    </row>
    <row r="45" spans="1:7" x14ac:dyDescent="0.25">
      <c r="A45" s="1652"/>
      <c r="B45" s="1933"/>
      <c r="C45" s="1653"/>
      <c r="D45" s="1843"/>
      <c r="E45" s="1539">
        <f t="shared" si="2"/>
        <v>0</v>
      </c>
      <c r="F45" s="1930">
        <f t="shared" si="1"/>
        <v>0</v>
      </c>
      <c r="G45" s="1792">
        <f t="shared" si="3"/>
        <v>0</v>
      </c>
    </row>
    <row r="46" spans="1:7" x14ac:dyDescent="0.25">
      <c r="A46" s="1652"/>
      <c r="B46" s="1666"/>
      <c r="C46" s="1653"/>
      <c r="D46" s="1843"/>
      <c r="E46" s="1539">
        <f t="shared" si="2"/>
        <v>0</v>
      </c>
      <c r="F46" s="1930">
        <f t="shared" si="1"/>
        <v>0</v>
      </c>
      <c r="G46" s="1792">
        <f t="shared" si="3"/>
        <v>0</v>
      </c>
    </row>
    <row r="47" spans="1:7" x14ac:dyDescent="0.25">
      <c r="A47" s="1652"/>
      <c r="B47" s="1666"/>
      <c r="C47" s="1653"/>
      <c r="D47" s="1843"/>
      <c r="E47" s="1539">
        <f t="shared" si="2"/>
        <v>0</v>
      </c>
      <c r="F47" s="1930">
        <f t="shared" si="1"/>
        <v>0</v>
      </c>
      <c r="G47" s="1792">
        <f t="shared" si="3"/>
        <v>0</v>
      </c>
    </row>
    <row r="48" spans="1:7" x14ac:dyDescent="0.25">
      <c r="A48" s="1652"/>
      <c r="B48" s="1666"/>
      <c r="C48" s="1653"/>
      <c r="D48" s="1843"/>
      <c r="E48" s="1539">
        <f t="shared" si="2"/>
        <v>0</v>
      </c>
      <c r="F48" s="1930">
        <f t="shared" si="1"/>
        <v>0</v>
      </c>
      <c r="G48" s="1792">
        <f t="shared" si="3"/>
        <v>0</v>
      </c>
    </row>
    <row r="49" spans="1:7" x14ac:dyDescent="0.25">
      <c r="A49" s="1652"/>
      <c r="B49" s="1666"/>
      <c r="C49" s="1653"/>
      <c r="D49" s="1843"/>
      <c r="E49" s="1539">
        <f t="shared" si="2"/>
        <v>0</v>
      </c>
      <c r="F49" s="1930">
        <f t="shared" si="1"/>
        <v>0</v>
      </c>
      <c r="G49" s="1792">
        <f t="shared" si="3"/>
        <v>0</v>
      </c>
    </row>
    <row r="50" spans="1:7" x14ac:dyDescent="0.25">
      <c r="A50" s="1652"/>
      <c r="B50" s="1666"/>
      <c r="C50" s="1653"/>
      <c r="D50" s="1843"/>
      <c r="E50" s="1539">
        <f t="shared" si="2"/>
        <v>0</v>
      </c>
      <c r="F50" s="1930">
        <f t="shared" si="1"/>
        <v>0</v>
      </c>
      <c r="G50" s="1792">
        <f t="shared" si="3"/>
        <v>0</v>
      </c>
    </row>
    <row r="51" spans="1:7" x14ac:dyDescent="0.25">
      <c r="A51" s="1652"/>
      <c r="B51" s="1666"/>
      <c r="C51" s="1653"/>
      <c r="D51" s="1843"/>
      <c r="E51" s="1539">
        <f t="shared" si="2"/>
        <v>0</v>
      </c>
      <c r="F51" s="1930">
        <f t="shared" si="1"/>
        <v>0</v>
      </c>
      <c r="G51" s="1792">
        <f t="shared" si="3"/>
        <v>0</v>
      </c>
    </row>
    <row r="52" spans="1:7" x14ac:dyDescent="0.25">
      <c r="A52" s="1652"/>
      <c r="B52" s="1666"/>
      <c r="C52" s="1653"/>
      <c r="D52" s="1843"/>
      <c r="E52" s="1539">
        <f t="shared" si="2"/>
        <v>0</v>
      </c>
      <c r="F52" s="1930">
        <f t="shared" si="1"/>
        <v>0</v>
      </c>
      <c r="G52" s="1792">
        <f t="shared" si="3"/>
        <v>0</v>
      </c>
    </row>
    <row r="53" spans="1:7" x14ac:dyDescent="0.25">
      <c r="A53" s="1652"/>
      <c r="B53" s="1666"/>
      <c r="C53" s="1653"/>
      <c r="D53" s="1843"/>
      <c r="E53" s="1539">
        <f t="shared" si="2"/>
        <v>0</v>
      </c>
      <c r="F53" s="1930">
        <f t="shared" si="1"/>
        <v>0</v>
      </c>
      <c r="G53" s="1792">
        <f t="shared" si="3"/>
        <v>0</v>
      </c>
    </row>
    <row r="54" spans="1:7" x14ac:dyDescent="0.25">
      <c r="A54" s="1652"/>
      <c r="B54" s="1666"/>
      <c r="C54" s="1653"/>
      <c r="D54" s="1843"/>
      <c r="E54" s="1539">
        <f t="shared" si="2"/>
        <v>0</v>
      </c>
      <c r="F54" s="1930">
        <f t="shared" si="1"/>
        <v>0</v>
      </c>
      <c r="G54" s="1792">
        <f t="shared" si="3"/>
        <v>0</v>
      </c>
    </row>
    <row r="55" spans="1:7" x14ac:dyDescent="0.25">
      <c r="A55" s="1652"/>
      <c r="B55" s="1666"/>
      <c r="C55" s="1653"/>
      <c r="D55" s="1843"/>
      <c r="E55" s="1539">
        <f t="shared" si="2"/>
        <v>0</v>
      </c>
      <c r="F55" s="1930">
        <f t="shared" si="1"/>
        <v>0</v>
      </c>
      <c r="G55" s="1792">
        <f t="shared" si="3"/>
        <v>0</v>
      </c>
    </row>
    <row r="56" spans="1:7" x14ac:dyDescent="0.25">
      <c r="A56" s="1652"/>
      <c r="B56" s="1666"/>
      <c r="C56" s="1653"/>
      <c r="D56" s="1843"/>
      <c r="E56" s="1539">
        <f t="shared" si="2"/>
        <v>0</v>
      </c>
      <c r="F56" s="1930">
        <f t="shared" si="1"/>
        <v>0</v>
      </c>
      <c r="G56" s="1792">
        <f t="shared" si="3"/>
        <v>0</v>
      </c>
    </row>
    <row r="57" spans="1:7" x14ac:dyDescent="0.25">
      <c r="A57" s="1652"/>
      <c r="B57" s="1666"/>
      <c r="C57" s="1653"/>
      <c r="D57" s="1843"/>
      <c r="E57" s="1539">
        <f t="shared" si="2"/>
        <v>0</v>
      </c>
      <c r="F57" s="1930">
        <f t="shared" si="1"/>
        <v>0</v>
      </c>
      <c r="G57" s="1792">
        <f t="shared" si="3"/>
        <v>0</v>
      </c>
    </row>
    <row r="58" spans="1:7" x14ac:dyDescent="0.25">
      <c r="A58" s="1652"/>
      <c r="B58" s="1666"/>
      <c r="C58" s="1653"/>
      <c r="D58" s="1843"/>
      <c r="E58" s="1539">
        <f t="shared" si="2"/>
        <v>0</v>
      </c>
      <c r="F58" s="1930">
        <f t="shared" si="1"/>
        <v>0</v>
      </c>
      <c r="G58" s="1792">
        <f t="shared" si="3"/>
        <v>0</v>
      </c>
    </row>
    <row r="59" spans="1:7" x14ac:dyDescent="0.25">
      <c r="A59" s="1652"/>
      <c r="B59" s="1666"/>
      <c r="C59" s="1653"/>
      <c r="D59" s="1843"/>
      <c r="E59" s="1539">
        <f t="shared" si="2"/>
        <v>0</v>
      </c>
      <c r="F59" s="1930">
        <f t="shared" si="1"/>
        <v>0</v>
      </c>
      <c r="G59" s="1792">
        <f t="shared" si="3"/>
        <v>0</v>
      </c>
    </row>
    <row r="60" spans="1:7" x14ac:dyDescent="0.25">
      <c r="A60" s="1652"/>
      <c r="B60" s="1666"/>
      <c r="C60" s="1653"/>
      <c r="D60" s="1843"/>
      <c r="E60" s="1539">
        <f t="shared" si="2"/>
        <v>0</v>
      </c>
      <c r="F60" s="1930">
        <f t="shared" si="1"/>
        <v>0</v>
      </c>
      <c r="G60" s="1792">
        <f t="shared" si="3"/>
        <v>0</v>
      </c>
    </row>
    <row r="61" spans="1:7" x14ac:dyDescent="0.25">
      <c r="A61" s="1652"/>
      <c r="B61" s="1666"/>
      <c r="C61" s="1653"/>
      <c r="D61" s="1843"/>
      <c r="E61" s="1539">
        <f t="shared" si="2"/>
        <v>0</v>
      </c>
      <c r="F61" s="1930">
        <f t="shared" si="1"/>
        <v>0</v>
      </c>
      <c r="G61" s="1792">
        <f t="shared" si="3"/>
        <v>0</v>
      </c>
    </row>
    <row r="62" spans="1:7" x14ac:dyDescent="0.25">
      <c r="A62" s="1652"/>
      <c r="B62" s="1666"/>
      <c r="C62" s="1653"/>
      <c r="D62" s="1843"/>
      <c r="E62" s="1539">
        <f t="shared" si="2"/>
        <v>0</v>
      </c>
      <c r="F62" s="1930">
        <f t="shared" si="1"/>
        <v>0</v>
      </c>
      <c r="G62" s="1792">
        <f t="shared" si="3"/>
        <v>0</v>
      </c>
    </row>
    <row r="63" spans="1:7" x14ac:dyDescent="0.25">
      <c r="A63" s="1652"/>
      <c r="B63" s="1666"/>
      <c r="C63" s="1653"/>
      <c r="D63" s="1843"/>
      <c r="E63" s="1539">
        <f t="shared" si="2"/>
        <v>0</v>
      </c>
      <c r="F63" s="1930">
        <f t="shared" si="1"/>
        <v>0</v>
      </c>
      <c r="G63" s="1792">
        <f t="shared" si="3"/>
        <v>0</v>
      </c>
    </row>
    <row r="64" spans="1:7" x14ac:dyDescent="0.25">
      <c r="A64" s="1654"/>
      <c r="B64" s="1666"/>
      <c r="C64" s="1655"/>
      <c r="D64" s="1843"/>
      <c r="E64" s="1539">
        <f t="shared" si="2"/>
        <v>0</v>
      </c>
      <c r="F64" s="1930">
        <f t="shared" si="1"/>
        <v>0</v>
      </c>
      <c r="G64" s="1792">
        <f t="shared" si="3"/>
        <v>0</v>
      </c>
    </row>
    <row r="65" spans="1:7" x14ac:dyDescent="0.25">
      <c r="A65" s="1652"/>
      <c r="B65" s="1666"/>
      <c r="C65" s="1653"/>
      <c r="D65" s="1843"/>
      <c r="E65" s="1539">
        <f t="shared" si="2"/>
        <v>0</v>
      </c>
      <c r="F65" s="1930">
        <f t="shared" si="1"/>
        <v>0</v>
      </c>
      <c r="G65" s="1792">
        <f t="shared" si="3"/>
        <v>0</v>
      </c>
    </row>
    <row r="66" spans="1:7" x14ac:dyDescent="0.25">
      <c r="A66" s="1652"/>
      <c r="B66" s="1666"/>
      <c r="C66" s="1653"/>
      <c r="D66" s="1843"/>
      <c r="E66" s="1539">
        <f t="shared" si="2"/>
        <v>0</v>
      </c>
      <c r="F66" s="1930">
        <f t="shared" si="1"/>
        <v>0</v>
      </c>
      <c r="G66" s="1792">
        <f t="shared" si="3"/>
        <v>0</v>
      </c>
    </row>
    <row r="67" spans="1:7" x14ac:dyDescent="0.25">
      <c r="A67" s="1652"/>
      <c r="B67" s="1666"/>
      <c r="C67" s="1653"/>
      <c r="D67" s="1843"/>
      <c r="E67" s="1539">
        <f t="shared" si="2"/>
        <v>0</v>
      </c>
      <c r="F67" s="1930">
        <f t="shared" si="1"/>
        <v>0</v>
      </c>
      <c r="G67" s="1792">
        <f t="shared" si="3"/>
        <v>0</v>
      </c>
    </row>
    <row r="68" spans="1:7" x14ac:dyDescent="0.25">
      <c r="A68" s="1652"/>
      <c r="B68" s="1666"/>
      <c r="C68" s="1653"/>
      <c r="D68" s="1843"/>
      <c r="E68" s="1539">
        <f t="shared" si="2"/>
        <v>0</v>
      </c>
      <c r="F68" s="1930">
        <f t="shared" si="1"/>
        <v>0</v>
      </c>
      <c r="G68" s="1792">
        <f t="shared" si="3"/>
        <v>0</v>
      </c>
    </row>
    <row r="69" spans="1:7" x14ac:dyDescent="0.25">
      <c r="A69" s="1652"/>
      <c r="B69" s="1666"/>
      <c r="C69" s="1653"/>
      <c r="D69" s="1843"/>
      <c r="E69" s="1539">
        <f t="shared" si="2"/>
        <v>0</v>
      </c>
      <c r="F69" s="1930">
        <f t="shared" si="1"/>
        <v>0</v>
      </c>
      <c r="G69" s="1792">
        <f t="shared" si="3"/>
        <v>0</v>
      </c>
    </row>
    <row r="70" spans="1:7" x14ac:dyDescent="0.25">
      <c r="A70" s="1652"/>
      <c r="B70" s="1666"/>
      <c r="C70" s="1653"/>
      <c r="D70" s="1843"/>
      <c r="E70" s="1539">
        <f t="shared" si="2"/>
        <v>0</v>
      </c>
      <c r="F70" s="1930">
        <f t="shared" si="1"/>
        <v>0</v>
      </c>
      <c r="G70" s="1792">
        <f t="shared" si="3"/>
        <v>0</v>
      </c>
    </row>
    <row r="71" spans="1:7" x14ac:dyDescent="0.25">
      <c r="A71" s="1652"/>
      <c r="B71" s="1666"/>
      <c r="C71" s="1653"/>
      <c r="D71" s="1843"/>
      <c r="E71" s="1539">
        <f t="shared" si="2"/>
        <v>0</v>
      </c>
      <c r="F71" s="1930">
        <f t="shared" si="1"/>
        <v>0</v>
      </c>
      <c r="G71" s="1792">
        <f t="shared" si="3"/>
        <v>0</v>
      </c>
    </row>
    <row r="72" spans="1:7" x14ac:dyDescent="0.25">
      <c r="A72" s="1652"/>
      <c r="B72" s="1666"/>
      <c r="C72" s="1653"/>
      <c r="D72" s="1843"/>
      <c r="E72" s="1539">
        <f t="shared" si="2"/>
        <v>0</v>
      </c>
      <c r="F72" s="1930">
        <f t="shared" si="1"/>
        <v>0</v>
      </c>
      <c r="G72" s="1792">
        <f t="shared" si="3"/>
        <v>0</v>
      </c>
    </row>
    <row r="73" spans="1:7" x14ac:dyDescent="0.25">
      <c r="A73" s="1652"/>
      <c r="B73" s="1666"/>
      <c r="C73" s="1653"/>
      <c r="D73" s="1843"/>
      <c r="E73" s="1539">
        <f t="shared" ref="E73:E84" si="4">IF(D73&lt;=25000,D73,IF(D73&gt;25000,25000,0))</f>
        <v>0</v>
      </c>
      <c r="F73" s="1930">
        <f t="shared" si="1"/>
        <v>0</v>
      </c>
      <c r="G73" s="1792">
        <f t="shared" ref="G73:G84" si="5">IF(F73=0,0,D73-F73)</f>
        <v>0</v>
      </c>
    </row>
    <row r="74" spans="1:7" x14ac:dyDescent="0.25">
      <c r="A74" s="1652"/>
      <c r="B74" s="1666"/>
      <c r="C74" s="1653"/>
      <c r="D74" s="1843"/>
      <c r="E74" s="1539">
        <f t="shared" si="4"/>
        <v>0</v>
      </c>
      <c r="F74" s="1930">
        <f t="shared" si="1"/>
        <v>0</v>
      </c>
      <c r="G74" s="1792">
        <f t="shared" si="5"/>
        <v>0</v>
      </c>
    </row>
    <row r="75" spans="1:7" x14ac:dyDescent="0.25">
      <c r="A75" s="1652"/>
      <c r="B75" s="1666"/>
      <c r="C75" s="1653"/>
      <c r="D75" s="1843"/>
      <c r="E75" s="1539">
        <f t="shared" si="4"/>
        <v>0</v>
      </c>
      <c r="F75" s="1930">
        <f t="shared" si="1"/>
        <v>0</v>
      </c>
      <c r="G75" s="1792">
        <f t="shared" si="5"/>
        <v>0</v>
      </c>
    </row>
    <row r="76" spans="1:7" x14ac:dyDescent="0.25">
      <c r="A76" s="1652"/>
      <c r="B76" s="1666"/>
      <c r="C76" s="1653"/>
      <c r="D76" s="1843"/>
      <c r="E76" s="1539">
        <f t="shared" si="4"/>
        <v>0</v>
      </c>
      <c r="F76" s="1930">
        <f t="shared" si="1"/>
        <v>0</v>
      </c>
      <c r="G76" s="1792">
        <f t="shared" si="5"/>
        <v>0</v>
      </c>
    </row>
    <row r="77" spans="1:7" x14ac:dyDescent="0.25">
      <c r="A77" s="1652"/>
      <c r="B77" s="1666"/>
      <c r="C77" s="1653"/>
      <c r="D77" s="1843"/>
      <c r="E77" s="1539">
        <f t="shared" si="4"/>
        <v>0</v>
      </c>
      <c r="F77" s="1930">
        <f t="shared" si="1"/>
        <v>0</v>
      </c>
      <c r="G77" s="1792">
        <f t="shared" si="5"/>
        <v>0</v>
      </c>
    </row>
    <row r="78" spans="1:7" x14ac:dyDescent="0.25">
      <c r="A78" s="1652"/>
      <c r="B78" s="1666"/>
      <c r="C78" s="1653"/>
      <c r="D78" s="1843"/>
      <c r="E78" s="1539">
        <f t="shared" si="4"/>
        <v>0</v>
      </c>
      <c r="F78" s="1930">
        <f t="shared" si="1"/>
        <v>0</v>
      </c>
      <c r="G78" s="1792">
        <f t="shared" si="5"/>
        <v>0</v>
      </c>
    </row>
    <row r="79" spans="1:7" x14ac:dyDescent="0.25">
      <c r="A79" s="1652"/>
      <c r="B79" s="1666"/>
      <c r="C79" s="1653"/>
      <c r="D79" s="1843"/>
      <c r="E79" s="1539">
        <f t="shared" si="4"/>
        <v>0</v>
      </c>
      <c r="F79" s="1930">
        <f t="shared" si="1"/>
        <v>0</v>
      </c>
      <c r="G79" s="1792">
        <f t="shared" si="5"/>
        <v>0</v>
      </c>
    </row>
    <row r="80" spans="1:7" x14ac:dyDescent="0.25">
      <c r="A80" s="1652"/>
      <c r="B80" s="1666"/>
      <c r="C80" s="1653"/>
      <c r="D80" s="1843"/>
      <c r="E80" s="1539">
        <f t="shared" si="4"/>
        <v>0</v>
      </c>
      <c r="F80" s="1930">
        <f t="shared" si="1"/>
        <v>0</v>
      </c>
      <c r="G80" s="1792">
        <f t="shared" si="5"/>
        <v>0</v>
      </c>
    </row>
    <row r="81" spans="1:7" x14ac:dyDescent="0.25">
      <c r="A81" s="1652"/>
      <c r="B81" s="1666"/>
      <c r="C81" s="1653"/>
      <c r="D81" s="1843"/>
      <c r="E81" s="1539">
        <f t="shared" si="4"/>
        <v>0</v>
      </c>
      <c r="F81" s="193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0">
        <f t="shared" si="6"/>
        <v>0</v>
      </c>
      <c r="G82" s="1792">
        <f t="shared" si="5"/>
        <v>0</v>
      </c>
    </row>
    <row r="83" spans="1:7" x14ac:dyDescent="0.25">
      <c r="A83" s="1652"/>
      <c r="B83" s="1666"/>
      <c r="C83" s="1653"/>
      <c r="D83" s="1843"/>
      <c r="E83" s="1539">
        <f t="shared" si="4"/>
        <v>0</v>
      </c>
      <c r="F83" s="1930">
        <f t="shared" si="6"/>
        <v>0</v>
      </c>
      <c r="G83" s="1792">
        <f t="shared" si="5"/>
        <v>0</v>
      </c>
    </row>
    <row r="84" spans="1:7" x14ac:dyDescent="0.25">
      <c r="A84" s="1652"/>
      <c r="B84" s="1666"/>
      <c r="C84" s="1653"/>
      <c r="D84" s="1843"/>
      <c r="E84" s="1539">
        <f t="shared" si="4"/>
        <v>0</v>
      </c>
      <c r="F84" s="1930">
        <f t="shared" si="6"/>
        <v>0</v>
      </c>
      <c r="G84" s="1792">
        <f t="shared" si="5"/>
        <v>0</v>
      </c>
    </row>
    <row r="85" spans="1:7" x14ac:dyDescent="0.25">
      <c r="A85" s="1652"/>
      <c r="B85" s="1666"/>
      <c r="C85" s="1653"/>
      <c r="D85" s="1843"/>
      <c r="E85" s="1539">
        <f t="shared" si="2"/>
        <v>0</v>
      </c>
      <c r="F85" s="1930">
        <f t="shared" si="6"/>
        <v>0</v>
      </c>
      <c r="G85" s="1792">
        <f t="shared" si="3"/>
        <v>0</v>
      </c>
    </row>
    <row r="86" spans="1:7" x14ac:dyDescent="0.25">
      <c r="A86" s="1652"/>
      <c r="B86" s="1666"/>
      <c r="C86" s="1653"/>
      <c r="D86" s="1843"/>
      <c r="E86" s="1539">
        <f t="shared" si="2"/>
        <v>0</v>
      </c>
      <c r="F86" s="1930">
        <f t="shared" si="6"/>
        <v>0</v>
      </c>
      <c r="G86" s="1792">
        <f t="shared" si="3"/>
        <v>0</v>
      </c>
    </row>
    <row r="87" spans="1:7" x14ac:dyDescent="0.25">
      <c r="A87" s="1652"/>
      <c r="B87" s="1666"/>
      <c r="C87" s="1653"/>
      <c r="D87" s="1843"/>
      <c r="E87" s="1539">
        <f t="shared" si="2"/>
        <v>0</v>
      </c>
      <c r="F87" s="1930">
        <f t="shared" si="6"/>
        <v>0</v>
      </c>
      <c r="G87" s="1792">
        <f t="shared" si="3"/>
        <v>0</v>
      </c>
    </row>
    <row r="88" spans="1:7" x14ac:dyDescent="0.25">
      <c r="A88" s="1652"/>
      <c r="B88" s="1666"/>
      <c r="C88" s="1653"/>
      <c r="D88" s="1843"/>
      <c r="E88" s="1539">
        <f t="shared" si="2"/>
        <v>0</v>
      </c>
      <c r="F88" s="1930">
        <f t="shared" si="6"/>
        <v>0</v>
      </c>
      <c r="G88" s="1792">
        <f t="shared" si="3"/>
        <v>0</v>
      </c>
    </row>
    <row r="89" spans="1:7" x14ac:dyDescent="0.25">
      <c r="A89" s="1652"/>
      <c r="B89" s="1666"/>
      <c r="C89" s="1653"/>
      <c r="D89" s="1843"/>
      <c r="E89" s="1539">
        <f t="shared" si="2"/>
        <v>0</v>
      </c>
      <c r="F89" s="1930">
        <f t="shared" si="6"/>
        <v>0</v>
      </c>
      <c r="G89" s="1792">
        <f t="shared" si="3"/>
        <v>0</v>
      </c>
    </row>
    <row r="90" spans="1:7" x14ac:dyDescent="0.25">
      <c r="A90" s="1652"/>
      <c r="B90" s="1666"/>
      <c r="C90" s="1653"/>
      <c r="D90" s="1843"/>
      <c r="E90" s="1539">
        <f t="shared" si="2"/>
        <v>0</v>
      </c>
      <c r="F90" s="1930">
        <f t="shared" si="6"/>
        <v>0</v>
      </c>
      <c r="G90" s="1792">
        <f t="shared" si="3"/>
        <v>0</v>
      </c>
    </row>
    <row r="91" spans="1:7" x14ac:dyDescent="0.25">
      <c r="A91" s="1652"/>
      <c r="B91" s="1666"/>
      <c r="C91" s="1653"/>
      <c r="D91" s="1843"/>
      <c r="E91" s="1539">
        <f t="shared" si="2"/>
        <v>0</v>
      </c>
      <c r="F91" s="1930">
        <f t="shared" si="6"/>
        <v>0</v>
      </c>
      <c r="G91" s="1792">
        <f t="shared" si="3"/>
        <v>0</v>
      </c>
    </row>
    <row r="92" spans="1:7" x14ac:dyDescent="0.25">
      <c r="A92" s="1652"/>
      <c r="B92" s="1666"/>
      <c r="C92" s="1653"/>
      <c r="D92" s="1843"/>
      <c r="E92" s="1539">
        <f t="shared" si="2"/>
        <v>0</v>
      </c>
      <c r="F92" s="1930">
        <f t="shared" si="6"/>
        <v>0</v>
      </c>
      <c r="G92" s="1792">
        <f t="shared" si="3"/>
        <v>0</v>
      </c>
    </row>
    <row r="93" spans="1:7" x14ac:dyDescent="0.25">
      <c r="A93" s="1652"/>
      <c r="B93" s="1666"/>
      <c r="C93" s="1653"/>
      <c r="D93" s="1843"/>
      <c r="E93" s="1539">
        <f t="shared" ref="E93" si="7">IF(D93&lt;=25000,D93,IF(D93&gt;25000,25000,0))</f>
        <v>0</v>
      </c>
      <c r="F93" s="1930">
        <f t="shared" si="6"/>
        <v>0</v>
      </c>
      <c r="G93" s="1792">
        <f t="shared" ref="G93" si="8">IF(F93=0,0,D93-F93)</f>
        <v>0</v>
      </c>
    </row>
    <row r="94" spans="1:7" x14ac:dyDescent="0.25">
      <c r="A94" s="1652"/>
      <c r="B94" s="1666"/>
      <c r="C94" s="1653"/>
      <c r="D94" s="1843"/>
      <c r="E94" s="1539">
        <f t="shared" si="2"/>
        <v>0</v>
      </c>
      <c r="F94" s="1930">
        <f t="shared" si="6"/>
        <v>0</v>
      </c>
      <c r="G94" s="1792">
        <f t="shared" si="3"/>
        <v>0</v>
      </c>
    </row>
    <row r="95" spans="1:7" x14ac:dyDescent="0.25">
      <c r="A95" s="1652"/>
      <c r="B95" s="1666"/>
      <c r="C95" s="1653"/>
      <c r="D95" s="1843"/>
      <c r="E95" s="1539">
        <f t="shared" ref="E95:E98" si="9">IF(D95&lt;=25000,D95,IF(D95&gt;25000,25000,0))</f>
        <v>0</v>
      </c>
      <c r="F95" s="1930">
        <f t="shared" si="6"/>
        <v>0</v>
      </c>
      <c r="G95" s="1792">
        <f t="shared" ref="G95:G98" si="10">IF(F95=0,0,D95-F95)</f>
        <v>0</v>
      </c>
    </row>
    <row r="96" spans="1:7" x14ac:dyDescent="0.25">
      <c r="A96" s="1652"/>
      <c r="B96" s="1666"/>
      <c r="C96" s="1653"/>
      <c r="D96" s="1843"/>
      <c r="E96" s="1539">
        <f t="shared" si="9"/>
        <v>0</v>
      </c>
      <c r="F96" s="1930">
        <f t="shared" si="6"/>
        <v>0</v>
      </c>
      <c r="G96" s="1792">
        <f t="shared" si="10"/>
        <v>0</v>
      </c>
    </row>
    <row r="97" spans="1:7" x14ac:dyDescent="0.25">
      <c r="A97" s="1652"/>
      <c r="B97" s="1666"/>
      <c r="C97" s="1653"/>
      <c r="D97" s="1843"/>
      <c r="E97" s="1539">
        <f t="shared" si="9"/>
        <v>0</v>
      </c>
      <c r="F97" s="1930">
        <f t="shared" si="6"/>
        <v>0</v>
      </c>
      <c r="G97" s="1792">
        <f t="shared" si="10"/>
        <v>0</v>
      </c>
    </row>
    <row r="98" spans="1:7" x14ac:dyDescent="0.25">
      <c r="A98" s="1652"/>
      <c r="B98" s="1666"/>
      <c r="C98" s="1653"/>
      <c r="D98" s="1843"/>
      <c r="E98" s="1539">
        <f t="shared" si="9"/>
        <v>0</v>
      </c>
      <c r="F98" s="1930">
        <f t="shared" si="6"/>
        <v>0</v>
      </c>
      <c r="G98" s="1792">
        <f t="shared" si="10"/>
        <v>0</v>
      </c>
    </row>
    <row r="99" spans="1:7" x14ac:dyDescent="0.25">
      <c r="A99" s="1652"/>
      <c r="B99" s="1666"/>
      <c r="C99" s="1653"/>
      <c r="D99" s="1843"/>
      <c r="E99" s="1539">
        <f t="shared" ref="E99" si="11">IF(D99&lt;=25000,D99,IF(D99&gt;25000,25000,0))</f>
        <v>0</v>
      </c>
      <c r="F99" s="1930">
        <f t="shared" si="6"/>
        <v>0</v>
      </c>
      <c r="G99" s="1792">
        <f t="shared" ref="G99" si="12">IF(F99=0,0,D99-F99)</f>
        <v>0</v>
      </c>
    </row>
    <row r="100" spans="1:7" x14ac:dyDescent="0.25">
      <c r="A100" s="1652"/>
      <c r="B100" s="1666"/>
      <c r="C100" s="1653"/>
      <c r="D100" s="1843"/>
      <c r="E100" s="1539">
        <f t="shared" ref="E100:E112" si="13">IF(D100&lt;=25000,D100,IF(D100&gt;25000,25000,0))</f>
        <v>0</v>
      </c>
      <c r="F100" s="1930">
        <f t="shared" si="6"/>
        <v>0</v>
      </c>
      <c r="G100" s="1792">
        <f t="shared" ref="G100:G112" si="14">IF(F100=0,0,D100-F100)</f>
        <v>0</v>
      </c>
    </row>
    <row r="101" spans="1:7" x14ac:dyDescent="0.25">
      <c r="A101" s="1652"/>
      <c r="B101" s="1666"/>
      <c r="C101" s="1653"/>
      <c r="D101" s="1843"/>
      <c r="E101" s="1539">
        <f t="shared" si="13"/>
        <v>0</v>
      </c>
      <c r="F101" s="1930">
        <f t="shared" si="6"/>
        <v>0</v>
      </c>
      <c r="G101" s="1792">
        <f t="shared" si="14"/>
        <v>0</v>
      </c>
    </row>
    <row r="102" spans="1:7" x14ac:dyDescent="0.25">
      <c r="A102" s="1652"/>
      <c r="B102" s="1666"/>
      <c r="C102" s="1653"/>
      <c r="D102" s="1843"/>
      <c r="E102" s="1539">
        <f t="shared" si="13"/>
        <v>0</v>
      </c>
      <c r="F102" s="1930">
        <f t="shared" si="6"/>
        <v>0</v>
      </c>
      <c r="G102" s="1792">
        <f t="shared" si="14"/>
        <v>0</v>
      </c>
    </row>
    <row r="103" spans="1:7" x14ac:dyDescent="0.25">
      <c r="A103" s="1652"/>
      <c r="B103" s="1666"/>
      <c r="C103" s="1653"/>
      <c r="D103" s="1843"/>
      <c r="E103" s="1539">
        <f t="shared" si="13"/>
        <v>0</v>
      </c>
      <c r="F103" s="1930">
        <f t="shared" si="6"/>
        <v>0</v>
      </c>
      <c r="G103" s="1792">
        <f t="shared" si="14"/>
        <v>0</v>
      </c>
    </row>
    <row r="104" spans="1:7" x14ac:dyDescent="0.25">
      <c r="A104" s="1652"/>
      <c r="B104" s="1666"/>
      <c r="C104" s="1653"/>
      <c r="D104" s="1843"/>
      <c r="E104" s="1539">
        <f t="shared" si="13"/>
        <v>0</v>
      </c>
      <c r="F104" s="1930">
        <f t="shared" si="6"/>
        <v>0</v>
      </c>
      <c r="G104" s="1792">
        <f t="shared" si="14"/>
        <v>0</v>
      </c>
    </row>
    <row r="105" spans="1:7" x14ac:dyDescent="0.25">
      <c r="A105" s="1652"/>
      <c r="B105" s="1666"/>
      <c r="C105" s="1653"/>
      <c r="D105" s="1843"/>
      <c r="E105" s="1539">
        <f t="shared" si="13"/>
        <v>0</v>
      </c>
      <c r="F105" s="1930">
        <f t="shared" si="6"/>
        <v>0</v>
      </c>
      <c r="G105" s="1792">
        <f t="shared" si="14"/>
        <v>0</v>
      </c>
    </row>
    <row r="106" spans="1:7" x14ac:dyDescent="0.25">
      <c r="A106" s="1652"/>
      <c r="B106" s="1666"/>
      <c r="C106" s="1653"/>
      <c r="D106" s="1843"/>
      <c r="E106" s="1539">
        <f t="shared" si="13"/>
        <v>0</v>
      </c>
      <c r="F106" s="1930">
        <f t="shared" si="6"/>
        <v>0</v>
      </c>
      <c r="G106" s="1792">
        <f t="shared" si="14"/>
        <v>0</v>
      </c>
    </row>
    <row r="107" spans="1:7" x14ac:dyDescent="0.25">
      <c r="A107" s="1652"/>
      <c r="B107" s="1666"/>
      <c r="C107" s="1653"/>
      <c r="D107" s="1843"/>
      <c r="E107" s="1539">
        <f t="shared" si="13"/>
        <v>0</v>
      </c>
      <c r="F107" s="1930">
        <f t="shared" si="6"/>
        <v>0</v>
      </c>
      <c r="G107" s="1792">
        <f t="shared" si="14"/>
        <v>0</v>
      </c>
    </row>
    <row r="108" spans="1:7" x14ac:dyDescent="0.25">
      <c r="A108" s="1652"/>
      <c r="B108" s="1666"/>
      <c r="C108" s="1653"/>
      <c r="D108" s="1843"/>
      <c r="E108" s="1539">
        <f t="shared" si="13"/>
        <v>0</v>
      </c>
      <c r="F108" s="1930">
        <f t="shared" si="6"/>
        <v>0</v>
      </c>
      <c r="G108" s="1792">
        <f t="shared" si="14"/>
        <v>0</v>
      </c>
    </row>
    <row r="109" spans="1:7" x14ac:dyDescent="0.25">
      <c r="A109" s="1652"/>
      <c r="B109" s="1666"/>
      <c r="C109" s="1653"/>
      <c r="D109" s="1843"/>
      <c r="E109" s="1539">
        <f t="shared" si="13"/>
        <v>0</v>
      </c>
      <c r="F109" s="1930">
        <f t="shared" si="6"/>
        <v>0</v>
      </c>
      <c r="G109" s="1792">
        <f t="shared" si="14"/>
        <v>0</v>
      </c>
    </row>
    <row r="110" spans="1:7" x14ac:dyDescent="0.25">
      <c r="A110" s="1652"/>
      <c r="B110" s="1666"/>
      <c r="C110" s="1653"/>
      <c r="D110" s="1843"/>
      <c r="E110" s="1539">
        <f t="shared" si="13"/>
        <v>0</v>
      </c>
      <c r="F110" s="1930">
        <f t="shared" si="6"/>
        <v>0</v>
      </c>
      <c r="G110" s="1792">
        <f t="shared" si="14"/>
        <v>0</v>
      </c>
    </row>
    <row r="111" spans="1:7" x14ac:dyDescent="0.25">
      <c r="A111" s="1652"/>
      <c r="B111" s="1666"/>
      <c r="C111" s="1653"/>
      <c r="D111" s="1843"/>
      <c r="E111" s="1539">
        <f t="shared" si="13"/>
        <v>0</v>
      </c>
      <c r="F111" s="1930">
        <f t="shared" si="6"/>
        <v>0</v>
      </c>
      <c r="G111" s="1792">
        <f t="shared" si="14"/>
        <v>0</v>
      </c>
    </row>
    <row r="112" spans="1:7" x14ac:dyDescent="0.25">
      <c r="A112" s="1652"/>
      <c r="B112" s="1666"/>
      <c r="C112" s="1653"/>
      <c r="D112" s="1843"/>
      <c r="E112" s="1539">
        <f t="shared" si="13"/>
        <v>0</v>
      </c>
      <c r="F112" s="1930">
        <f t="shared" si="6"/>
        <v>0</v>
      </c>
      <c r="G112" s="1792">
        <f t="shared" si="14"/>
        <v>0</v>
      </c>
    </row>
    <row r="113" spans="1:7" x14ac:dyDescent="0.25">
      <c r="A113" s="1652"/>
      <c r="B113" s="1666"/>
      <c r="C113" s="1653"/>
      <c r="D113" s="1843"/>
      <c r="E113" s="1539">
        <f t="shared" ref="E113:E125" si="15">IF(D113&lt;=25000,D113,IF(D113&gt;25000,25000,0))</f>
        <v>0</v>
      </c>
      <c r="F113" s="1930">
        <f t="shared" si="6"/>
        <v>0</v>
      </c>
      <c r="G113" s="1792">
        <f t="shared" ref="G113:G125" si="16">IF(F113=0,0,D113-F113)</f>
        <v>0</v>
      </c>
    </row>
    <row r="114" spans="1:7" x14ac:dyDescent="0.25">
      <c r="A114" s="1652"/>
      <c r="B114" s="1666"/>
      <c r="C114" s="1653"/>
      <c r="D114" s="1843"/>
      <c r="E114" s="1539">
        <f t="shared" si="15"/>
        <v>0</v>
      </c>
      <c r="F114" s="1930">
        <f t="shared" si="6"/>
        <v>0</v>
      </c>
      <c r="G114" s="1792">
        <f t="shared" si="16"/>
        <v>0</v>
      </c>
    </row>
    <row r="115" spans="1:7" x14ac:dyDescent="0.25">
      <c r="A115" s="1652"/>
      <c r="B115" s="1666"/>
      <c r="C115" s="1653"/>
      <c r="D115" s="1843"/>
      <c r="E115" s="1539">
        <f t="shared" si="15"/>
        <v>0</v>
      </c>
      <c r="F115" s="1930">
        <f t="shared" si="6"/>
        <v>0</v>
      </c>
      <c r="G115" s="1792">
        <f t="shared" si="16"/>
        <v>0</v>
      </c>
    </row>
    <row r="116" spans="1:7" x14ac:dyDescent="0.25">
      <c r="A116" s="1652"/>
      <c r="B116" s="1666"/>
      <c r="C116" s="1653"/>
      <c r="D116" s="1843"/>
      <c r="E116" s="1539">
        <f t="shared" si="15"/>
        <v>0</v>
      </c>
      <c r="F116" s="1930">
        <f t="shared" si="6"/>
        <v>0</v>
      </c>
      <c r="G116" s="1792">
        <f t="shared" si="16"/>
        <v>0</v>
      </c>
    </row>
    <row r="117" spans="1:7" x14ac:dyDescent="0.25">
      <c r="A117" s="1652"/>
      <c r="B117" s="1666"/>
      <c r="C117" s="1653"/>
      <c r="D117" s="1843"/>
      <c r="E117" s="1539">
        <f t="shared" si="15"/>
        <v>0</v>
      </c>
      <c r="F117" s="1930">
        <f t="shared" si="6"/>
        <v>0</v>
      </c>
      <c r="G117" s="1792">
        <f t="shared" si="16"/>
        <v>0</v>
      </c>
    </row>
    <row r="118" spans="1:7" x14ac:dyDescent="0.25">
      <c r="A118" s="1652"/>
      <c r="B118" s="1666"/>
      <c r="C118" s="1653"/>
      <c r="D118" s="1843"/>
      <c r="E118" s="1539">
        <f t="shared" si="15"/>
        <v>0</v>
      </c>
      <c r="F118" s="1930">
        <f t="shared" si="6"/>
        <v>0</v>
      </c>
      <c r="G118" s="1792">
        <f t="shared" si="16"/>
        <v>0</v>
      </c>
    </row>
    <row r="119" spans="1:7" x14ac:dyDescent="0.25">
      <c r="A119" s="1652"/>
      <c r="B119" s="1666"/>
      <c r="C119" s="1653"/>
      <c r="D119" s="1843"/>
      <c r="E119" s="1539">
        <f t="shared" si="15"/>
        <v>0</v>
      </c>
      <c r="F119" s="1930">
        <f t="shared" si="6"/>
        <v>0</v>
      </c>
      <c r="G119" s="1792">
        <f t="shared" si="16"/>
        <v>0</v>
      </c>
    </row>
    <row r="120" spans="1:7" x14ac:dyDescent="0.25">
      <c r="A120" s="1652"/>
      <c r="B120" s="1666"/>
      <c r="C120" s="1653"/>
      <c r="D120" s="1843"/>
      <c r="E120" s="1539">
        <f t="shared" si="15"/>
        <v>0</v>
      </c>
      <c r="F120" s="1930">
        <f t="shared" si="6"/>
        <v>0</v>
      </c>
      <c r="G120" s="1792">
        <f t="shared" si="16"/>
        <v>0</v>
      </c>
    </row>
    <row r="121" spans="1:7" x14ac:dyDescent="0.25">
      <c r="A121" s="1652"/>
      <c r="B121" s="1666"/>
      <c r="C121" s="1653"/>
      <c r="D121" s="1843"/>
      <c r="E121" s="1539">
        <f t="shared" si="15"/>
        <v>0</v>
      </c>
      <c r="F121" s="1930">
        <f t="shared" si="6"/>
        <v>0</v>
      </c>
      <c r="G121" s="1792">
        <f t="shared" si="16"/>
        <v>0</v>
      </c>
    </row>
    <row r="122" spans="1:7" x14ac:dyDescent="0.25">
      <c r="A122" s="1652"/>
      <c r="B122" s="1666"/>
      <c r="C122" s="1653"/>
      <c r="D122" s="1843"/>
      <c r="E122" s="1539">
        <f t="shared" si="15"/>
        <v>0</v>
      </c>
      <c r="F122" s="1930">
        <f t="shared" si="6"/>
        <v>0</v>
      </c>
      <c r="G122" s="1792">
        <f t="shared" si="16"/>
        <v>0</v>
      </c>
    </row>
    <row r="123" spans="1:7" x14ac:dyDescent="0.25">
      <c r="A123" s="1652"/>
      <c r="B123" s="1666"/>
      <c r="C123" s="1653"/>
      <c r="D123" s="1843"/>
      <c r="E123" s="1539">
        <f t="shared" si="15"/>
        <v>0</v>
      </c>
      <c r="F123" s="1930">
        <f t="shared" si="6"/>
        <v>0</v>
      </c>
      <c r="G123" s="1792">
        <f t="shared" si="16"/>
        <v>0</v>
      </c>
    </row>
    <row r="124" spans="1:7" x14ac:dyDescent="0.25">
      <c r="A124" s="1652"/>
      <c r="B124" s="1666"/>
      <c r="C124" s="1653"/>
      <c r="D124" s="1843"/>
      <c r="E124" s="1539">
        <f t="shared" si="15"/>
        <v>0</v>
      </c>
      <c r="F124" s="1930">
        <f t="shared" si="6"/>
        <v>0</v>
      </c>
      <c r="G124" s="1792">
        <f t="shared" si="16"/>
        <v>0</v>
      </c>
    </row>
    <row r="125" spans="1:7" x14ac:dyDescent="0.25">
      <c r="A125" s="1652"/>
      <c r="B125" s="1666"/>
      <c r="C125" s="1653"/>
      <c r="D125" s="1843"/>
      <c r="E125" s="1539">
        <f t="shared" si="15"/>
        <v>0</v>
      </c>
      <c r="F125" s="1930">
        <f t="shared" si="6"/>
        <v>0</v>
      </c>
      <c r="G125" s="1792">
        <f t="shared" si="16"/>
        <v>0</v>
      </c>
    </row>
    <row r="126" spans="1:7" x14ac:dyDescent="0.25">
      <c r="A126" s="1652"/>
      <c r="B126" s="1666"/>
      <c r="C126" s="1653"/>
      <c r="D126" s="1843"/>
      <c r="E126" s="1539">
        <f t="shared" ref="E126:E134" si="17">IF(D126&lt;=25000,D126,IF(D126&gt;25000,25000,0))</f>
        <v>0</v>
      </c>
      <c r="F126" s="1930">
        <f t="shared" si="6"/>
        <v>0</v>
      </c>
      <c r="G126" s="1792">
        <f t="shared" ref="G126:G134" si="18">IF(F126=0,0,D126-F126)</f>
        <v>0</v>
      </c>
    </row>
    <row r="127" spans="1:7" x14ac:dyDescent="0.25">
      <c r="A127" s="1652"/>
      <c r="B127" s="1666"/>
      <c r="C127" s="1653"/>
      <c r="D127" s="1843"/>
      <c r="E127" s="1539">
        <f t="shared" si="17"/>
        <v>0</v>
      </c>
      <c r="F127" s="1930">
        <f t="shared" si="6"/>
        <v>0</v>
      </c>
      <c r="G127" s="1792">
        <f t="shared" si="18"/>
        <v>0</v>
      </c>
    </row>
    <row r="128" spans="1:7" x14ac:dyDescent="0.25">
      <c r="A128" s="1652"/>
      <c r="B128" s="1666"/>
      <c r="C128" s="1653"/>
      <c r="D128" s="1843"/>
      <c r="E128" s="1539">
        <f t="shared" si="17"/>
        <v>0</v>
      </c>
      <c r="F128" s="1930">
        <f t="shared" si="6"/>
        <v>0</v>
      </c>
      <c r="G128" s="1792">
        <f t="shared" si="18"/>
        <v>0</v>
      </c>
    </row>
    <row r="129" spans="1:7" x14ac:dyDescent="0.25">
      <c r="A129" s="1652"/>
      <c r="B129" s="1666"/>
      <c r="C129" s="1653"/>
      <c r="D129" s="1843"/>
      <c r="E129" s="1539">
        <f t="shared" si="17"/>
        <v>0</v>
      </c>
      <c r="F129" s="1930">
        <f t="shared" si="6"/>
        <v>0</v>
      </c>
      <c r="G129" s="1792">
        <f t="shared" si="18"/>
        <v>0</v>
      </c>
    </row>
    <row r="130" spans="1:7" x14ac:dyDescent="0.25">
      <c r="A130" s="1652"/>
      <c r="B130" s="1666"/>
      <c r="C130" s="1653"/>
      <c r="D130" s="1843"/>
      <c r="E130" s="1539">
        <f t="shared" si="17"/>
        <v>0</v>
      </c>
      <c r="F130" s="1930">
        <f t="shared" si="6"/>
        <v>0</v>
      </c>
      <c r="G130" s="1792">
        <f t="shared" si="18"/>
        <v>0</v>
      </c>
    </row>
    <row r="131" spans="1:7" x14ac:dyDescent="0.25">
      <c r="A131" s="1652"/>
      <c r="B131" s="1836"/>
      <c r="C131" s="1653"/>
      <c r="D131" s="1843"/>
      <c r="E131" s="1539">
        <f t="shared" si="17"/>
        <v>0</v>
      </c>
      <c r="F131" s="1930">
        <f t="shared" si="6"/>
        <v>0</v>
      </c>
      <c r="G131" s="1792">
        <f t="shared" si="18"/>
        <v>0</v>
      </c>
    </row>
    <row r="132" spans="1:7" x14ac:dyDescent="0.25">
      <c r="A132" s="1652"/>
      <c r="B132" s="1836"/>
      <c r="C132" s="1653"/>
      <c r="D132" s="1843"/>
      <c r="E132" s="1539">
        <f t="shared" si="17"/>
        <v>0</v>
      </c>
      <c r="F132" s="1930">
        <f t="shared" si="6"/>
        <v>0</v>
      </c>
      <c r="G132" s="1792">
        <f t="shared" si="18"/>
        <v>0</v>
      </c>
    </row>
    <row r="133" spans="1:7" x14ac:dyDescent="0.25">
      <c r="A133" s="1652"/>
      <c r="B133" s="1666"/>
      <c r="C133" s="1653"/>
      <c r="D133" s="1843"/>
      <c r="E133" s="1539">
        <f t="shared" si="17"/>
        <v>0</v>
      </c>
      <c r="F133" s="1930">
        <f t="shared" si="6"/>
        <v>0</v>
      </c>
      <c r="G133" s="1792">
        <f t="shared" si="18"/>
        <v>0</v>
      </c>
    </row>
    <row r="134" spans="1:7" x14ac:dyDescent="0.25">
      <c r="A134" s="1652"/>
      <c r="B134" s="1666"/>
      <c r="C134" s="1653"/>
      <c r="D134" s="1843"/>
      <c r="E134" s="1539">
        <f t="shared" si="17"/>
        <v>0</v>
      </c>
      <c r="F134" s="1930">
        <f t="shared" si="6"/>
        <v>0</v>
      </c>
      <c r="G134" s="1792">
        <f t="shared" si="18"/>
        <v>0</v>
      </c>
    </row>
    <row r="135" spans="1:7" x14ac:dyDescent="0.25">
      <c r="A135" s="1652"/>
      <c r="B135" s="1666"/>
      <c r="C135" s="1653"/>
      <c r="D135" s="1843"/>
      <c r="E135" s="1539">
        <f t="shared" ref="E135:E139" si="19">IF(D135&lt;=25000,D135,IF(D135&gt;25000,25000,0))</f>
        <v>0</v>
      </c>
      <c r="F135" s="1930">
        <f t="shared" si="6"/>
        <v>0</v>
      </c>
      <c r="G135" s="1792">
        <f t="shared" ref="G135:G139" si="20">IF(F135=0,0,D135-F135)</f>
        <v>0</v>
      </c>
    </row>
    <row r="136" spans="1:7" x14ac:dyDescent="0.25">
      <c r="A136" s="1652"/>
      <c r="B136" s="1666"/>
      <c r="C136" s="1653"/>
      <c r="D136" s="1843"/>
      <c r="E136" s="1539">
        <f t="shared" si="19"/>
        <v>0</v>
      </c>
      <c r="F136" s="1930">
        <f t="shared" si="6"/>
        <v>0</v>
      </c>
      <c r="G136" s="1792">
        <f t="shared" si="20"/>
        <v>0</v>
      </c>
    </row>
    <row r="137" spans="1:7" x14ac:dyDescent="0.25">
      <c r="A137" s="1652"/>
      <c r="B137" s="1666"/>
      <c r="C137" s="1653"/>
      <c r="D137" s="1843"/>
      <c r="E137" s="1539">
        <f t="shared" si="19"/>
        <v>0</v>
      </c>
      <c r="F137" s="1930">
        <f t="shared" si="6"/>
        <v>0</v>
      </c>
      <c r="G137" s="1792">
        <f t="shared" si="20"/>
        <v>0</v>
      </c>
    </row>
    <row r="138" spans="1:7" x14ac:dyDescent="0.25">
      <c r="A138" s="1652"/>
      <c r="B138" s="1666"/>
      <c r="C138" s="1653"/>
      <c r="D138" s="1843"/>
      <c r="E138" s="1539">
        <f t="shared" si="19"/>
        <v>0</v>
      </c>
      <c r="F138" s="1930">
        <f t="shared" si="6"/>
        <v>0</v>
      </c>
      <c r="G138" s="1792">
        <f t="shared" si="20"/>
        <v>0</v>
      </c>
    </row>
    <row r="139" spans="1:7" x14ac:dyDescent="0.25">
      <c r="A139" s="1652"/>
      <c r="B139" s="1666"/>
      <c r="C139" s="1653"/>
      <c r="D139" s="1843"/>
      <c r="E139" s="1539">
        <f t="shared" si="19"/>
        <v>0</v>
      </c>
      <c r="F139" s="1930">
        <f t="shared" si="6"/>
        <v>0</v>
      </c>
      <c r="G139" s="1792">
        <f t="shared" si="20"/>
        <v>0</v>
      </c>
    </row>
    <row r="140" spans="1:7" x14ac:dyDescent="0.25">
      <c r="A140" s="1652"/>
      <c r="B140" s="1665"/>
      <c r="C140" s="1653"/>
      <c r="D140" s="1843"/>
      <c r="E140" s="1539">
        <f t="shared" si="2"/>
        <v>0</v>
      </c>
      <c r="F140" s="1930">
        <f t="shared" si="6"/>
        <v>0</v>
      </c>
      <c r="G140" s="1792">
        <f t="shared" si="3"/>
        <v>0</v>
      </c>
    </row>
    <row r="141" spans="1:7" x14ac:dyDescent="0.25">
      <c r="A141" s="1795" t="s">
        <v>156</v>
      </c>
      <c r="B141" s="1796"/>
      <c r="C141" s="1797"/>
      <c r="D141" s="1793">
        <f>SUM(D17:D140)</f>
        <v>380042</v>
      </c>
      <c r="E141" s="1540">
        <f t="shared" si="0"/>
        <v>25000</v>
      </c>
      <c r="F141" s="1931">
        <f>SUM(F17:F140)</f>
        <v>50000</v>
      </c>
      <c r="G141" s="1794">
        <f>SUM(G17:G140)</f>
        <v>208959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I46"/>
  <sheetViews>
    <sheetView showGridLines="0" defaultGridColor="0" topLeftCell="A22" colorId="8" zoomScale="110" zoomScaleNormal="110" workbookViewId="0">
      <selection activeCell="C59" sqref="C5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9" t="s">
        <v>1679</v>
      </c>
      <c r="B5" s="2300"/>
      <c r="C5" s="2300"/>
      <c r="D5" s="2300"/>
      <c r="E5" s="2300"/>
      <c r="F5" s="2300"/>
      <c r="G5" s="2301"/>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304" t="s">
        <v>1977</v>
      </c>
      <c r="B11" s="2305"/>
      <c r="C11" s="2305"/>
      <c r="D11" s="230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1455736</v>
      </c>
      <c r="F19" s="1798"/>
      <c r="G19" s="1800">
        <f>'Expenditures 15-22'!K33-SUM('Expenditures 15-22'!G33,'Expenditures 15-22'!I33)+'Expenditures 15-22'!D229</f>
        <v>1455736</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172952</v>
      </c>
      <c r="F21" s="1801"/>
      <c r="G21" s="1804">
        <f>'Expenditures 15-22'!K42-SUM('Expenditures 15-22'!G42,'Expenditures 15-22'!I42)+'Expenditures 15-22'!K120-SUM('Expenditures 15-22'!G120,'Expenditures 15-22'!I120)+'Expenditures 15-22'!K180-SUM('Expenditures 15-22'!G180,'Expenditures 15-22'!I180)+'Expenditures 15-22'!D238</f>
        <v>172952</v>
      </c>
      <c r="H21" s="987"/>
      <c r="I21" s="162"/>
    </row>
    <row r="22" spans="1:9" s="668" customFormat="1" ht="12" customHeight="1" x14ac:dyDescent="0.2">
      <c r="A22" s="994" t="s">
        <v>564</v>
      </c>
      <c r="B22" s="995"/>
      <c r="C22" s="993">
        <v>2200</v>
      </c>
      <c r="D22" s="1801"/>
      <c r="E22" s="1803">
        <f>'Expenditures 15-22'!K47-SUM('Expenditures 15-22'!G47,'Expenditures 15-22'!I47)+'Expenditures 15-22'!D243</f>
        <v>103242</v>
      </c>
      <c r="F22" s="1801"/>
      <c r="G22" s="1804">
        <f>'Expenditures 15-22'!K47-SUM('Expenditures 15-22'!G47,'Expenditures 15-22'!I47)+'Expenditures 15-22'!D243</f>
        <v>103242</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278986</v>
      </c>
      <c r="F23" s="1801"/>
      <c r="G23" s="1803">
        <f>'Expenditures 15-22'!K53-SUM('Expenditures 15-22'!G53,'Expenditures 15-22'!I53)+'Expenditures 15-22'!D257+'Expenditures 15-22'!K330-SUM('Expenditures 15-22'!G330,'Expenditures 15-22'!I330)</f>
        <v>278986</v>
      </c>
      <c r="H23" s="987"/>
      <c r="I23" s="162"/>
    </row>
    <row r="24" spans="1:9" s="668" customFormat="1" ht="12" customHeight="1" x14ac:dyDescent="0.2">
      <c r="A24" s="994" t="s">
        <v>566</v>
      </c>
      <c r="B24" s="995"/>
      <c r="C24" s="993">
        <v>2400</v>
      </c>
      <c r="D24" s="1801"/>
      <c r="E24" s="1803">
        <f>'Expenditures 15-22'!K57-SUM('Expenditures 15-22'!G57,'Expenditures 15-22'!I57)+'Expenditures 15-22'!D261</f>
        <v>89991</v>
      </c>
      <c r="F24" s="1801"/>
      <c r="G24" s="1804">
        <f>'Expenditures 15-22'!K57-SUM('Expenditures 15-22'!G57,'Expenditures 15-22'!I57)+'Expenditures 15-22'!D261</f>
        <v>89991</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61280</v>
      </c>
      <c r="E27" s="1803">
        <f>E8</f>
        <v>0</v>
      </c>
      <c r="F27" s="1803">
        <f>'Expenditures 15-22'!K60-SUM('Expenditures 15-22'!G60,'Expenditures 15-22'!I60)+'Expenditures 15-22'!D264-E8</f>
        <v>61280</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249450</v>
      </c>
      <c r="F28" s="1805">
        <f>'Expenditures 15-22'!K61-SUM('Expenditures 15-22'!G61,'Expenditures 15-22'!I61)+'Expenditures 15-22'!K124-SUM('Expenditures 15-22'!G124,'Expenditures 15-22'!I124)+'Expenditures 15-22'!D266-E9</f>
        <v>249450</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290732</v>
      </c>
      <c r="F29" s="1801"/>
      <c r="G29" s="1804">
        <f>'Expenditures 15-22'!K62-SUM('Expenditures 15-22'!G62,'Expenditures 15-22'!I62)+'Expenditures 15-22'!K125-SUM('Expenditures 15-22'!G125,'Expenditures 15-22'!I125)+'Expenditures 15-22'!K182-SUM('Expenditures 15-22'!G182,'Expenditures 15-22'!I182)+'Expenditures 15-22'!D267</f>
        <v>290732</v>
      </c>
      <c r="H29" s="985"/>
    </row>
    <row r="30" spans="1:9" ht="12" customHeight="1" x14ac:dyDescent="0.2">
      <c r="A30" s="994" t="s">
        <v>100</v>
      </c>
      <c r="B30" s="997"/>
      <c r="C30" s="993">
        <v>2560</v>
      </c>
      <c r="D30" s="1801"/>
      <c r="E30" s="1803">
        <f>'Expenditures 15-22'!K63-SUM('Expenditures 15-22'!G63,'Expenditures 15-22'!I63)+'Expenditures 15-22'!D268-E10</f>
        <v>77948</v>
      </c>
      <c r="F30" s="1801"/>
      <c r="G30" s="1803">
        <f>'Expenditures 15-22'!K63-SUM('Expenditures 15-22'!G63,'Expenditures 15-22'!I63)+'Expenditures 15-22'!D268-E10</f>
        <v>77948</v>
      </c>
    </row>
    <row r="31" spans="1:9" ht="12" customHeight="1" x14ac:dyDescent="0.2">
      <c r="A31" s="994" t="s">
        <v>101</v>
      </c>
      <c r="B31" s="997"/>
      <c r="C31" s="993">
        <v>2570</v>
      </c>
      <c r="D31" s="1803">
        <f>'Expenditures 15-22'!K64-SUM('Expenditures 15-22'!G64,'Expenditures 15-22'!I64)+'Expenditures 15-22'!D269-E12</f>
        <v>11594</v>
      </c>
      <c r="E31" s="1803">
        <f>E12</f>
        <v>0</v>
      </c>
      <c r="F31" s="1803">
        <f>'Expenditures 15-22'!K64-SUM('Expenditures 15-22'!G64,'Expenditures 15-22'!I64)+'Expenditures 15-22'!D269-E12</f>
        <v>11594</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20</v>
      </c>
      <c r="E36" s="1803">
        <f>E13</f>
        <v>0</v>
      </c>
      <c r="F36" s="1803">
        <f>'Expenditures 15-22'!K70-SUM('Expenditures 15-22'!G70,'Expenditures 15-22'!I70)+'Expenditures 15-22'!D275-E13</f>
        <v>20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0</v>
      </c>
      <c r="F39" s="1801"/>
      <c r="G39" s="180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1"/>
      <c r="E40" s="1805">
        <f>-'Contracts Paid in CY 29'!G141</f>
        <v>-208959</v>
      </c>
      <c r="F40" s="1801"/>
      <c r="G40" s="1805">
        <f>-'Contracts Paid in CY 29'!G141</f>
        <v>-208959</v>
      </c>
    </row>
    <row r="41" spans="1:7" ht="12" customHeight="1" x14ac:dyDescent="0.2">
      <c r="A41" s="998" t="s">
        <v>156</v>
      </c>
      <c r="B41" s="999"/>
      <c r="C41" s="1000"/>
      <c r="D41" s="1805">
        <f>SUM(D19:D39)</f>
        <v>72894</v>
      </c>
      <c r="E41" s="1805">
        <f>SUM(E19:E40)</f>
        <v>2510078</v>
      </c>
      <c r="F41" s="1805">
        <f>SUM(F19:F39)</f>
        <v>322344</v>
      </c>
      <c r="G41" s="1805">
        <f>SUM(G19:G40)</f>
        <v>2260628</v>
      </c>
    </row>
    <row r="42" spans="1:7" x14ac:dyDescent="0.2">
      <c r="A42" s="987"/>
      <c r="B42" s="162"/>
      <c r="C42" s="1001"/>
      <c r="D42" s="2302" t="s">
        <v>522</v>
      </c>
      <c r="E42" s="2303"/>
      <c r="F42" s="1002" t="s">
        <v>523</v>
      </c>
      <c r="G42" s="1003"/>
    </row>
    <row r="43" spans="1:7" ht="12" customHeight="1" x14ac:dyDescent="0.2">
      <c r="A43" s="987"/>
      <c r="B43" s="162"/>
      <c r="C43" s="1001"/>
      <c r="D43" s="1806" t="s">
        <v>473</v>
      </c>
      <c r="E43" s="1807">
        <f>D41</f>
        <v>72894</v>
      </c>
      <c r="F43" s="1806" t="s">
        <v>473</v>
      </c>
      <c r="G43" s="1807">
        <f>F41</f>
        <v>322344</v>
      </c>
    </row>
    <row r="44" spans="1:7" ht="12" customHeight="1" x14ac:dyDescent="0.2">
      <c r="A44" s="987"/>
      <c r="B44" s="162"/>
      <c r="C44" s="1001"/>
      <c r="D44" s="1806" t="s">
        <v>474</v>
      </c>
      <c r="E44" s="1807">
        <f>E41</f>
        <v>2510078</v>
      </c>
      <c r="F44" s="1806" t="s">
        <v>474</v>
      </c>
      <c r="G44" s="1807">
        <f>G41</f>
        <v>2260628</v>
      </c>
    </row>
    <row r="45" spans="1:7" ht="12" customHeight="1" x14ac:dyDescent="0.2">
      <c r="A45" s="987"/>
      <c r="B45" s="162"/>
      <c r="C45" s="162"/>
      <c r="D45" s="1808" t="s">
        <v>1006</v>
      </c>
      <c r="E45" s="1809">
        <f>(E43/E44)</f>
        <v>2.9040531808174886E-2</v>
      </c>
      <c r="F45" s="1808" t="s">
        <v>1006</v>
      </c>
      <c r="G45" s="1809">
        <f>(G43/G44)</f>
        <v>0.14259046601209929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L97"/>
  <sheetViews>
    <sheetView showGridLines="0" zoomScale="110" zoomScaleNormal="110" workbookViewId="0">
      <pane ySplit="4" topLeftCell="A5" activePane="bottomLeft" state="frozen"/>
      <selection activeCell="C59" sqref="C59"/>
      <selection pane="bottomLeft" activeCell="C59" sqref="C59"/>
    </sheetView>
  </sheetViews>
  <sheetFormatPr defaultColWidth="9.140625" defaultRowHeight="12.75" x14ac:dyDescent="0.2"/>
  <cols>
    <col min="1" max="1" width="54.5703125" style="1874" customWidth="1"/>
    <col min="2" max="2" width="4.140625" style="1874" customWidth="1"/>
    <col min="3" max="4" width="9.85546875" style="1846" customWidth="1"/>
    <col min="5" max="5" width="12.5703125" style="1875" customWidth="1"/>
    <col min="6" max="6" width="67.5703125" style="1846" customWidth="1"/>
    <col min="7" max="7" width="9.140625" style="1846" customWidth="1"/>
    <col min="8" max="8" width="5.5703125" style="1876" bestFit="1" customWidth="1"/>
    <col min="9" max="10" width="2" style="1876" bestFit="1" customWidth="1"/>
    <col min="11" max="11" width="9" style="1876" customWidth="1"/>
    <col min="12" max="16384" width="9.140625" style="1846"/>
  </cols>
  <sheetData>
    <row r="1" spans="1:10" x14ac:dyDescent="0.2">
      <c r="A1" s="2310" t="s">
        <v>1379</v>
      </c>
      <c r="B1" s="2310"/>
      <c r="C1" s="2310"/>
      <c r="D1" s="2310"/>
      <c r="E1" s="2310"/>
      <c r="F1" s="2310"/>
    </row>
    <row r="2" spans="1:10" x14ac:dyDescent="0.2">
      <c r="A2" s="1885" t="s">
        <v>1912</v>
      </c>
      <c r="B2" s="1847"/>
      <c r="C2" s="1885"/>
      <c r="D2" s="1847"/>
      <c r="E2" s="1847"/>
      <c r="F2" s="1848"/>
    </row>
    <row r="3" spans="1:10" x14ac:dyDescent="0.2">
      <c r="A3" s="1885" t="s">
        <v>1978</v>
      </c>
      <c r="B3" s="1847"/>
      <c r="C3" s="1885"/>
      <c r="D3" s="1847"/>
      <c r="E3" s="1847"/>
      <c r="F3" s="1848"/>
    </row>
    <row r="4" spans="1:10" ht="3.75" customHeight="1" x14ac:dyDescent="0.2">
      <c r="A4" s="1847"/>
      <c r="B4" s="1847"/>
      <c r="C4" s="1847"/>
      <c r="D4" s="1847"/>
      <c r="E4" s="1847"/>
      <c r="F4" s="1848"/>
    </row>
    <row r="5" spans="1:10" ht="15" x14ac:dyDescent="0.25">
      <c r="A5" s="2311" t="s">
        <v>1546</v>
      </c>
      <c r="B5" s="2312"/>
      <c r="C5" s="2313"/>
      <c r="D5" s="2313"/>
      <c r="E5" s="2313"/>
      <c r="F5" s="2313"/>
    </row>
    <row r="6" spans="1:10" ht="12" customHeight="1" x14ac:dyDescent="0.25">
      <c r="A6" s="1849"/>
      <c r="B6" s="1850"/>
      <c r="C6" s="2314" t="str">
        <f>COVER!A17</f>
        <v>Grand Ridge CCSD 95</v>
      </c>
      <c r="D6" s="2314"/>
      <c r="E6" s="2314"/>
      <c r="F6" s="1851"/>
    </row>
    <row r="7" spans="1:10" ht="11.25" customHeight="1" thickBot="1" x14ac:dyDescent="0.3">
      <c r="A7" s="1849"/>
      <c r="B7" s="1850"/>
      <c r="C7" s="2315">
        <f>COVER!A13</f>
        <v>35050095004</v>
      </c>
      <c r="D7" s="2315"/>
      <c r="E7" s="2315"/>
      <c r="F7" s="1851"/>
    </row>
    <row r="8" spans="1:10" ht="25.5" customHeight="1" thickBot="1" x14ac:dyDescent="0.25">
      <c r="A8" s="1891" t="s">
        <v>1908</v>
      </c>
      <c r="B8" s="1852"/>
      <c r="C8" s="1887" t="s">
        <v>1681</v>
      </c>
      <c r="D8" s="1886" t="s">
        <v>1682</v>
      </c>
      <c r="E8" s="1888" t="s">
        <v>1380</v>
      </c>
      <c r="F8" s="1886"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89" t="s">
        <v>1381</v>
      </c>
      <c r="F10" s="1890" t="s">
        <v>1382</v>
      </c>
    </row>
    <row r="11" spans="1:10" ht="12" customHeight="1" x14ac:dyDescent="0.2">
      <c r="A11" s="1862" t="s">
        <v>1383</v>
      </c>
      <c r="B11" s="1863"/>
      <c r="C11" s="1942" t="s">
        <v>2103</v>
      </c>
      <c r="D11" s="1942" t="s">
        <v>2103</v>
      </c>
      <c r="E11" s="1943"/>
      <c r="F11" s="1944" t="s">
        <v>2104</v>
      </c>
      <c r="H11" s="1876">
        <f>IF(C11="X",5,0)</f>
        <v>5</v>
      </c>
      <c r="I11" s="1876">
        <f>IF(D11="X",5,0)</f>
        <v>5</v>
      </c>
      <c r="J11" s="1876">
        <f>IF(E11="X",5,0)</f>
        <v>0</v>
      </c>
    </row>
    <row r="12" spans="1:10" ht="12" customHeight="1" x14ac:dyDescent="0.2">
      <c r="A12" s="1862" t="s">
        <v>1384</v>
      </c>
      <c r="B12" s="1863"/>
      <c r="C12" s="1942"/>
      <c r="D12" s="1942"/>
      <c r="E12" s="1945"/>
      <c r="F12" s="1944"/>
      <c r="H12" s="1876">
        <f t="shared" ref="H12:H33" si="0">IF(C12="X",5,0)</f>
        <v>0</v>
      </c>
      <c r="I12" s="1876">
        <f t="shared" ref="I12:I33" si="1">IF(D12="X",5,0)</f>
        <v>0</v>
      </c>
      <c r="J12" s="1876">
        <f t="shared" ref="J12:J33" si="2">IF(E12="X",5,0)</f>
        <v>0</v>
      </c>
    </row>
    <row r="13" spans="1:10" ht="12" customHeight="1" x14ac:dyDescent="0.2">
      <c r="A13" s="1862" t="s">
        <v>1385</v>
      </c>
      <c r="B13" s="1863"/>
      <c r="C13" s="1942"/>
      <c r="D13" s="1942"/>
      <c r="E13" s="1945"/>
      <c r="F13" s="1944"/>
      <c r="H13" s="1876">
        <f t="shared" si="0"/>
        <v>0</v>
      </c>
      <c r="I13" s="1876">
        <f t="shared" si="1"/>
        <v>0</v>
      </c>
      <c r="J13" s="1876">
        <f t="shared" si="2"/>
        <v>0</v>
      </c>
    </row>
    <row r="14" spans="1:10" ht="12" customHeight="1" x14ac:dyDescent="0.2">
      <c r="A14" s="1862" t="s">
        <v>1386</v>
      </c>
      <c r="B14" s="1863"/>
      <c r="C14" s="1942"/>
      <c r="D14" s="1942"/>
      <c r="E14" s="1945"/>
      <c r="F14" s="1944"/>
      <c r="H14" s="1876">
        <f t="shared" si="0"/>
        <v>0</v>
      </c>
      <c r="I14" s="1876">
        <f t="shared" si="1"/>
        <v>0</v>
      </c>
      <c r="J14" s="1876">
        <f t="shared" si="2"/>
        <v>0</v>
      </c>
    </row>
    <row r="15" spans="1:10" ht="12" customHeight="1" x14ac:dyDescent="0.2">
      <c r="A15" s="1862" t="s">
        <v>1387</v>
      </c>
      <c r="B15" s="1863"/>
      <c r="C15" s="1942" t="s">
        <v>2103</v>
      </c>
      <c r="D15" s="1942" t="s">
        <v>2103</v>
      </c>
      <c r="E15" s="1945"/>
      <c r="F15" s="1944" t="s">
        <v>2105</v>
      </c>
      <c r="H15" s="1876">
        <f t="shared" si="0"/>
        <v>5</v>
      </c>
      <c r="I15" s="1876">
        <f t="shared" si="1"/>
        <v>5</v>
      </c>
      <c r="J15" s="1876">
        <f t="shared" si="2"/>
        <v>0</v>
      </c>
    </row>
    <row r="16" spans="1:10" ht="12" customHeight="1" x14ac:dyDescent="0.2">
      <c r="A16" s="1862" t="s">
        <v>1388</v>
      </c>
      <c r="B16" s="1863"/>
      <c r="C16" s="1942" t="s">
        <v>2103</v>
      </c>
      <c r="D16" s="1942" t="s">
        <v>2103</v>
      </c>
      <c r="E16" s="1945"/>
      <c r="F16" s="1944" t="s">
        <v>2104</v>
      </c>
      <c r="H16" s="1876">
        <f t="shared" si="0"/>
        <v>5</v>
      </c>
      <c r="I16" s="1876">
        <f t="shared" si="1"/>
        <v>5</v>
      </c>
      <c r="J16" s="1876">
        <f t="shared" si="2"/>
        <v>0</v>
      </c>
    </row>
    <row r="17" spans="1:12" ht="12" customHeight="1" x14ac:dyDescent="0.2">
      <c r="A17" s="1862" t="s">
        <v>1389</v>
      </c>
      <c r="B17" s="1863"/>
      <c r="C17" s="1942"/>
      <c r="D17" s="1942"/>
      <c r="E17" s="1945"/>
      <c r="F17" s="1944"/>
      <c r="H17" s="1876">
        <f t="shared" si="0"/>
        <v>0</v>
      </c>
      <c r="I17" s="1876">
        <f t="shared" si="1"/>
        <v>0</v>
      </c>
      <c r="J17" s="1876">
        <f t="shared" si="2"/>
        <v>0</v>
      </c>
    </row>
    <row r="18" spans="1:12" ht="12" customHeight="1" x14ac:dyDescent="0.2">
      <c r="A18" s="1862" t="s">
        <v>1390</v>
      </c>
      <c r="B18" s="1863"/>
      <c r="C18" s="1942"/>
      <c r="D18" s="1942"/>
      <c r="E18" s="1945"/>
      <c r="F18" s="1944"/>
      <c r="H18" s="1876">
        <f t="shared" si="0"/>
        <v>0</v>
      </c>
      <c r="I18" s="1876">
        <f t="shared" si="1"/>
        <v>0</v>
      </c>
      <c r="J18" s="1876">
        <f t="shared" si="2"/>
        <v>0</v>
      </c>
    </row>
    <row r="19" spans="1:12" ht="12" customHeight="1" x14ac:dyDescent="0.2">
      <c r="A19" s="1862" t="s">
        <v>1527</v>
      </c>
      <c r="B19" s="1863"/>
      <c r="C19" s="1942"/>
      <c r="D19" s="1942"/>
      <c r="E19" s="1945"/>
      <c r="F19" s="1944"/>
      <c r="H19" s="1876">
        <f t="shared" si="0"/>
        <v>0</v>
      </c>
      <c r="I19" s="1876">
        <f t="shared" si="1"/>
        <v>0</v>
      </c>
      <c r="J19" s="1876">
        <f t="shared" si="2"/>
        <v>0</v>
      </c>
    </row>
    <row r="20" spans="1:12" ht="12" customHeight="1" x14ac:dyDescent="0.2">
      <c r="A20" s="1862" t="s">
        <v>1528</v>
      </c>
      <c r="B20" s="1863"/>
      <c r="C20" s="1942"/>
      <c r="D20" s="1942"/>
      <c r="E20" s="1945"/>
      <c r="F20" s="1944"/>
      <c r="H20" s="1876">
        <f t="shared" si="0"/>
        <v>0</v>
      </c>
      <c r="I20" s="1876">
        <f t="shared" si="1"/>
        <v>0</v>
      </c>
      <c r="J20" s="1876">
        <f t="shared" si="2"/>
        <v>0</v>
      </c>
    </row>
    <row r="21" spans="1:12" ht="12" customHeight="1" x14ac:dyDescent="0.2">
      <c r="A21" s="1862" t="s">
        <v>1529</v>
      </c>
      <c r="B21" s="1863"/>
      <c r="C21" s="1942"/>
      <c r="D21" s="1942"/>
      <c r="E21" s="1945"/>
      <c r="F21" s="1944"/>
      <c r="H21" s="1876">
        <f t="shared" si="0"/>
        <v>0</v>
      </c>
      <c r="I21" s="1876">
        <f t="shared" si="1"/>
        <v>0</v>
      </c>
      <c r="J21" s="1876">
        <f t="shared" si="2"/>
        <v>0</v>
      </c>
    </row>
    <row r="22" spans="1:12" ht="12" customHeight="1" x14ac:dyDescent="0.2">
      <c r="A22" s="1862" t="s">
        <v>1530</v>
      </c>
      <c r="B22" s="1863"/>
      <c r="C22" s="1942"/>
      <c r="D22" s="1942"/>
      <c r="E22" s="1945"/>
      <c r="F22" s="1944"/>
      <c r="H22" s="1876">
        <f t="shared" si="0"/>
        <v>0</v>
      </c>
      <c r="I22" s="1876">
        <f t="shared" si="1"/>
        <v>0</v>
      </c>
      <c r="J22" s="1876">
        <f t="shared" si="2"/>
        <v>0</v>
      </c>
    </row>
    <row r="23" spans="1:12" ht="12" customHeight="1" x14ac:dyDescent="0.2">
      <c r="A23" s="1862" t="s">
        <v>1531</v>
      </c>
      <c r="B23" s="1863"/>
      <c r="C23" s="1942"/>
      <c r="D23" s="1942"/>
      <c r="E23" s="1945"/>
      <c r="F23" s="1944"/>
      <c r="H23" s="1876">
        <f t="shared" si="0"/>
        <v>0</v>
      </c>
      <c r="I23" s="1876">
        <f t="shared" si="1"/>
        <v>0</v>
      </c>
      <c r="J23" s="1876">
        <f t="shared" si="2"/>
        <v>0</v>
      </c>
    </row>
    <row r="24" spans="1:12" ht="12" customHeight="1" x14ac:dyDescent="0.2">
      <c r="A24" s="1862" t="s">
        <v>1532</v>
      </c>
      <c r="B24" s="1863"/>
      <c r="C24" s="1942" t="s">
        <v>2103</v>
      </c>
      <c r="D24" s="1942" t="s">
        <v>2103</v>
      </c>
      <c r="E24" s="1945"/>
      <c r="F24" s="1944" t="s">
        <v>2104</v>
      </c>
      <c r="H24" s="1876">
        <f t="shared" si="0"/>
        <v>5</v>
      </c>
      <c r="I24" s="1876">
        <f t="shared" si="1"/>
        <v>5</v>
      </c>
      <c r="J24" s="1876">
        <f t="shared" si="2"/>
        <v>0</v>
      </c>
    </row>
    <row r="25" spans="1:12" ht="12" customHeight="1" x14ac:dyDescent="0.2">
      <c r="A25" s="1862" t="s">
        <v>1533</v>
      </c>
      <c r="B25" s="1863"/>
      <c r="C25" s="1942" t="s">
        <v>2103</v>
      </c>
      <c r="D25" s="1942" t="s">
        <v>2103</v>
      </c>
      <c r="E25" s="1945"/>
      <c r="F25" s="1944" t="s">
        <v>2106</v>
      </c>
      <c r="H25" s="1876">
        <f t="shared" si="0"/>
        <v>5</v>
      </c>
      <c r="I25" s="1876">
        <f t="shared" si="1"/>
        <v>5</v>
      </c>
      <c r="J25" s="1876">
        <f t="shared" si="2"/>
        <v>0</v>
      </c>
    </row>
    <row r="26" spans="1:12" ht="12" customHeight="1" x14ac:dyDescent="0.2">
      <c r="A26" s="1862" t="s">
        <v>1534</v>
      </c>
      <c r="B26" s="1863"/>
      <c r="C26" s="1942" t="s">
        <v>2103</v>
      </c>
      <c r="D26" s="1942" t="s">
        <v>2103</v>
      </c>
      <c r="E26" s="1945"/>
      <c r="F26" s="1944" t="s">
        <v>2107</v>
      </c>
      <c r="H26" s="1876">
        <f t="shared" si="0"/>
        <v>5</v>
      </c>
      <c r="I26" s="1876">
        <f t="shared" si="1"/>
        <v>5</v>
      </c>
      <c r="J26" s="1876">
        <f t="shared" si="2"/>
        <v>0</v>
      </c>
    </row>
    <row r="27" spans="1:12" ht="18.75" x14ac:dyDescent="0.2">
      <c r="A27" s="1862" t="s">
        <v>1535</v>
      </c>
      <c r="B27" s="1863"/>
      <c r="C27" s="1942"/>
      <c r="D27" s="1942"/>
      <c r="E27" s="1945"/>
      <c r="F27" s="1944"/>
      <c r="H27" s="1876">
        <f t="shared" si="0"/>
        <v>0</v>
      </c>
      <c r="I27" s="1876">
        <f t="shared" si="1"/>
        <v>0</v>
      </c>
      <c r="J27" s="1876">
        <f t="shared" si="2"/>
        <v>0</v>
      </c>
    </row>
    <row r="28" spans="1:12" ht="12" customHeight="1" x14ac:dyDescent="0.2">
      <c r="A28" s="1862" t="s">
        <v>1536</v>
      </c>
      <c r="B28" s="1863"/>
      <c r="C28" s="1942"/>
      <c r="D28" s="1942"/>
      <c r="E28" s="1945"/>
      <c r="F28" s="1944"/>
      <c r="H28" s="1876">
        <f t="shared" si="0"/>
        <v>0</v>
      </c>
      <c r="I28" s="1876">
        <f t="shared" si="1"/>
        <v>0</v>
      </c>
      <c r="J28" s="1876">
        <f t="shared" si="2"/>
        <v>0</v>
      </c>
    </row>
    <row r="29" spans="1:12" ht="12" customHeight="1" x14ac:dyDescent="0.2">
      <c r="A29" s="1862" t="s">
        <v>1537</v>
      </c>
      <c r="B29" s="1863"/>
      <c r="C29" s="1942"/>
      <c r="D29" s="1942"/>
      <c r="E29" s="1945"/>
      <c r="F29" s="1944"/>
      <c r="H29" s="1876">
        <f t="shared" si="0"/>
        <v>0</v>
      </c>
      <c r="I29" s="1876">
        <f t="shared" si="1"/>
        <v>0</v>
      </c>
      <c r="J29" s="1876">
        <f t="shared" si="2"/>
        <v>0</v>
      </c>
    </row>
    <row r="30" spans="1:12" ht="12" customHeight="1" x14ac:dyDescent="0.2">
      <c r="A30" s="1862" t="s">
        <v>1538</v>
      </c>
      <c r="B30" s="1863"/>
      <c r="C30" s="1942"/>
      <c r="D30" s="1942"/>
      <c r="E30" s="1945"/>
      <c r="F30" s="1944"/>
      <c r="H30" s="1876">
        <f t="shared" si="0"/>
        <v>0</v>
      </c>
      <c r="I30" s="1876">
        <f t="shared" si="1"/>
        <v>0</v>
      </c>
      <c r="J30" s="1876">
        <f t="shared" si="2"/>
        <v>0</v>
      </c>
    </row>
    <row r="31" spans="1:12" ht="12" customHeight="1" x14ac:dyDescent="0.2">
      <c r="A31" s="1862" t="s">
        <v>1539</v>
      </c>
      <c r="B31" s="1863"/>
      <c r="C31" s="1942"/>
      <c r="D31" s="1942"/>
      <c r="E31" s="1945"/>
      <c r="F31" s="1944"/>
      <c r="H31" s="1876">
        <f t="shared" si="0"/>
        <v>0</v>
      </c>
      <c r="I31" s="1876">
        <f t="shared" si="1"/>
        <v>0</v>
      </c>
      <c r="J31" s="1876">
        <f t="shared" si="2"/>
        <v>0</v>
      </c>
      <c r="L31" s="1867"/>
    </row>
    <row r="32" spans="1:12" ht="12" customHeight="1" x14ac:dyDescent="0.2">
      <c r="A32" s="1862" t="s">
        <v>1540</v>
      </c>
      <c r="B32" s="1863"/>
      <c r="C32" s="1942" t="s">
        <v>2103</v>
      </c>
      <c r="D32" s="1942" t="s">
        <v>2103</v>
      </c>
      <c r="E32" s="1945"/>
      <c r="F32" s="1944" t="s">
        <v>2108</v>
      </c>
      <c r="H32" s="1876">
        <f t="shared" si="0"/>
        <v>5</v>
      </c>
      <c r="I32" s="1876">
        <f t="shared" si="1"/>
        <v>5</v>
      </c>
      <c r="J32" s="1876">
        <f t="shared" si="2"/>
        <v>0</v>
      </c>
    </row>
    <row r="33" spans="1:11" ht="12" customHeight="1" x14ac:dyDescent="0.2">
      <c r="A33" s="1862" t="s">
        <v>1541</v>
      </c>
      <c r="B33" s="1863"/>
      <c r="C33" s="1864"/>
      <c r="D33" s="1864"/>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35</v>
      </c>
      <c r="I34" s="1876">
        <f>SUM(I11:I32)</f>
        <v>35</v>
      </c>
      <c r="J34" s="1876">
        <f>SUM(J11:J32)</f>
        <v>0</v>
      </c>
      <c r="K34" s="1876">
        <f>SUM(H34:J34)</f>
        <v>70</v>
      </c>
    </row>
    <row r="35" spans="1:11" ht="12" customHeight="1" x14ac:dyDescent="0.2">
      <c r="A35" s="1869" t="s">
        <v>1392</v>
      </c>
      <c r="B35" s="1870"/>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71"/>
      <c r="B39" s="1871"/>
      <c r="C39" s="1871"/>
      <c r="D39" s="1871"/>
      <c r="E39" s="1871"/>
      <c r="F39" s="1871"/>
    </row>
    <row r="40" spans="1:11" s="1868" customFormat="1" ht="12" customHeight="1" x14ac:dyDescent="0.25">
      <c r="A40" s="1872" t="s">
        <v>1391</v>
      </c>
      <c r="B40" s="1873"/>
      <c r="C40" s="2324"/>
      <c r="D40" s="2324"/>
      <c r="E40" s="2324"/>
      <c r="F40" s="2325"/>
      <c r="H40" s="1877"/>
      <c r="I40" s="1877"/>
      <c r="J40" s="1877"/>
      <c r="K40" s="1877"/>
    </row>
    <row r="41" spans="1:11" s="1868" customFormat="1" ht="12" customHeight="1" x14ac:dyDescent="0.25">
      <c r="A41" s="2326"/>
      <c r="B41" s="2327"/>
      <c r="C41" s="2327"/>
      <c r="D41" s="2327"/>
      <c r="E41" s="2327"/>
      <c r="F41" s="2328"/>
      <c r="H41" s="1877"/>
      <c r="I41" s="1877"/>
      <c r="J41" s="1877"/>
      <c r="K41" s="1877"/>
    </row>
    <row r="42" spans="1:11" s="1868" customFormat="1" ht="12" customHeight="1" x14ac:dyDescent="0.25">
      <c r="A42" s="2326"/>
      <c r="B42" s="2327"/>
      <c r="C42" s="2327"/>
      <c r="D42" s="2327"/>
      <c r="E42" s="2327"/>
      <c r="F42" s="2328"/>
      <c r="H42" s="1877"/>
      <c r="I42" s="1877"/>
      <c r="J42" s="1877"/>
      <c r="K42" s="1877"/>
    </row>
    <row r="43" spans="1:11" s="1868" customFormat="1" ht="15" x14ac:dyDescent="0.25">
      <c r="A43" s="2318"/>
      <c r="B43" s="2319"/>
      <c r="C43" s="2319"/>
      <c r="D43" s="2319"/>
      <c r="E43" s="2319"/>
      <c r="F43" s="2320"/>
      <c r="H43" s="1877"/>
      <c r="I43" s="1877"/>
      <c r="J43" s="1877"/>
      <c r="K43" s="1877"/>
    </row>
    <row r="44" spans="1:11" s="1868" customFormat="1" ht="12" hidden="1" customHeight="1" x14ac:dyDescent="0.25">
      <c r="A44" s="2318"/>
      <c r="B44" s="2319"/>
      <c r="C44" s="2319"/>
      <c r="D44" s="2319"/>
      <c r="E44" s="2319"/>
      <c r="F44" s="2320"/>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Q40"/>
  <sheetViews>
    <sheetView showGridLines="0" defaultGridColor="0" colorId="8" zoomScale="110" zoomScaleNormal="110" workbookViewId="0">
      <selection activeCell="C59" sqref="C5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1"/>
      <c r="C6" s="1641"/>
      <c r="D6" s="1641"/>
      <c r="E6" s="1642"/>
      <c r="F6" s="1015"/>
      <c r="G6" s="1009"/>
      <c r="H6" s="1016" t="s">
        <v>1028</v>
      </c>
      <c r="I6" s="2334" t="str">
        <f>COVER!A17</f>
        <v>Grand Ridge CCSD 95</v>
      </c>
      <c r="J6" s="2335"/>
      <c r="Q6" s="1663"/>
    </row>
    <row r="7" spans="1:17" x14ac:dyDescent="0.2">
      <c r="A7" s="2336" t="s">
        <v>869</v>
      </c>
      <c r="B7" s="2337"/>
      <c r="C7" s="2337"/>
      <c r="D7" s="2337"/>
      <c r="E7" s="2338"/>
      <c r="F7" s="1017"/>
      <c r="G7" s="1009"/>
      <c r="H7" s="1016" t="s">
        <v>372</v>
      </c>
      <c r="I7" s="2339">
        <f>COVER!A13</f>
        <v>35050095004</v>
      </c>
      <c r="J7" s="2339"/>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3" t="s">
        <v>1979</v>
      </c>
      <c r="F9" s="1023"/>
      <c r="G9" s="1023"/>
      <c r="H9" s="1894"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40" t="s">
        <v>481</v>
      </c>
      <c r="B11" s="2341"/>
      <c r="C11" s="234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154341</v>
      </c>
      <c r="F12" s="1039"/>
      <c r="G12" s="1810">
        <f t="shared" ref="G12:G18" si="0">SUM(E12:F12)</f>
        <v>154341</v>
      </c>
      <c r="H12" s="1040">
        <v>161027</v>
      </c>
      <c r="I12" s="1039"/>
      <c r="J12" s="1810">
        <f t="shared" ref="J12:J18" si="1">SUM(H12:I12)</f>
        <v>161027</v>
      </c>
    </row>
    <row r="13" spans="1:17" ht="15" customHeight="1" x14ac:dyDescent="0.2">
      <c r="A13" s="1035">
        <v>2</v>
      </c>
      <c r="B13" s="1036" t="s">
        <v>42</v>
      </c>
      <c r="C13" s="1037"/>
      <c r="D13" s="1038">
        <v>2330</v>
      </c>
      <c r="E13" s="1810">
        <f>'Expenditures 15-22'!K51</f>
        <v>0</v>
      </c>
      <c r="F13" s="1039"/>
      <c r="G13" s="1810">
        <f t="shared" si="0"/>
        <v>0</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11594</v>
      </c>
      <c r="F16" s="1039"/>
      <c r="G16" s="1810">
        <f t="shared" si="0"/>
        <v>11594</v>
      </c>
      <c r="H16" s="1040">
        <v>12062</v>
      </c>
      <c r="I16" s="1039"/>
      <c r="J16" s="1810">
        <f t="shared" si="1"/>
        <v>12062</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43" t="s">
        <v>7</v>
      </c>
      <c r="C18" s="2344"/>
      <c r="D18" s="2345"/>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165935</v>
      </c>
      <c r="F19" s="1812">
        <f t="shared" si="2"/>
        <v>0</v>
      </c>
      <c r="G19" s="1812">
        <f t="shared" si="2"/>
        <v>165935</v>
      </c>
      <c r="H19" s="1812">
        <f t="shared" si="2"/>
        <v>173089</v>
      </c>
      <c r="I19" s="1812">
        <f t="shared" si="2"/>
        <v>0</v>
      </c>
      <c r="J19" s="1812">
        <f t="shared" si="2"/>
        <v>173089</v>
      </c>
    </row>
    <row r="20" spans="1:10" ht="13.5" thickTop="1" x14ac:dyDescent="0.2">
      <c r="A20" s="1035">
        <v>9</v>
      </c>
      <c r="B20" s="2346" t="s">
        <v>1981</v>
      </c>
      <c r="C20" s="2346"/>
      <c r="D20" s="2347"/>
      <c r="E20" s="1046"/>
      <c r="F20" s="1046"/>
      <c r="G20" s="1046"/>
      <c r="H20" s="1046"/>
      <c r="I20" s="1046"/>
      <c r="J20" s="1813">
        <f>IF(AND(G19&gt;0,J19&gt;0),(((J19-G19)/G19)),"Enter Budget Data")</f>
        <v>4.3113267243197639E-2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52"/>
      <c r="D26" s="2352"/>
      <c r="E26" s="1050"/>
      <c r="F26" s="2351"/>
      <c r="G26" s="2351"/>
    </row>
    <row r="27" spans="1:10" x14ac:dyDescent="0.2">
      <c r="B27" s="1047"/>
      <c r="C27" s="1051" t="s">
        <v>1033</v>
      </c>
      <c r="D27" s="1052"/>
      <c r="E27" s="1053"/>
      <c r="F27" s="2348" t="s">
        <v>1509</v>
      </c>
      <c r="G27" s="2348"/>
    </row>
    <row r="28" spans="1:10" ht="28.5" customHeight="1" x14ac:dyDescent="0.2">
      <c r="B28" s="1047"/>
      <c r="C28" s="2350"/>
      <c r="D28" s="2350"/>
      <c r="E28" s="1054"/>
      <c r="F28" s="2350"/>
      <c r="G28" s="2350"/>
    </row>
    <row r="29" spans="1:10" x14ac:dyDescent="0.2">
      <c r="B29" s="1047"/>
      <c r="C29" s="1055" t="s">
        <v>1561</v>
      </c>
      <c r="E29" s="1056"/>
      <c r="F29" s="2349" t="s">
        <v>1510</v>
      </c>
      <c r="G29" s="234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31" t="s">
        <v>132</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2"/>
    </row>
    <row r="36" spans="1:10" ht="13.5" customHeight="1" x14ac:dyDescent="0.2">
      <c r="B36" s="1061"/>
      <c r="C36" s="2333" t="s">
        <v>1983</v>
      </c>
      <c r="D36" s="2332"/>
      <c r="E36" s="2332"/>
      <c r="F36" s="2332"/>
      <c r="G36" s="2332"/>
      <c r="H36" s="2332"/>
      <c r="I36" s="2332"/>
      <c r="J36" s="1063"/>
    </row>
    <row r="37" spans="1:10" ht="22.5" customHeight="1" x14ac:dyDescent="0.2">
      <c r="C37" s="2332"/>
      <c r="D37" s="2332"/>
      <c r="E37" s="2332"/>
      <c r="F37" s="2332"/>
      <c r="G37" s="2332"/>
      <c r="H37" s="2332"/>
      <c r="I37" s="2332"/>
      <c r="J37" s="1063"/>
    </row>
    <row r="38" spans="1:10" ht="7.5" customHeight="1" x14ac:dyDescent="0.2">
      <c r="C38" s="1062"/>
      <c r="D38" s="1064"/>
      <c r="E38" s="1065"/>
      <c r="F38" s="1066"/>
      <c r="G38" s="1065"/>
    </row>
    <row r="39" spans="1:10" ht="13.5" customHeight="1" x14ac:dyDescent="0.2">
      <c r="B39" s="1061"/>
      <c r="C39" s="2329" t="s">
        <v>882</v>
      </c>
      <c r="D39" s="2330"/>
      <c r="E39" s="2330"/>
      <c r="F39" s="2330"/>
      <c r="G39" s="2330"/>
      <c r="H39" s="2330"/>
      <c r="I39" s="233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2:K32"/>
  <sheetViews>
    <sheetView showGridLines="0" zoomScale="110" zoomScaleNormal="110" workbookViewId="0">
      <selection activeCell="C59" sqref="C59"/>
    </sheetView>
  </sheetViews>
  <sheetFormatPr defaultColWidth="9.140625" defaultRowHeight="12.75" x14ac:dyDescent="0.2"/>
  <cols>
    <col min="1" max="8" width="6.28515625" style="329" customWidth="1"/>
    <col min="9" max="9" width="30.140625" style="329" bestFit="1" customWidth="1"/>
    <col min="10" max="10" width="4.28515625" style="329" customWidth="1"/>
    <col min="11" max="16384" width="9.140625" style="329"/>
  </cols>
  <sheetData>
    <row r="2" spans="1:11" x14ac:dyDescent="0.2">
      <c r="A2" s="389" t="s">
        <v>258</v>
      </c>
    </row>
    <row r="3" spans="1:11" x14ac:dyDescent="0.2">
      <c r="A3" s="329" t="s">
        <v>259</v>
      </c>
    </row>
    <row r="5" spans="1:11" x14ac:dyDescent="0.2">
      <c r="A5" s="1948" t="s">
        <v>2109</v>
      </c>
      <c r="B5" s="1949"/>
      <c r="C5" s="1950" t="s">
        <v>2110</v>
      </c>
      <c r="D5" s="1946"/>
      <c r="E5" s="1950" t="s">
        <v>2111</v>
      </c>
      <c r="F5" s="1946"/>
      <c r="G5" s="1950" t="s">
        <v>2112</v>
      </c>
      <c r="H5" s="1946"/>
      <c r="I5" s="1950" t="s">
        <v>2113</v>
      </c>
      <c r="J5" s="1946"/>
      <c r="K5" s="1950" t="s">
        <v>2114</v>
      </c>
    </row>
    <row r="6" spans="1:11" x14ac:dyDescent="0.2">
      <c r="A6" s="1951"/>
      <c r="B6" s="1951"/>
      <c r="C6" s="1946"/>
      <c r="D6" s="1946"/>
      <c r="E6" s="1946"/>
      <c r="F6" s="1946"/>
      <c r="G6" s="1946"/>
      <c r="H6" s="1946"/>
      <c r="I6" s="1946"/>
      <c r="J6" s="1946"/>
      <c r="K6" s="1946"/>
    </row>
    <row r="7" spans="1:11" x14ac:dyDescent="0.2">
      <c r="A7" s="1952">
        <v>1690</v>
      </c>
      <c r="B7" s="1953"/>
      <c r="C7" s="1947">
        <v>10</v>
      </c>
      <c r="D7" s="1947"/>
      <c r="E7" s="1947">
        <v>1</v>
      </c>
      <c r="F7" s="1947"/>
      <c r="G7" s="1947">
        <v>74</v>
      </c>
      <c r="H7" s="1947"/>
      <c r="I7" s="1947" t="s">
        <v>2115</v>
      </c>
      <c r="J7" s="1947"/>
      <c r="K7" s="1954">
        <v>675</v>
      </c>
    </row>
    <row r="8" spans="1:11" x14ac:dyDescent="0.2">
      <c r="A8" s="1952"/>
      <c r="B8" s="1953"/>
      <c r="C8" s="1947"/>
      <c r="D8" s="1947"/>
      <c r="E8" s="1947"/>
      <c r="F8" s="1947"/>
      <c r="G8" s="1947"/>
      <c r="H8" s="1947"/>
      <c r="I8" s="1947"/>
      <c r="J8" s="1947"/>
      <c r="K8" s="1954"/>
    </row>
    <row r="9" spans="1:11" x14ac:dyDescent="0.2">
      <c r="A9" s="1952">
        <v>1993</v>
      </c>
      <c r="B9" s="1953"/>
      <c r="C9" s="1947">
        <v>11</v>
      </c>
      <c r="D9" s="1947"/>
      <c r="E9" s="1947">
        <v>1</v>
      </c>
      <c r="F9" s="1947"/>
      <c r="G9" s="1947">
        <v>106</v>
      </c>
      <c r="H9" s="1947"/>
      <c r="I9" s="1947" t="s">
        <v>2116</v>
      </c>
      <c r="J9" s="1947"/>
      <c r="K9" s="1954">
        <v>56</v>
      </c>
    </row>
    <row r="10" spans="1:11" x14ac:dyDescent="0.2">
      <c r="A10" s="1952"/>
      <c r="B10" s="1953"/>
      <c r="C10" s="1947"/>
      <c r="D10" s="1947"/>
      <c r="E10" s="1947"/>
      <c r="F10" s="1947"/>
      <c r="G10" s="1947"/>
      <c r="H10" s="1947"/>
      <c r="I10" s="1947"/>
      <c r="J10" s="1947"/>
      <c r="K10" s="1954"/>
    </row>
    <row r="11" spans="1:11" x14ac:dyDescent="0.2">
      <c r="A11" s="1952">
        <v>1993</v>
      </c>
      <c r="B11" s="1953"/>
      <c r="C11" s="1947">
        <v>11</v>
      </c>
      <c r="D11" s="1947"/>
      <c r="E11" s="1947">
        <v>1</v>
      </c>
      <c r="F11" s="1947"/>
      <c r="G11" s="1947">
        <v>106</v>
      </c>
      <c r="H11" s="1947"/>
      <c r="I11" s="1947" t="s">
        <v>2117</v>
      </c>
      <c r="J11" s="1947"/>
      <c r="K11" s="1954">
        <v>578</v>
      </c>
    </row>
    <row r="12" spans="1:11" x14ac:dyDescent="0.2">
      <c r="A12" s="1952"/>
      <c r="B12" s="1953"/>
      <c r="C12" s="1947"/>
      <c r="D12" s="1947"/>
      <c r="E12" s="1947"/>
      <c r="F12" s="1947"/>
      <c r="G12" s="1947"/>
      <c r="H12" s="1947"/>
      <c r="I12" s="1947"/>
      <c r="J12" s="1947"/>
      <c r="K12" s="1954"/>
    </row>
    <row r="13" spans="1:11" x14ac:dyDescent="0.2">
      <c r="A13" s="1952">
        <v>3999</v>
      </c>
      <c r="B13" s="1953"/>
      <c r="C13" s="1947">
        <v>12</v>
      </c>
      <c r="D13" s="1947"/>
      <c r="E13" s="1947">
        <v>1</v>
      </c>
      <c r="F13" s="1947"/>
      <c r="G13" s="1947">
        <v>171</v>
      </c>
      <c r="H13" s="1947"/>
      <c r="I13" s="1947" t="s">
        <v>2118</v>
      </c>
      <c r="J13" s="1947"/>
      <c r="K13" s="1954">
        <v>750</v>
      </c>
    </row>
    <row r="14" spans="1:11" x14ac:dyDescent="0.2">
      <c r="A14" s="1952"/>
      <c r="B14" s="1953"/>
      <c r="C14" s="1947"/>
      <c r="D14" s="1947"/>
      <c r="E14" s="1947"/>
      <c r="F14" s="1947"/>
      <c r="G14" s="1947"/>
      <c r="H14" s="1947"/>
      <c r="I14" s="1947"/>
      <c r="J14" s="1947"/>
      <c r="K14" s="1954"/>
    </row>
    <row r="15" spans="1:11" x14ac:dyDescent="0.2">
      <c r="A15" s="1952">
        <v>4009</v>
      </c>
      <c r="B15" s="1953"/>
      <c r="C15" s="1947">
        <v>12</v>
      </c>
      <c r="D15" s="1947"/>
      <c r="E15" s="1947">
        <v>1</v>
      </c>
      <c r="F15" s="1947"/>
      <c r="G15" s="1947">
        <v>183</v>
      </c>
      <c r="H15" s="1947"/>
      <c r="I15" s="1947" t="s">
        <v>2119</v>
      </c>
      <c r="J15" s="1947"/>
      <c r="K15" s="1954">
        <v>27599</v>
      </c>
    </row>
    <row r="16" spans="1:11" x14ac:dyDescent="0.2">
      <c r="A16" s="1952"/>
      <c r="B16" s="1953"/>
      <c r="C16" s="1947"/>
      <c r="D16" s="1947"/>
      <c r="E16" s="1947"/>
      <c r="F16" s="1947"/>
      <c r="G16" s="1947"/>
      <c r="H16" s="1947"/>
      <c r="I16" s="1947"/>
      <c r="J16" s="1947"/>
      <c r="K16" s="1954"/>
    </row>
    <row r="17" spans="1:11" x14ac:dyDescent="0.2">
      <c r="A17" s="1952">
        <v>2190</v>
      </c>
      <c r="B17" s="1953"/>
      <c r="C17" s="1947">
        <v>15</v>
      </c>
      <c r="D17" s="1947"/>
      <c r="E17" s="1947">
        <v>1</v>
      </c>
      <c r="F17" s="1947"/>
      <c r="G17" s="1947">
        <v>41</v>
      </c>
      <c r="H17" s="1947"/>
      <c r="I17" s="1947" t="s">
        <v>2120</v>
      </c>
      <c r="J17" s="1947"/>
      <c r="K17" s="1954">
        <v>11984</v>
      </c>
    </row>
    <row r="18" spans="1:11" x14ac:dyDescent="0.2">
      <c r="A18" s="1952"/>
      <c r="B18" s="1953"/>
      <c r="C18" s="1947"/>
      <c r="D18" s="1947"/>
      <c r="E18" s="1947"/>
      <c r="F18" s="1947"/>
      <c r="G18" s="1947"/>
      <c r="H18" s="1947"/>
      <c r="I18" s="1947" t="s">
        <v>2121</v>
      </c>
      <c r="J18" s="1947"/>
      <c r="K18" s="1954">
        <v>4218</v>
      </c>
    </row>
    <row r="19" spans="1:11" x14ac:dyDescent="0.2">
      <c r="A19" s="1952"/>
      <c r="B19" s="1953"/>
      <c r="C19" s="1947"/>
      <c r="D19" s="1947"/>
      <c r="E19" s="1947"/>
      <c r="F19" s="1947"/>
      <c r="G19" s="1947"/>
      <c r="H19" s="1947"/>
      <c r="I19" s="1947" t="s">
        <v>2122</v>
      </c>
      <c r="J19" s="1947"/>
      <c r="K19" s="1955">
        <v>7829</v>
      </c>
    </row>
    <row r="20" spans="1:11" x14ac:dyDescent="0.2">
      <c r="A20" s="1952"/>
      <c r="B20" s="1953"/>
      <c r="C20" s="1947"/>
      <c r="D20" s="1947"/>
      <c r="E20" s="1947"/>
      <c r="F20" s="1947"/>
      <c r="G20" s="1947"/>
      <c r="H20" s="1947"/>
      <c r="I20" s="1947"/>
      <c r="J20" s="1947"/>
      <c r="K20" s="1954">
        <f>SUM(K17:K19)</f>
        <v>24031</v>
      </c>
    </row>
    <row r="21" spans="1:11" x14ac:dyDescent="0.2">
      <c r="A21" s="1952"/>
      <c r="B21" s="1953"/>
      <c r="C21" s="1947"/>
      <c r="D21" s="1947"/>
      <c r="E21" s="1947"/>
      <c r="F21" s="1947"/>
      <c r="G21" s="1947"/>
      <c r="H21" s="1947"/>
      <c r="I21" s="1947"/>
      <c r="J21" s="1947"/>
      <c r="K21" s="1954"/>
    </row>
    <row r="22" spans="1:11" x14ac:dyDescent="0.2">
      <c r="A22" s="1952">
        <v>4190</v>
      </c>
      <c r="B22" s="1953"/>
      <c r="C22" s="1947">
        <v>16</v>
      </c>
      <c r="D22" s="1947"/>
      <c r="E22" s="1947">
        <v>1</v>
      </c>
      <c r="F22" s="1947"/>
      <c r="G22" s="1947">
        <v>83</v>
      </c>
      <c r="H22" s="1947"/>
      <c r="I22" s="1947" t="s">
        <v>2123</v>
      </c>
      <c r="J22" s="1947"/>
      <c r="K22" s="1954">
        <v>2405</v>
      </c>
    </row>
    <row r="23" spans="1:11" x14ac:dyDescent="0.2">
      <c r="A23" s="1952"/>
      <c r="B23" s="1953"/>
      <c r="C23" s="1947"/>
      <c r="D23" s="1947"/>
      <c r="E23" s="1947"/>
      <c r="F23" s="1947"/>
      <c r="G23" s="1947"/>
      <c r="H23" s="1947"/>
      <c r="I23" s="1947"/>
      <c r="J23" s="1947"/>
      <c r="K23" s="1954"/>
    </row>
    <row r="24" spans="1:11" x14ac:dyDescent="0.2">
      <c r="A24" s="1952">
        <v>5400</v>
      </c>
      <c r="B24" s="1953"/>
      <c r="C24" s="1947">
        <v>18</v>
      </c>
      <c r="D24" s="1947"/>
      <c r="E24" s="1947">
        <v>3</v>
      </c>
      <c r="F24" s="1947"/>
      <c r="G24" s="1947">
        <v>171</v>
      </c>
      <c r="H24" s="1947"/>
      <c r="I24" s="1947" t="s">
        <v>2124</v>
      </c>
      <c r="J24" s="1947"/>
      <c r="K24" s="1954">
        <v>900</v>
      </c>
    </row>
    <row r="25" spans="1:11" x14ac:dyDescent="0.2">
      <c r="A25" s="1956"/>
      <c r="B25" s="1946"/>
      <c r="C25" s="1946"/>
      <c r="D25" s="1946"/>
      <c r="E25" s="1946"/>
      <c r="F25" s="1946"/>
      <c r="G25" s="1946"/>
      <c r="H25" s="1946"/>
      <c r="I25" s="1946"/>
      <c r="J25" s="1946"/>
      <c r="K25" s="1946"/>
    </row>
    <row r="26" spans="1:11" x14ac:dyDescent="0.2">
      <c r="A26" s="1956">
        <v>2190</v>
      </c>
      <c r="B26" s="1946"/>
      <c r="C26" s="1946">
        <v>18</v>
      </c>
      <c r="D26" s="1946"/>
      <c r="E26" s="1946">
        <v>4</v>
      </c>
      <c r="F26" s="1946"/>
      <c r="G26" s="1946">
        <v>180</v>
      </c>
      <c r="H26" s="1946"/>
      <c r="I26" s="1946" t="s">
        <v>2125</v>
      </c>
      <c r="J26" s="1946"/>
      <c r="K26" s="1946">
        <v>15974</v>
      </c>
    </row>
    <row r="27" spans="1:11" x14ac:dyDescent="0.2">
      <c r="A27" s="1956"/>
      <c r="B27" s="1946"/>
      <c r="C27" s="1946"/>
      <c r="D27" s="1946"/>
      <c r="E27" s="1946"/>
      <c r="F27" s="1946"/>
      <c r="G27" s="1946"/>
      <c r="H27" s="1946"/>
      <c r="I27" s="1946"/>
      <c r="J27" s="1946"/>
      <c r="K27" s="1946"/>
    </row>
    <row r="28" spans="1:11" x14ac:dyDescent="0.2">
      <c r="A28" s="1956">
        <v>2190</v>
      </c>
      <c r="B28" s="1946"/>
      <c r="C28" s="1946">
        <v>19</v>
      </c>
      <c r="D28" s="1946"/>
      <c r="E28" s="1946">
        <v>5</v>
      </c>
      <c r="F28" s="1946"/>
      <c r="G28" s="1946">
        <v>237</v>
      </c>
      <c r="H28" s="1946"/>
      <c r="I28" s="1946" t="s">
        <v>2126</v>
      </c>
      <c r="J28" s="1946"/>
      <c r="K28" s="1946">
        <v>1661</v>
      </c>
    </row>
    <row r="29" spans="1:11" x14ac:dyDescent="0.2">
      <c r="A29" s="1957"/>
      <c r="B29" s="1946"/>
      <c r="C29" s="1946"/>
      <c r="D29" s="1946"/>
      <c r="E29" s="1946"/>
      <c r="F29" s="1946"/>
      <c r="G29" s="1946"/>
      <c r="H29" s="1946"/>
      <c r="I29" s="1946"/>
      <c r="J29" s="1946"/>
      <c r="K29" s="1946"/>
    </row>
    <row r="30" spans="1:11" x14ac:dyDescent="0.2">
      <c r="A30" s="1068"/>
    </row>
    <row r="31" spans="1:11" x14ac:dyDescent="0.2">
      <c r="A31" s="1068"/>
      <c r="B31" s="258" t="str">
        <f>COVER!A17</f>
        <v>Grand Ridge CCSD 95</v>
      </c>
    </row>
    <row r="32" spans="1:11" x14ac:dyDescent="0.2">
      <c r="B32" s="1069">
        <f>COVER!A13</f>
        <v>35050095004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84"/>
  <sheetViews>
    <sheetView showGridLines="0" zoomScale="110" zoomScaleNormal="110" workbookViewId="0">
      <selection activeCell="C59" sqref="C5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5" t="s">
        <v>1611</v>
      </c>
    </row>
    <row r="23" spans="1:5" x14ac:dyDescent="0.2">
      <c r="A23" s="168"/>
      <c r="B23" s="162" t="s">
        <v>1857</v>
      </c>
      <c r="D23" s="167" t="s">
        <v>637</v>
      </c>
      <c r="E23" s="1835"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0" t="s">
        <v>1065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691</v>
      </c>
      <c r="B40" s="2067"/>
      <c r="C40" s="2067"/>
      <c r="D40" s="2067"/>
      <c r="E40" s="2067"/>
    </row>
    <row r="41" spans="1:5" x14ac:dyDescent="0.2">
      <c r="A41" s="2068" t="s">
        <v>1608</v>
      </c>
      <c r="B41" s="2068"/>
      <c r="C41" s="2068"/>
      <c r="D41" s="2068"/>
      <c r="E41" s="2068"/>
    </row>
    <row r="42" spans="1:5" ht="12.75" customHeight="1" x14ac:dyDescent="0.2">
      <c r="A42" s="2069" t="s">
        <v>1022</v>
      </c>
      <c r="B42" s="2069"/>
      <c r="C42" s="2069"/>
      <c r="D42" s="2069"/>
      <c r="E42" s="206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59" sqref="C5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53" t="s">
        <v>1685</v>
      </c>
      <c r="B18" s="235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1</xdr:col>
                <xdr:colOff>0</xdr:colOff>
                <xdr:row>8</xdr:row>
                <xdr:rowOff>0</xdr:rowOff>
              </from>
              <to>
                <xdr:col>1</xdr:col>
                <xdr:colOff>914400</xdr:colOff>
                <xdr:row>12</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4" r:id="rId6">
          <objectPr defaultSize="0" r:id="rId7">
            <anchor moveWithCells="1">
              <from>
                <xdr:col>1</xdr:col>
                <xdr:colOff>28575</xdr:colOff>
                <xdr:row>1</xdr:row>
                <xdr:rowOff>0</xdr:rowOff>
              </from>
              <to>
                <xdr:col>1</xdr:col>
                <xdr:colOff>942975</xdr:colOff>
                <xdr:row>5</xdr:row>
                <xdr:rowOff>123825</xdr:rowOff>
              </to>
            </anchor>
          </objectPr>
        </oleObject>
      </mc:Choice>
      <mc:Fallback>
        <oleObject progId="Acrobat Document" dvAspect="DVASPECT_ICON" shapeId="3584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4" zoomScale="110" zoomScaleNormal="110" workbookViewId="0">
      <selection activeCell="C59" sqref="C5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1690</v>
      </c>
      <c r="B1" s="2355"/>
      <c r="C1" s="2355"/>
      <c r="D1" s="2355"/>
      <c r="E1" s="2355"/>
      <c r="F1" s="2356"/>
    </row>
    <row r="2" spans="1:8" ht="45" customHeight="1" x14ac:dyDescent="0.2">
      <c r="A2" s="2364" t="s">
        <v>1987</v>
      </c>
      <c r="B2" s="2365"/>
      <c r="C2" s="2365"/>
      <c r="D2" s="2365"/>
      <c r="E2" s="2365"/>
      <c r="F2" s="2366"/>
      <c r="G2" s="1073"/>
      <c r="H2" s="1073"/>
    </row>
    <row r="3" spans="1:8" ht="57" customHeight="1" x14ac:dyDescent="0.2">
      <c r="A3" s="2367" t="s">
        <v>1686</v>
      </c>
      <c r="B3" s="2368"/>
      <c r="C3" s="2368"/>
      <c r="D3" s="2368"/>
      <c r="E3" s="2368"/>
      <c r="F3" s="2369"/>
      <c r="G3" s="1073"/>
      <c r="H3" s="1073"/>
    </row>
    <row r="4" spans="1:8" ht="14.25" customHeight="1" x14ac:dyDescent="0.2">
      <c r="A4" s="2373" t="s">
        <v>1988</v>
      </c>
      <c r="B4" s="2374"/>
      <c r="C4" s="2374"/>
      <c r="D4" s="2374"/>
      <c r="E4" s="2374"/>
      <c r="F4" s="2375"/>
      <c r="G4" s="1073"/>
      <c r="H4" s="1073"/>
    </row>
    <row r="5" spans="1:8" ht="14.25" customHeight="1" x14ac:dyDescent="0.2">
      <c r="A5" s="2376" t="s">
        <v>1984</v>
      </c>
      <c r="B5" s="2377"/>
      <c r="C5" s="2377"/>
      <c r="D5" s="2377"/>
      <c r="E5" s="2377"/>
      <c r="F5" s="2378"/>
      <c r="G5" s="1073"/>
      <c r="H5" s="1073"/>
    </row>
    <row r="6" spans="1:8" s="1074" customFormat="1" ht="41.25" customHeight="1" x14ac:dyDescent="0.2">
      <c r="A6" s="2370" t="s">
        <v>1691</v>
      </c>
      <c r="B6" s="2371"/>
      <c r="C6" s="2371"/>
      <c r="D6" s="2371"/>
      <c r="E6" s="2371"/>
      <c r="F6" s="2372"/>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2488394</v>
      </c>
      <c r="C8" s="1814">
        <f>'Acct Summary 7-8'!D8</f>
        <v>207041</v>
      </c>
      <c r="D8" s="1814">
        <f>'Acct Summary 7-8'!F8</f>
        <v>268220</v>
      </c>
      <c r="E8" s="1814">
        <f>'Acct Summary 7-8'!I8</f>
        <v>0</v>
      </c>
      <c r="F8" s="1814">
        <f>SUM(B8:E8)</f>
        <v>2963655</v>
      </c>
    </row>
    <row r="9" spans="1:8" s="1078" customFormat="1" ht="14.25" customHeight="1" thickBot="1" x14ac:dyDescent="0.25">
      <c r="A9" s="1077" t="s">
        <v>1369</v>
      </c>
      <c r="B9" s="1815">
        <f>'Acct Summary 7-8'!C17</f>
        <v>2275119</v>
      </c>
      <c r="C9" s="1815">
        <f>'Acct Summary 7-8'!D17</f>
        <v>240143</v>
      </c>
      <c r="D9" s="1815">
        <f>'Acct Summary 7-8'!F17</f>
        <v>306706</v>
      </c>
      <c r="E9" s="1814"/>
      <c r="F9" s="1814">
        <f>SUM(B9:E9)</f>
        <v>2821968</v>
      </c>
    </row>
    <row r="10" spans="1:8" s="1078" customFormat="1" ht="14.25" thickTop="1" thickBot="1" x14ac:dyDescent="0.25">
      <c r="A10" s="1079" t="s">
        <v>1370</v>
      </c>
      <c r="B10" s="1816">
        <f>(B8-B9)</f>
        <v>213275</v>
      </c>
      <c r="C10" s="1816">
        <f>(C8-C9)</f>
        <v>-33102</v>
      </c>
      <c r="D10" s="1816">
        <f>(D8-D9)</f>
        <v>-38486</v>
      </c>
      <c r="E10" s="1815">
        <f>(E8-E9)</f>
        <v>0</v>
      </c>
      <c r="F10" s="1817">
        <f>SUM(F8-F9)</f>
        <v>141687</v>
      </c>
    </row>
    <row r="11" spans="1:8" s="1078" customFormat="1" ht="14.25" thickTop="1" thickBot="1" x14ac:dyDescent="0.25">
      <c r="A11" s="1080" t="s">
        <v>1985</v>
      </c>
      <c r="B11" s="1818">
        <f>'Acct Summary 7-8'!C81</f>
        <v>891087</v>
      </c>
      <c r="C11" s="1818">
        <f>'Acct Summary 7-8'!D81</f>
        <v>833600</v>
      </c>
      <c r="D11" s="1818">
        <f>'Acct Summary 7-8'!F81</f>
        <v>156449</v>
      </c>
      <c r="E11" s="1818">
        <f>'Acct Summary 7-8'!I81</f>
        <v>0</v>
      </c>
      <c r="F11" s="1819">
        <f>SUM(B11:E11)</f>
        <v>1881136</v>
      </c>
    </row>
    <row r="12" spans="1:8" ht="16.5" customHeight="1" thickTop="1" x14ac:dyDescent="0.2">
      <c r="A12" s="1081"/>
      <c r="B12" s="1082"/>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3"/>
      <c r="B13" s="1084"/>
      <c r="C13" s="2358"/>
      <c r="D13" s="2359"/>
      <c r="E13" s="2359"/>
      <c r="F13" s="2360"/>
      <c r="H13" s="1073"/>
    </row>
    <row r="14" spans="1:8" ht="19.5" customHeight="1" x14ac:dyDescent="0.2">
      <c r="A14" s="1083"/>
      <c r="B14" s="1084"/>
      <c r="C14" s="2358"/>
      <c r="D14" s="2359"/>
      <c r="E14" s="2359"/>
      <c r="F14" s="2360"/>
      <c r="H14" s="1073"/>
    </row>
    <row r="15" spans="1:8" ht="17.25" customHeight="1" x14ac:dyDescent="0.2">
      <c r="A15" s="1083"/>
      <c r="B15" s="1084"/>
      <c r="C15" s="2361"/>
      <c r="D15" s="2362"/>
      <c r="E15" s="2362"/>
      <c r="F15" s="2363"/>
      <c r="H15" s="1073"/>
    </row>
    <row r="16" spans="1:8" s="310" customFormat="1" ht="51.75" hidden="1" customHeight="1" x14ac:dyDescent="0.2">
      <c r="A16" s="2357" t="s">
        <v>1687</v>
      </c>
      <c r="B16" s="2357"/>
      <c r="C16" s="2357"/>
      <c r="D16" s="2357"/>
      <c r="E16" s="2357"/>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1" colorId="8" zoomScale="110" zoomScaleNormal="110" workbookViewId="0">
      <selection activeCell="C59" sqref="C59"/>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5"/>
      <c r="B2" s="1896"/>
      <c r="C2" s="1897"/>
      <c r="D2" s="1898"/>
    </row>
    <row r="3" spans="1:4" ht="36" customHeight="1" x14ac:dyDescent="0.2">
      <c r="A3" s="2379" t="s">
        <v>665</v>
      </c>
      <c r="B3" s="2380"/>
      <c r="C3" s="2380"/>
      <c r="D3" s="2381"/>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90" t="s">
        <v>1504</v>
      </c>
      <c r="D7" s="2391"/>
    </row>
    <row r="8" spans="1:4" s="668" customFormat="1" ht="12.75" x14ac:dyDescent="0.2">
      <c r="A8" s="1137"/>
      <c r="B8" s="1092"/>
      <c r="C8" s="1095" t="s">
        <v>1503</v>
      </c>
      <c r="D8" s="1096"/>
    </row>
    <row r="9" spans="1:4" s="668" customFormat="1" ht="14.25" customHeight="1" x14ac:dyDescent="0.2">
      <c r="A9" s="1137"/>
      <c r="B9" s="1092">
        <f>B7+1</f>
        <v>4</v>
      </c>
      <c r="C9" s="1093" t="s">
        <v>1913</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82" t="s">
        <v>1008</v>
      </c>
      <c r="B15" s="2383"/>
      <c r="C15" s="2383"/>
      <c r="D15" s="2384"/>
    </row>
    <row r="16" spans="1:4" s="668" customFormat="1" ht="24" customHeight="1" x14ac:dyDescent="0.2">
      <c r="A16" s="2385" t="s">
        <v>663</v>
      </c>
      <c r="B16" s="2386"/>
      <c r="C16" s="2386"/>
      <c r="D16" s="2387"/>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94" t="s">
        <v>314</v>
      </c>
      <c r="D21" s="2395"/>
    </row>
    <row r="22" spans="1:10" ht="12.75" x14ac:dyDescent="0.2">
      <c r="A22" s="1138"/>
      <c r="B22" s="1139">
        <v>2</v>
      </c>
      <c r="C22" s="2392" t="s">
        <v>1524</v>
      </c>
      <c r="D22" s="2393"/>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b">
        <f>IF('Aud Quest 2'!B53="X",IF('Aud Quest 2'!F53&gt;"00/00/00 ","Enter Effective Date","ok"))</f>
        <v>0</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96" t="s">
        <v>536</v>
      </c>
      <c r="D43" s="2397"/>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88" t="s">
        <v>784</v>
      </c>
      <c r="D56" s="2389"/>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1914</v>
      </c>
      <c r="D66" s="1124"/>
    </row>
    <row r="67" spans="1:4" x14ac:dyDescent="0.2">
      <c r="A67" s="1118"/>
      <c r="B67" s="1139"/>
      <c r="C67" s="1146" t="s">
        <v>1021</v>
      </c>
      <c r="D67" s="1124"/>
    </row>
    <row r="68" spans="1:4" x14ac:dyDescent="0.2">
      <c r="A68" s="1099"/>
      <c r="B68" s="1109"/>
      <c r="C68" s="1101" t="s">
        <v>1915</v>
      </c>
      <c r="D68" s="1123" t="str">
        <f>IF('Short-Term Long-Term Debt 24'!F49=SUM(,'Acct Summary 7-8'!C33:K33),"OK","ERROR!")</f>
        <v>OK</v>
      </c>
    </row>
    <row r="69" spans="1:4" x14ac:dyDescent="0.2">
      <c r="A69" s="1099"/>
      <c r="B69" s="1109"/>
      <c r="C69" s="1101" t="s">
        <v>1916</v>
      </c>
      <c r="D69" s="1123" t="str">
        <f>IF('Expenditures 15-22'!H170&lt;&gt;'Short-Term Long-Term Debt 24'!H49,"ERROR!","OK")</f>
        <v>OK</v>
      </c>
    </row>
    <row r="70" spans="1:4" x14ac:dyDescent="0.2">
      <c r="A70" s="1097"/>
      <c r="B70" s="1119">
        <f>B66+1</f>
        <v>9</v>
      </c>
      <c r="C70" s="2388" t="s">
        <v>1696</v>
      </c>
      <c r="D70" s="2389"/>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1917</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1918</v>
      </c>
      <c r="D78" s="1123" t="str">
        <f>IF(ISNUMBER('Acct Summary 7-8'!C9),"OK","ENTRY IS REQUIRED!")</f>
        <v>OK</v>
      </c>
    </row>
    <row r="79" spans="1:4" x14ac:dyDescent="0.2">
      <c r="A79" s="1118"/>
      <c r="B79" s="1119">
        <f>B74+1+1</f>
        <v>12</v>
      </c>
      <c r="C79" s="1129" t="s">
        <v>1903</v>
      </c>
      <c r="D79" s="1130" t="str">
        <f>IF(OR(COVER!$B$6="X",'PCTC-OEPP 27-28'!F78&gt;0),"OK","PLEASE ENTER 9 MO ADA.")</f>
        <v>OK</v>
      </c>
    </row>
    <row r="80" spans="1:4" x14ac:dyDescent="0.2">
      <c r="A80" s="1097"/>
      <c r="B80" s="1119">
        <v>13</v>
      </c>
      <c r="C80" s="1129" t="s">
        <v>1919</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35050095004</v>
      </c>
    </row>
    <row r="3" spans="1:2" x14ac:dyDescent="0.2">
      <c r="A3" t="s">
        <v>956</v>
      </c>
      <c r="B3" s="138" t="str">
        <f>COVER!A15</f>
        <v>LA SALLE</v>
      </c>
    </row>
    <row r="4" spans="1:2" x14ac:dyDescent="0.2">
      <c r="A4" t="s">
        <v>1007</v>
      </c>
      <c r="B4" s="138" t="str">
        <f>COVER!A17</f>
        <v>Grand Ridge CCSD 95</v>
      </c>
    </row>
    <row r="5" spans="1:2" x14ac:dyDescent="0.2">
      <c r="A5" t="s">
        <v>704</v>
      </c>
      <c r="B5" s="138" t="str">
        <f>COVER!A38</f>
        <v>TED SANDERS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066-004656</v>
      </c>
    </row>
    <row r="16" spans="1:2" x14ac:dyDescent="0.2">
      <c r="A16" t="s">
        <v>422</v>
      </c>
      <c r="B16" s="138" t="str">
        <f>COVER!T13</f>
        <v>NEWKIRK &amp; ASSOCIATES, INC.</v>
      </c>
    </row>
    <row r="17" spans="1:2" x14ac:dyDescent="0.2">
      <c r="A17" t="s">
        <v>884</v>
      </c>
      <c r="B17" s="138" t="str">
        <f>COVER!T15</f>
        <v>WILLIAM J. NEWKIRK</v>
      </c>
    </row>
    <row r="18" spans="1:2" x14ac:dyDescent="0.2">
      <c r="A18" t="s">
        <v>1150</v>
      </c>
      <c r="B18" s="138" t="str">
        <f>COVER!T17</f>
        <v>2 W. MAIN STREET</v>
      </c>
    </row>
    <row r="19" spans="1:2" x14ac:dyDescent="0.2">
      <c r="A19" t="s">
        <v>886</v>
      </c>
      <c r="B19" s="138" t="str">
        <f>COVER!T25</f>
        <v>BNEWKIRK@NEWKIRKCPAS.COM</v>
      </c>
    </row>
    <row r="20" spans="1:2" x14ac:dyDescent="0.2">
      <c r="A20" t="s">
        <v>887</v>
      </c>
      <c r="B20" s="138" t="str">
        <f>COVER!T19</f>
        <v>PLANO</v>
      </c>
    </row>
    <row r="21" spans="1:2" x14ac:dyDescent="0.2">
      <c r="A21" t="s">
        <v>479</v>
      </c>
      <c r="B21" s="138" t="str">
        <f>COVER!X19</f>
        <v>IL</v>
      </c>
    </row>
    <row r="22" spans="1:2" x14ac:dyDescent="0.2">
      <c r="A22" t="s">
        <v>888</v>
      </c>
      <c r="B22" s="138">
        <f>COVER!Z19</f>
        <v>60545</v>
      </c>
    </row>
    <row r="23" spans="1:2" x14ac:dyDescent="0.2">
      <c r="A23" t="s">
        <v>1152</v>
      </c>
      <c r="B23" s="138" t="str">
        <f>COVER!T21</f>
        <v>630-552-1040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891411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324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324</v>
      </c>
      <c r="C91" s="2" t="s">
        <v>573</v>
      </c>
      <c r="D91" s="2" t="str">
        <f t="shared" si="0"/>
        <v>Error?</v>
      </c>
    </row>
    <row r="92" spans="1:4" x14ac:dyDescent="0.2">
      <c r="A92" s="5">
        <v>31</v>
      </c>
      <c r="B92" s="138">
        <f>'Assets-Liab 5-6'!C39</f>
        <v>891087</v>
      </c>
      <c r="D92" s="2" t="str">
        <f t="shared" si="0"/>
        <v>Error?</v>
      </c>
    </row>
    <row r="93" spans="1:4" x14ac:dyDescent="0.2">
      <c r="A93" s="5">
        <v>32</v>
      </c>
      <c r="B93" s="138">
        <f>'Assets-Liab 5-6'!C41</f>
        <v>891411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833600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833600</v>
      </c>
      <c r="D123" s="2" t="str">
        <f t="shared" si="0"/>
        <v>Error?</v>
      </c>
    </row>
    <row r="124" spans="1:4" x14ac:dyDescent="0.2">
      <c r="A124" s="5">
        <v>63</v>
      </c>
      <c r="B124" s="138">
        <f>'Assets-Liab 5-6'!D41</f>
        <v>833600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156449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156449</v>
      </c>
      <c r="D170" s="2" t="str">
        <f t="shared" si="1"/>
        <v>Error?</v>
      </c>
    </row>
    <row r="171" spans="1:4" x14ac:dyDescent="0.2">
      <c r="A171" s="5">
        <v>110</v>
      </c>
      <c r="B171" s="138">
        <f>'Assets-Liab 5-6'!F41</f>
        <v>156449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89046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38881</v>
      </c>
      <c r="D189" s="2" t="str">
        <f t="shared" si="1"/>
        <v>Error?</v>
      </c>
    </row>
    <row r="190" spans="1:4" x14ac:dyDescent="0.2">
      <c r="A190" s="5">
        <v>129</v>
      </c>
      <c r="B190" s="138">
        <f>'Assets-Liab 5-6'!G41</f>
        <v>89046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159265</v>
      </c>
      <c r="D273" s="2" t="str">
        <f t="shared" si="3"/>
        <v>Error?</v>
      </c>
    </row>
    <row r="274" spans="1:4" x14ac:dyDescent="0.2">
      <c r="A274" s="5">
        <v>213</v>
      </c>
      <c r="B274" s="138">
        <f>'Assets-Liab 5-6'!M17</f>
        <v>4428318</v>
      </c>
      <c r="D274" s="2" t="str">
        <f t="shared" si="3"/>
        <v>Error?</v>
      </c>
    </row>
    <row r="275" spans="1:4" x14ac:dyDescent="0.2">
      <c r="A275" s="5">
        <v>214</v>
      </c>
      <c r="B275" s="138">
        <f>'Assets-Liab 5-6'!M18</f>
        <v>36079</v>
      </c>
      <c r="D275" s="2" t="str">
        <f t="shared" si="3"/>
        <v>Error?</v>
      </c>
    </row>
    <row r="276" spans="1:4" x14ac:dyDescent="0.2">
      <c r="A276" s="5">
        <v>215</v>
      </c>
      <c r="B276" s="138">
        <f>'Assets-Liab 5-6'!M19</f>
        <v>92616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4716278</v>
      </c>
      <c r="C279" s="2" t="s">
        <v>573</v>
      </c>
      <c r="D279" s="2" t="str">
        <f t="shared" si="3"/>
        <v>Error?</v>
      </c>
    </row>
    <row r="280" spans="1:4" x14ac:dyDescent="0.2">
      <c r="A280" s="5">
        <v>219</v>
      </c>
      <c r="B280" s="138">
        <f>'Assets-Liab 5-6'!M40</f>
        <v>4716278</v>
      </c>
      <c r="D280" s="2" t="str">
        <f t="shared" si="3"/>
        <v>Error?</v>
      </c>
    </row>
    <row r="281" spans="1:4" x14ac:dyDescent="0.2">
      <c r="A281" s="5">
        <v>220</v>
      </c>
      <c r="B281" s="138">
        <f>'Assets-Liab 5-6'!M41</f>
        <v>4716278</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1390000</v>
      </c>
      <c r="D283" s="2" t="str">
        <f t="shared" si="3"/>
        <v>Error?</v>
      </c>
    </row>
    <row r="284" spans="1:4" x14ac:dyDescent="0.2">
      <c r="A284" s="5">
        <v>223</v>
      </c>
      <c r="B284" s="138">
        <f>'Assets-Liab 5-6'!N23</f>
        <v>1390000</v>
      </c>
      <c r="C284" s="2" t="s">
        <v>573</v>
      </c>
      <c r="D284" s="2" t="str">
        <f t="shared" si="3"/>
        <v>Error?</v>
      </c>
    </row>
    <row r="285" spans="1:4" x14ac:dyDescent="0.2">
      <c r="A285" s="5">
        <v>224</v>
      </c>
      <c r="B285" s="138">
        <f>'Assets-Liab 5-6'!N36</f>
        <v>1390000</v>
      </c>
      <c r="D285" s="2" t="str">
        <f t="shared" si="3"/>
        <v>Error?</v>
      </c>
    </row>
    <row r="286" spans="1:4" x14ac:dyDescent="0.2">
      <c r="A286" s="10">
        <v>225</v>
      </c>
      <c r="D286" s="2" t="str">
        <f t="shared" si="3"/>
        <v>OK</v>
      </c>
    </row>
    <row r="287" spans="1:4" x14ac:dyDescent="0.2">
      <c r="A287" s="5">
        <v>226</v>
      </c>
      <c r="B287" s="138">
        <f>'Assets-Liab 5-6'!N37</f>
        <v>1390000</v>
      </c>
      <c r="C287" s="2" t="s">
        <v>573</v>
      </c>
      <c r="D287" s="2" t="str">
        <f t="shared" si="3"/>
        <v>Error?</v>
      </c>
    </row>
    <row r="288" spans="1:4" x14ac:dyDescent="0.2">
      <c r="A288" s="5">
        <v>227</v>
      </c>
      <c r="B288" s="138">
        <f>'Assets-Liab 5-6'!N41</f>
        <v>1390000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765807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12189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1006877</v>
      </c>
      <c r="C720" s="2" t="s">
        <v>573</v>
      </c>
      <c r="D720" s="2" t="str">
        <f t="shared" si="10"/>
        <v>Error?</v>
      </c>
    </row>
    <row r="721" spans="1:4" x14ac:dyDescent="0.2">
      <c r="A721" s="5">
        <v>660</v>
      </c>
      <c r="B721" s="138">
        <f>'Expenditures 15-22'!C36</f>
        <v>8501</v>
      </c>
      <c r="D721" s="2" t="str">
        <f t="shared" si="10"/>
        <v>Error?</v>
      </c>
    </row>
    <row r="722" spans="1:4" x14ac:dyDescent="0.2">
      <c r="A722" s="5">
        <v>661</v>
      </c>
      <c r="B722" s="138">
        <f>'Expenditures 15-22'!C37</f>
        <v>34844</v>
      </c>
      <c r="D722" s="2" t="str">
        <f t="shared" si="10"/>
        <v>Error?</v>
      </c>
    </row>
    <row r="723" spans="1:4" x14ac:dyDescent="0.2">
      <c r="A723" s="5">
        <v>662</v>
      </c>
      <c r="B723" s="138">
        <f>'Expenditures 15-22'!C38</f>
        <v>8361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48118</v>
      </c>
      <c r="D725" s="2" t="str">
        <f t="shared" si="10"/>
        <v>Error?</v>
      </c>
    </row>
    <row r="726" spans="1:4" x14ac:dyDescent="0.2">
      <c r="A726" s="5">
        <v>665</v>
      </c>
      <c r="B726" s="138">
        <f>'Expenditures 15-22'!C41</f>
        <v>11327</v>
      </c>
      <c r="D726" s="2" t="str">
        <f t="shared" si="10"/>
        <v>Error?</v>
      </c>
    </row>
    <row r="727" spans="1:4" x14ac:dyDescent="0.2">
      <c r="A727" s="5">
        <v>666</v>
      </c>
      <c r="B727" s="138">
        <f>'Expenditures 15-22'!C42</f>
        <v>111151</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23375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23375</v>
      </c>
      <c r="C731" s="2" t="s">
        <v>573</v>
      </c>
      <c r="D731" s="2" t="str">
        <f t="shared" si="10"/>
        <v>Error?</v>
      </c>
    </row>
    <row r="732" spans="1:4" x14ac:dyDescent="0.2">
      <c r="A732" s="5">
        <v>671</v>
      </c>
      <c r="B732" s="138">
        <f>'Expenditures 15-22'!C49</f>
        <v>2000</v>
      </c>
      <c r="D732" s="2" t="str">
        <f t="shared" si="10"/>
        <v>Error?</v>
      </c>
    </row>
    <row r="733" spans="1:4" x14ac:dyDescent="0.2">
      <c r="A733" s="5">
        <v>672</v>
      </c>
      <c r="B733" s="138">
        <f>'Expenditures 15-22'!C50</f>
        <v>106403</v>
      </c>
      <c r="D733" s="2" t="str">
        <f t="shared" si="10"/>
        <v>Error?</v>
      </c>
    </row>
    <row r="734" spans="1:4" x14ac:dyDescent="0.2">
      <c r="A734" s="5">
        <v>673</v>
      </c>
      <c r="B734" s="138">
        <f>'Expenditures 15-22'!C53</f>
        <v>108403</v>
      </c>
      <c r="C734" s="2" t="s">
        <v>573</v>
      </c>
      <c r="D734" s="2" t="str">
        <f t="shared" si="10"/>
        <v>Error?</v>
      </c>
    </row>
    <row r="735" spans="1:4" x14ac:dyDescent="0.2">
      <c r="A735" s="5">
        <v>674</v>
      </c>
      <c r="B735" s="138">
        <f>'Expenditures 15-22'!C55</f>
        <v>70723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70723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37084</v>
      </c>
      <c r="D739" s="2" t="str">
        <f t="shared" si="10"/>
        <v>Error?</v>
      </c>
    </row>
    <row r="740" spans="1:4" x14ac:dyDescent="0.2">
      <c r="A740" s="5">
        <v>679</v>
      </c>
      <c r="B740" s="138">
        <f>'Expenditures 15-22'!C61</f>
        <v>49232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42132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128448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442100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1448977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151329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300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211444</v>
      </c>
      <c r="C778" s="2" t="s">
        <v>573</v>
      </c>
      <c r="D778" s="2" t="str">
        <f t="shared" si="11"/>
        <v>Error?</v>
      </c>
    </row>
    <row r="779" spans="1:4" x14ac:dyDescent="0.2">
      <c r="A779" s="5">
        <v>718</v>
      </c>
      <c r="B779" s="138">
        <f>'Expenditures 15-22'!D36</f>
        <v>1125</v>
      </c>
      <c r="D779" s="2" t="str">
        <f t="shared" si="11"/>
        <v>Error?</v>
      </c>
    </row>
    <row r="780" spans="1:4" x14ac:dyDescent="0.2">
      <c r="A780" s="5">
        <v>719</v>
      </c>
      <c r="B780" s="138">
        <f>'Expenditures 15-22'!D37</f>
        <v>11569</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12746</v>
      </c>
      <c r="D783" s="2" t="str">
        <f t="shared" si="11"/>
        <v>Error?</v>
      </c>
    </row>
    <row r="784" spans="1:4" x14ac:dyDescent="0.2">
      <c r="A784" s="5">
        <v>723</v>
      </c>
      <c r="B784" s="138">
        <f>'Expenditures 15-22'!D41</f>
        <v>656</v>
      </c>
      <c r="D784" s="2" t="str">
        <f t="shared" si="11"/>
        <v>Error?</v>
      </c>
    </row>
    <row r="785" spans="1:4" x14ac:dyDescent="0.2">
      <c r="A785" s="5">
        <v>724</v>
      </c>
      <c r="B785" s="138">
        <f>'Expenditures 15-22'!D42</f>
        <v>26096</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6098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6098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40752</v>
      </c>
      <c r="D791" s="2" t="str">
        <f t="shared" si="11"/>
        <v>Error?</v>
      </c>
    </row>
    <row r="792" spans="1:4" x14ac:dyDescent="0.2">
      <c r="A792" s="5">
        <v>731</v>
      </c>
      <c r="B792" s="138">
        <f>'Expenditures 15-22'!D53</f>
        <v>40752</v>
      </c>
      <c r="C792" s="2" t="s">
        <v>573</v>
      </c>
      <c r="D792" s="2" t="str">
        <f t="shared" si="11"/>
        <v>Error?</v>
      </c>
    </row>
    <row r="793" spans="1:4" x14ac:dyDescent="0.2">
      <c r="A793" s="5">
        <v>732</v>
      </c>
      <c r="B793" s="138">
        <f>'Expenditures 15-22'!D55</f>
        <v>8649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8649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6396</v>
      </c>
      <c r="D797" s="2" t="str">
        <f t="shared" si="11"/>
        <v>Error?</v>
      </c>
    </row>
    <row r="798" spans="1:4" x14ac:dyDescent="0.2">
      <c r="A798" s="5">
        <v>737</v>
      </c>
      <c r="B798" s="138">
        <f>'Expenditures 15-22'!D61</f>
        <v>6391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564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13351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94946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306390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8702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8453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31371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36</v>
      </c>
      <c r="D838" s="2" t="str">
        <f t="shared" si="12"/>
        <v>Error?</v>
      </c>
    </row>
    <row r="839" spans="1:4" x14ac:dyDescent="0.2">
      <c r="A839" s="5">
        <v>778</v>
      </c>
      <c r="B839" s="138">
        <f>'Expenditures 15-22'!E38</f>
        <v>1615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690</v>
      </c>
      <c r="D841" s="2" t="str">
        <f t="shared" si="12"/>
        <v>Error?</v>
      </c>
    </row>
    <row r="842" spans="1:4" x14ac:dyDescent="0.2">
      <c r="A842" s="5">
        <v>781</v>
      </c>
      <c r="B842" s="138">
        <f>'Expenditures 15-22'!E41</f>
        <v>4218</v>
      </c>
      <c r="D842" s="2" t="str">
        <f t="shared" si="12"/>
        <v>Error?</v>
      </c>
    </row>
    <row r="843" spans="1:4" x14ac:dyDescent="0.2">
      <c r="A843" s="5">
        <v>782</v>
      </c>
      <c r="B843" s="138">
        <f>'Expenditures 15-22'!E42</f>
        <v>6559</v>
      </c>
      <c r="C843" s="2" t="s">
        <v>573</v>
      </c>
      <c r="D843" s="2" t="str">
        <f t="shared" si="12"/>
        <v>Error?</v>
      </c>
    </row>
    <row r="844" spans="1:4" x14ac:dyDescent="0.2">
      <c r="A844" s="5">
        <v>783</v>
      </c>
      <c r="B844" s="138">
        <f>'Expenditures 15-22'!E44</f>
        <v>17265</v>
      </c>
      <c r="D844" s="2" t="str">
        <f t="shared" si="12"/>
        <v>Error?</v>
      </c>
    </row>
    <row r="845" spans="1:4" x14ac:dyDescent="0.2">
      <c r="A845" s="5">
        <v>784</v>
      </c>
      <c r="B845" s="138">
        <f>'Expenditures 15-22'!E45</f>
        <v>14889</v>
      </c>
      <c r="D845" s="2" t="str">
        <f t="shared" si="12"/>
        <v>Error?</v>
      </c>
    </row>
    <row r="846" spans="1:4" x14ac:dyDescent="0.2">
      <c r="A846" s="5">
        <v>785</v>
      </c>
      <c r="B846" s="138">
        <f>'Expenditures 15-22'!E46</f>
        <v>1333</v>
      </c>
      <c r="D846" s="2" t="str">
        <f t="shared" si="12"/>
        <v>Error?</v>
      </c>
    </row>
    <row r="847" spans="1:4" x14ac:dyDescent="0.2">
      <c r="A847" s="5">
        <v>786</v>
      </c>
      <c r="B847" s="138">
        <f>'Expenditures 15-22'!E47</f>
        <v>33487</v>
      </c>
      <c r="C847" s="2" t="s">
        <v>573</v>
      </c>
      <c r="D847" s="2" t="str">
        <f t="shared" si="12"/>
        <v>Error?</v>
      </c>
    </row>
    <row r="848" spans="1:4" x14ac:dyDescent="0.2">
      <c r="A848" s="5">
        <v>787</v>
      </c>
      <c r="B848" s="138">
        <f>'Expenditures 15-22'!E49</f>
        <v>29378</v>
      </c>
      <c r="D848" s="2" t="str">
        <f t="shared" si="12"/>
        <v>Error?</v>
      </c>
    </row>
    <row r="849" spans="1:4" x14ac:dyDescent="0.2">
      <c r="A849" s="5">
        <v>788</v>
      </c>
      <c r="B849" s="138">
        <f>'Expenditures 15-22'!E50</f>
        <v>4385</v>
      </c>
      <c r="D849" s="2" t="str">
        <f t="shared" si="12"/>
        <v>Error?</v>
      </c>
    </row>
    <row r="850" spans="1:4" x14ac:dyDescent="0.2">
      <c r="A850" s="5">
        <v>789</v>
      </c>
      <c r="B850" s="138">
        <f>'Expenditures 15-22'!E53</f>
        <v>33763</v>
      </c>
      <c r="C850" s="2" t="s">
        <v>573</v>
      </c>
      <c r="D850" s="2" t="str">
        <f t="shared" si="12"/>
        <v>Error?</v>
      </c>
    </row>
    <row r="851" spans="1:4" x14ac:dyDescent="0.2">
      <c r="A851" s="5">
        <v>790</v>
      </c>
      <c r="B851" s="138">
        <f>'Expenditures 15-22'!E55</f>
        <v>1567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1567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5424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42</v>
      </c>
      <c r="D858" s="2" t="str">
        <f t="shared" si="12"/>
        <v>Error?</v>
      </c>
    </row>
    <row r="859" spans="1:4" x14ac:dyDescent="0.2">
      <c r="A859" s="5">
        <v>798</v>
      </c>
      <c r="B859" s="138">
        <f>'Expenditures 15-22'!E64</f>
        <v>9501</v>
      </c>
      <c r="D859" s="2" t="str">
        <f t="shared" si="12"/>
        <v>Error?</v>
      </c>
    </row>
    <row r="860" spans="1:4" x14ac:dyDescent="0.2">
      <c r="A860" s="10">
        <v>799</v>
      </c>
      <c r="D860" s="2" t="str">
        <f t="shared" si="12"/>
        <v>OK</v>
      </c>
    </row>
    <row r="861" spans="1:4" x14ac:dyDescent="0.2">
      <c r="A861" s="5">
        <v>800</v>
      </c>
      <c r="B861" s="138">
        <f>'Expenditures 15-22'!E65</f>
        <v>14967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20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90363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189415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44576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7092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53319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248</v>
      </c>
      <c r="D896" s="2" t="str">
        <f t="shared" si="13"/>
        <v>Error?</v>
      </c>
    </row>
    <row r="897" spans="1:4" x14ac:dyDescent="0.2">
      <c r="A897" s="5">
        <v>836</v>
      </c>
      <c r="B897" s="138">
        <f>'Expenditures 15-22'!F38</f>
        <v>10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1422</v>
      </c>
      <c r="D899" s="2" t="str">
        <f t="shared" si="13"/>
        <v>Error?</v>
      </c>
    </row>
    <row r="900" spans="1:4" x14ac:dyDescent="0.2">
      <c r="A900" s="5">
        <v>839</v>
      </c>
      <c r="B900" s="138">
        <f>'Expenditures 15-22'!F41</f>
        <v>7829</v>
      </c>
      <c r="D900" s="2" t="str">
        <f t="shared" si="13"/>
        <v>Error?</v>
      </c>
    </row>
    <row r="901" spans="1:4" x14ac:dyDescent="0.2">
      <c r="A901" s="5">
        <v>840</v>
      </c>
      <c r="B901" s="138">
        <f>'Expenditures 15-22'!F42</f>
        <v>9509</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4822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4822</v>
      </c>
      <c r="C905" s="2" t="s">
        <v>573</v>
      </c>
      <c r="D905" s="2" t="str">
        <f t="shared" si="13"/>
        <v>Error?</v>
      </c>
    </row>
    <row r="906" spans="1:4" x14ac:dyDescent="0.2">
      <c r="A906" s="5">
        <v>845</v>
      </c>
      <c r="B906" s="138">
        <f>'Expenditures 15-22'!F49</f>
        <v>3319</v>
      </c>
      <c r="D906" s="2" t="str">
        <f t="shared" si="13"/>
        <v>Error?</v>
      </c>
    </row>
    <row r="907" spans="1:4" x14ac:dyDescent="0.2">
      <c r="A907" s="5">
        <v>846</v>
      </c>
      <c r="B907" s="138">
        <f>'Expenditures 15-22'!F50</f>
        <v>1076</v>
      </c>
      <c r="D907" s="2" t="str">
        <f t="shared" si="13"/>
        <v>Error?</v>
      </c>
    </row>
    <row r="908" spans="1:4" x14ac:dyDescent="0.2">
      <c r="A908" s="5">
        <v>847</v>
      </c>
      <c r="B908" s="138">
        <f>'Expenditures 15-22'!F53</f>
        <v>4395</v>
      </c>
      <c r="C908" s="2" t="s">
        <v>573</v>
      </c>
      <c r="D908" s="2" t="str">
        <f t="shared" si="13"/>
        <v>Error?</v>
      </c>
    </row>
    <row r="909" spans="1:4" x14ac:dyDescent="0.2">
      <c r="A909" s="5">
        <v>848</v>
      </c>
      <c r="B909" s="138">
        <f>'Expenditures 15-22'!F55</f>
        <v>1147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1147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537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27927</v>
      </c>
      <c r="D916" s="2" t="str">
        <f t="shared" si="13"/>
        <v>Error?</v>
      </c>
    </row>
    <row r="917" spans="1:4" x14ac:dyDescent="0.2">
      <c r="A917" s="5">
        <v>856</v>
      </c>
      <c r="B917" s="138">
        <f>'Expenditures 15-22'!F64</f>
        <v>2093</v>
      </c>
      <c r="D917" s="2" t="str">
        <f t="shared" si="13"/>
        <v>Error?</v>
      </c>
    </row>
    <row r="918" spans="1:4" x14ac:dyDescent="0.2">
      <c r="A918" s="10">
        <v>857</v>
      </c>
      <c r="D918" s="2" t="str">
        <f t="shared" si="13"/>
        <v>OK</v>
      </c>
    </row>
    <row r="919" spans="1:4" x14ac:dyDescent="0.2">
      <c r="A919" s="5">
        <v>858</v>
      </c>
      <c r="B919" s="138">
        <f>'Expenditures 15-22'!F65</f>
        <v>30557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50430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103749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25227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25227</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1625</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1625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26852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26852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1560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1958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131233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36</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36</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32029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32029</v>
      </c>
      <c r="C1021" s="2" t="s">
        <v>573</v>
      </c>
      <c r="D1021" s="2" t="str">
        <f t="shared" si="14"/>
        <v>Error?</v>
      </c>
    </row>
    <row r="1022" spans="1:4" x14ac:dyDescent="0.2">
      <c r="A1022" s="5">
        <v>961</v>
      </c>
      <c r="B1022" s="138">
        <f>'Expenditures 15-22'!H49</f>
        <v>2171</v>
      </c>
      <c r="D1022" s="2" t="str">
        <f t="shared" si="14"/>
        <v>Error?</v>
      </c>
    </row>
    <row r="1023" spans="1:4" x14ac:dyDescent="0.2">
      <c r="A1023" s="5">
        <v>962</v>
      </c>
      <c r="B1023" s="138">
        <f>'Expenditures 15-22'!H50</f>
        <v>1725</v>
      </c>
      <c r="D1023" s="2" t="str">
        <f t="shared" ref="D1023:D1086" si="15">IF(ISBLANK(B1023),"OK",IF(A1023-B1023=0,"OK","Error?"))</f>
        <v>Error?</v>
      </c>
    </row>
    <row r="1024" spans="1:4" x14ac:dyDescent="0.2">
      <c r="A1024" s="5">
        <v>963</v>
      </c>
      <c r="B1024" s="138">
        <f>'Expenditures 15-22'!H53</f>
        <v>3896</v>
      </c>
      <c r="C1024" s="2" t="s">
        <v>573</v>
      </c>
      <c r="D1024" s="2" t="str">
        <f t="shared" si="15"/>
        <v>Error?</v>
      </c>
    </row>
    <row r="1025" spans="1:4" x14ac:dyDescent="0.2">
      <c r="A1025" s="5">
        <v>964</v>
      </c>
      <c r="B1025" s="138">
        <f>'Expenditures 15-22'!H55</f>
        <v>4777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4777</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5644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554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6198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46936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21567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199736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971974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29992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1434244</v>
      </c>
      <c r="C1108" s="2" t="s">
        <v>573</v>
      </c>
      <c r="D1108" s="2" t="str">
        <f t="shared" si="16"/>
        <v>Error?</v>
      </c>
    </row>
    <row r="1109" spans="1:4" x14ac:dyDescent="0.2">
      <c r="A1109" s="5">
        <v>1048</v>
      </c>
      <c r="B1109" s="138">
        <f>'Expenditures 15-22'!K36</f>
        <v>9626</v>
      </c>
      <c r="C1109" s="2" t="s">
        <v>573</v>
      </c>
      <c r="D1109" s="2" t="str">
        <f t="shared" si="16"/>
        <v>Error?</v>
      </c>
    </row>
    <row r="1110" spans="1:4" x14ac:dyDescent="0.2">
      <c r="A1110" s="5">
        <v>1049</v>
      </c>
      <c r="B1110" s="138">
        <f>'Expenditures 15-22'!K37</f>
        <v>46697</v>
      </c>
      <c r="C1110" s="2" t="s">
        <v>573</v>
      </c>
      <c r="D1110" s="2" t="str">
        <f t="shared" si="16"/>
        <v>Error?</v>
      </c>
    </row>
    <row r="1111" spans="1:4" x14ac:dyDescent="0.2">
      <c r="A1111" s="5">
        <v>1050</v>
      </c>
      <c r="B1111" s="138">
        <f>'Expenditures 15-22'!K38</f>
        <v>9986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63012</v>
      </c>
      <c r="C1113" s="2" t="s">
        <v>573</v>
      </c>
      <c r="D1113" s="2" t="str">
        <f t="shared" si="16"/>
        <v>Error?</v>
      </c>
    </row>
    <row r="1114" spans="1:4" x14ac:dyDescent="0.2">
      <c r="A1114" s="5">
        <v>1053</v>
      </c>
      <c r="B1114" s="138">
        <f>'Expenditures 15-22'!K41</f>
        <v>24030</v>
      </c>
      <c r="C1114" s="2" t="s">
        <v>573</v>
      </c>
      <c r="D1114" s="2" t="str">
        <f t="shared" si="16"/>
        <v>Error?</v>
      </c>
    </row>
    <row r="1115" spans="1:4" x14ac:dyDescent="0.2">
      <c r="A1115" s="5">
        <v>1054</v>
      </c>
      <c r="B1115" s="138">
        <f>'Expenditures 15-22'!K42</f>
        <v>153351</v>
      </c>
      <c r="C1115" s="2" t="s">
        <v>573</v>
      </c>
      <c r="D1115" s="2" t="str">
        <f t="shared" si="16"/>
        <v>Error?</v>
      </c>
    </row>
    <row r="1116" spans="1:4" x14ac:dyDescent="0.2">
      <c r="A1116" s="5">
        <v>1055</v>
      </c>
      <c r="B1116" s="138">
        <f>'Expenditures 15-22'!K44</f>
        <v>17265</v>
      </c>
      <c r="C1116" s="2" t="s">
        <v>573</v>
      </c>
      <c r="D1116" s="2" t="str">
        <f t="shared" si="16"/>
        <v>Error?</v>
      </c>
    </row>
    <row r="1117" spans="1:4" x14ac:dyDescent="0.2">
      <c r="A1117" s="5">
        <v>1056</v>
      </c>
      <c r="B1117" s="138">
        <f>'Expenditures 15-22'!K45</f>
        <v>106440</v>
      </c>
      <c r="C1117" s="2" t="s">
        <v>573</v>
      </c>
      <c r="D1117" s="2" t="str">
        <f t="shared" si="16"/>
        <v>Error?</v>
      </c>
    </row>
    <row r="1118" spans="1:4" x14ac:dyDescent="0.2">
      <c r="A1118" s="5">
        <v>1057</v>
      </c>
      <c r="B1118" s="138">
        <f>'Expenditures 15-22'!K46</f>
        <v>1333</v>
      </c>
      <c r="C1118" s="2" t="s">
        <v>573</v>
      </c>
      <c r="D1118" s="2" t="str">
        <f t="shared" si="16"/>
        <v>Error?</v>
      </c>
    </row>
    <row r="1119" spans="1:4" x14ac:dyDescent="0.2">
      <c r="A1119" s="5">
        <v>1058</v>
      </c>
      <c r="B1119" s="138">
        <f>'Expenditures 15-22'!K47</f>
        <v>125038</v>
      </c>
      <c r="C1119" s="2" t="s">
        <v>573</v>
      </c>
      <c r="D1119" s="2" t="str">
        <f t="shared" si="16"/>
        <v>Error?</v>
      </c>
    </row>
    <row r="1120" spans="1:4" x14ac:dyDescent="0.2">
      <c r="A1120" s="5">
        <v>1059</v>
      </c>
      <c r="B1120" s="138">
        <f>'Expenditures 15-22'!K49</f>
        <v>36868</v>
      </c>
      <c r="C1120" s="2" t="s">
        <v>573</v>
      </c>
      <c r="D1120" s="2" t="str">
        <f t="shared" si="16"/>
        <v>Error?</v>
      </c>
    </row>
    <row r="1121" spans="1:4" x14ac:dyDescent="0.2">
      <c r="A1121" s="5">
        <v>1060</v>
      </c>
      <c r="B1121" s="138">
        <f>'Expenditures 15-22'!K50</f>
        <v>154341</v>
      </c>
      <c r="C1121" s="2" t="s">
        <v>573</v>
      </c>
      <c r="D1121" s="2" t="str">
        <f t="shared" si="16"/>
        <v>Error?</v>
      </c>
    </row>
    <row r="1122" spans="1:4" x14ac:dyDescent="0.2">
      <c r="A1122" s="5">
        <v>1061</v>
      </c>
      <c r="B1122" s="138">
        <f>'Expenditures 15-22'!K53</f>
        <v>191209</v>
      </c>
      <c r="C1122" s="2" t="s">
        <v>573</v>
      </c>
      <c r="D1122" s="2" t="str">
        <f t="shared" si="16"/>
        <v>Error?</v>
      </c>
    </row>
    <row r="1123" spans="1:4" x14ac:dyDescent="0.2">
      <c r="A1123" s="5">
        <v>1062</v>
      </c>
      <c r="B1123" s="138">
        <f>'Expenditures 15-22'!K55</f>
        <v>86863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86863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56710</v>
      </c>
      <c r="C1127" s="2" t="s">
        <v>573</v>
      </c>
      <c r="D1127" s="2" t="str">
        <f t="shared" si="16"/>
        <v>Error?</v>
      </c>
    </row>
    <row r="1128" spans="1:4" x14ac:dyDescent="0.2">
      <c r="A1128" s="5">
        <v>1067</v>
      </c>
      <c r="B1128" s="138">
        <f>'Expenditures 15-22'!K61</f>
        <v>55623</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71219</v>
      </c>
      <c r="C1130" s="2" t="s">
        <v>573</v>
      </c>
      <c r="D1130" s="2" t="str">
        <f t="shared" si="16"/>
        <v>Error?</v>
      </c>
    </row>
    <row r="1131" spans="1:4" x14ac:dyDescent="0.2">
      <c r="A1131" s="5">
        <v>1070</v>
      </c>
      <c r="B1131" s="138">
        <f>'Expenditures 15-22'!K64</f>
        <v>11594</v>
      </c>
      <c r="C1131" s="2" t="s">
        <v>573</v>
      </c>
      <c r="D1131" s="2" t="str">
        <f t="shared" si="16"/>
        <v>Error?</v>
      </c>
    </row>
    <row r="1132" spans="1:4" x14ac:dyDescent="0.2">
      <c r="A1132" s="10">
        <v>1071</v>
      </c>
      <c r="D1132" s="2" t="str">
        <f t="shared" si="16"/>
        <v>OK</v>
      </c>
    </row>
    <row r="1133" spans="1:4" x14ac:dyDescent="0.2">
      <c r="A1133" s="5">
        <v>1072</v>
      </c>
      <c r="B1133" s="138">
        <f>'Expenditures 15-22'!K65</f>
        <v>195146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20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20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751627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89248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2275119</v>
      </c>
      <c r="C1152" s="2" t="s">
        <v>573</v>
      </c>
      <c r="D1152" s="2" t="str">
        <f t="shared" si="17"/>
        <v>Error?</v>
      </c>
    </row>
    <row r="1153" spans="1:4" x14ac:dyDescent="0.2">
      <c r="A1153" s="5">
        <v>1092</v>
      </c>
      <c r="B1153" s="138">
        <f>'Expenditures 15-22'!K115</f>
        <v>213275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41998</v>
      </c>
      <c r="D1221" s="2" t="str">
        <f t="shared" si="18"/>
        <v>Error?</v>
      </c>
    </row>
    <row r="1222" spans="1:4" x14ac:dyDescent="0.2">
      <c r="A1222" s="10">
        <v>1161</v>
      </c>
      <c r="D1222" s="2" t="str">
        <f t="shared" si="18"/>
        <v>OK</v>
      </c>
    </row>
    <row r="1223" spans="1:4" x14ac:dyDescent="0.2">
      <c r="A1223" s="5">
        <v>1162</v>
      </c>
      <c r="B1223" s="138">
        <f>'Expenditures 15-22'!C127</f>
        <v>41998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41998</v>
      </c>
      <c r="C1225" s="2" t="s">
        <v>573</v>
      </c>
      <c r="D1225" s="2" t="str">
        <f t="shared" si="18"/>
        <v>Error?</v>
      </c>
    </row>
    <row r="1226" spans="1:4" x14ac:dyDescent="0.2">
      <c r="A1226" s="5">
        <v>1165</v>
      </c>
      <c r="B1226" s="138">
        <f>'Expenditures 15-22'!C151</f>
        <v>41998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766</v>
      </c>
      <c r="D1229" s="2" t="str">
        <f t="shared" si="18"/>
        <v>Error?</v>
      </c>
    </row>
    <row r="1230" spans="1:4" x14ac:dyDescent="0.2">
      <c r="A1230" s="10">
        <v>1169</v>
      </c>
      <c r="D1230" s="2" t="str">
        <f t="shared" si="18"/>
        <v>OK</v>
      </c>
    </row>
    <row r="1231" spans="1:4" x14ac:dyDescent="0.2">
      <c r="A1231" s="5">
        <v>1170</v>
      </c>
      <c r="B1231" s="138">
        <f>'Expenditures 15-22'!D127</f>
        <v>766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766</v>
      </c>
      <c r="C1233" s="2" t="s">
        <v>573</v>
      </c>
      <c r="D1233" s="2" t="str">
        <f t="shared" si="18"/>
        <v>Error?</v>
      </c>
    </row>
    <row r="1234" spans="1:4" x14ac:dyDescent="0.2">
      <c r="A1234" s="5">
        <v>1173</v>
      </c>
      <c r="B1234" s="138">
        <f>'Expenditures 15-22'!D151</f>
        <v>766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56361</v>
      </c>
      <c r="D1237" s="2" t="str">
        <f t="shared" si="18"/>
        <v>Error?</v>
      </c>
    </row>
    <row r="1238" spans="1:4" x14ac:dyDescent="0.2">
      <c r="A1238" s="10">
        <v>1177</v>
      </c>
      <c r="D1238" s="2" t="str">
        <f t="shared" si="18"/>
        <v>OK</v>
      </c>
    </row>
    <row r="1239" spans="1:4" x14ac:dyDescent="0.2">
      <c r="A1239" s="5">
        <v>1178</v>
      </c>
      <c r="B1239" s="138">
        <f>'Expenditures 15-22'!E127</f>
        <v>56361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56361</v>
      </c>
      <c r="C1241" s="2" t="s">
        <v>573</v>
      </c>
      <c r="D1241" s="2" t="str">
        <f t="shared" si="18"/>
        <v>Error?</v>
      </c>
    </row>
    <row r="1242" spans="1:4" x14ac:dyDescent="0.2">
      <c r="A1242" s="5">
        <v>1181</v>
      </c>
      <c r="B1242" s="138">
        <f>'Expenditures 15-22'!E151</f>
        <v>56361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79674</v>
      </c>
      <c r="D1245" s="2" t="str">
        <f t="shared" si="18"/>
        <v>Error?</v>
      </c>
    </row>
    <row r="1246" spans="1:4" x14ac:dyDescent="0.2">
      <c r="A1246" s="10">
        <v>1185</v>
      </c>
      <c r="D1246" s="2" t="str">
        <f t="shared" si="18"/>
        <v>OK</v>
      </c>
    </row>
    <row r="1247" spans="1:4" x14ac:dyDescent="0.2">
      <c r="A1247" s="5">
        <v>1186</v>
      </c>
      <c r="B1247" s="138">
        <f>'Expenditures 15-22'!F127</f>
        <v>79674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79674</v>
      </c>
      <c r="C1249" s="2" t="s">
        <v>573</v>
      </c>
      <c r="D1249" s="2" t="str">
        <f t="shared" si="18"/>
        <v>Error?</v>
      </c>
    </row>
    <row r="1250" spans="1:4" x14ac:dyDescent="0.2">
      <c r="A1250" s="5">
        <v>1189</v>
      </c>
      <c r="B1250" s="138">
        <f>'Expenditures 15-22'!F151</f>
        <v>79674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60005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60005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60005</v>
      </c>
      <c r="C1258" s="2" t="s">
        <v>573</v>
      </c>
      <c r="D1258" s="2" t="str">
        <f t="shared" si="18"/>
        <v>Error?</v>
      </c>
    </row>
    <row r="1259" spans="1:4" x14ac:dyDescent="0.2">
      <c r="A1259" s="5">
        <v>1198</v>
      </c>
      <c r="B1259" s="138">
        <f>'Expenditures 15-22'!G151</f>
        <v>60005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1339</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1339</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1339</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1339</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1339</v>
      </c>
      <c r="C1275" s="2" t="s">
        <v>573</v>
      </c>
      <c r="D1275" s="2" t="str">
        <f t="shared" si="18"/>
        <v>Error?</v>
      </c>
    </row>
    <row r="1276" spans="1:4" x14ac:dyDescent="0.2">
      <c r="A1276" s="5">
        <v>1215</v>
      </c>
      <c r="B1276" s="138">
        <f>'Expenditures 15-22'!K124</f>
        <v>238804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240143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240143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240143</v>
      </c>
      <c r="C1288" s="2" t="s">
        <v>573</v>
      </c>
      <c r="D1288" s="2" t="str">
        <f t="shared" si="19"/>
        <v>Error?</v>
      </c>
    </row>
    <row r="1289" spans="1:4" x14ac:dyDescent="0.2">
      <c r="A1289" s="5">
        <v>1228</v>
      </c>
      <c r="B1289" s="138">
        <f>'Expenditures 15-22'!K152</f>
        <v>-33102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62948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70000</v>
      </c>
      <c r="D1315" s="2" t="str">
        <f t="shared" si="19"/>
        <v>Error?</v>
      </c>
    </row>
    <row r="1316" spans="1:4" x14ac:dyDescent="0.2">
      <c r="A1316" s="5">
        <v>1255</v>
      </c>
      <c r="B1316" s="138">
        <f>'Expenditures 15-22'!H171</f>
        <v>900</v>
      </c>
      <c r="D1316" s="2" t="str">
        <f t="shared" si="19"/>
        <v>Error?</v>
      </c>
    </row>
    <row r="1317" spans="1:4" x14ac:dyDescent="0.2">
      <c r="A1317" s="5">
        <v>1256</v>
      </c>
      <c r="B1317" s="138">
        <f>'Expenditures 15-22'!H172</f>
        <v>133848</v>
      </c>
      <c r="C1317" s="2" t="s">
        <v>573</v>
      </c>
      <c r="D1317" s="2" t="str">
        <f t="shared" si="19"/>
        <v>Error?</v>
      </c>
    </row>
    <row r="1318" spans="1:4" x14ac:dyDescent="0.2">
      <c r="A1318" s="5">
        <v>1257</v>
      </c>
      <c r="B1318" s="138">
        <f>'Expenditures 15-22'!H174</f>
        <v>133848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62948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70000</v>
      </c>
      <c r="C1329" s="2" t="s">
        <v>573</v>
      </c>
      <c r="D1329" s="2" t="str">
        <f t="shared" si="19"/>
        <v>Error?</v>
      </c>
    </row>
    <row r="1330" spans="1:4" x14ac:dyDescent="0.2">
      <c r="A1330" s="5">
        <v>1269</v>
      </c>
      <c r="B1330" s="138">
        <f>'Expenditures 15-22'!K171</f>
        <v>900</v>
      </c>
      <c r="C1330" s="2" t="s">
        <v>573</v>
      </c>
      <c r="D1330" s="2" t="str">
        <f t="shared" si="19"/>
        <v>Error?</v>
      </c>
    </row>
    <row r="1331" spans="1:4" x14ac:dyDescent="0.2">
      <c r="A1331" s="5">
        <v>1270</v>
      </c>
      <c r="B1331" s="138">
        <f>'Expenditures 15-22'!K172</f>
        <v>133848</v>
      </c>
      <c r="C1331" s="2" t="s">
        <v>573</v>
      </c>
      <c r="D1331" s="2" t="str">
        <f t="shared" si="19"/>
        <v>Error?</v>
      </c>
    </row>
    <row r="1332" spans="1:4" x14ac:dyDescent="0.2">
      <c r="A1332" s="5">
        <v>1271</v>
      </c>
      <c r="B1332" s="138">
        <f>'Expenditures 15-22'!K174</f>
        <v>133848</v>
      </c>
      <c r="C1332" s="2" t="s">
        <v>573</v>
      </c>
      <c r="D1332" s="2" t="str">
        <f t="shared" si="19"/>
        <v>Error?</v>
      </c>
    </row>
    <row r="1333" spans="1:4" x14ac:dyDescent="0.2">
      <c r="A1333" s="5">
        <v>1272</v>
      </c>
      <c r="B1333" s="138">
        <f>'Expenditures 15-22'!K175</f>
        <v>-13220</v>
      </c>
      <c r="C1333" s="2" t="s">
        <v>573</v>
      </c>
      <c r="D1333" s="2" t="str">
        <f t="shared" si="19"/>
        <v>Error?</v>
      </c>
    </row>
    <row r="1334" spans="1:4" x14ac:dyDescent="0.2">
      <c r="A1334" s="10">
        <v>1273</v>
      </c>
      <c r="D1334" s="2" t="str">
        <f t="shared" si="19"/>
        <v>OK</v>
      </c>
    </row>
    <row r="1335" spans="1:4" x14ac:dyDescent="0.2">
      <c r="A1335" s="5">
        <v>1274</v>
      </c>
      <c r="B1335" s="138">
        <f>'Expenditures 15-22'!C182</f>
        <v>5250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5250</v>
      </c>
      <c r="C1339" s="2" t="s">
        <v>573</v>
      </c>
      <c r="D1339" s="2" t="str">
        <f t="shared" si="19"/>
        <v>Error?</v>
      </c>
    </row>
    <row r="1340" spans="1:4" x14ac:dyDescent="0.2">
      <c r="A1340" s="5">
        <v>1279</v>
      </c>
      <c r="B1340" s="138">
        <f>'Expenditures 15-22'!C210</f>
        <v>5250</v>
      </c>
      <c r="C1340" s="2" t="s">
        <v>573</v>
      </c>
      <c r="D1340" s="2" t="str">
        <f t="shared" si="19"/>
        <v>Error?</v>
      </c>
    </row>
    <row r="1341" spans="1:4" x14ac:dyDescent="0.2">
      <c r="A1341" s="5">
        <v>1280</v>
      </c>
      <c r="B1341" s="138">
        <f>'Expenditures 15-22'!D182</f>
        <v>2410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2410</v>
      </c>
      <c r="C1345" s="2" t="s">
        <v>573</v>
      </c>
      <c r="D1345" s="2" t="str">
        <f t="shared" si="20"/>
        <v>Error?</v>
      </c>
    </row>
    <row r="1346" spans="1:4" x14ac:dyDescent="0.2">
      <c r="A1346" s="5">
        <v>1285</v>
      </c>
      <c r="B1346" s="138">
        <f>'Expenditures 15-22'!D210</f>
        <v>2410</v>
      </c>
      <c r="C1346" s="2" t="s">
        <v>573</v>
      </c>
      <c r="D1346" s="2" t="str">
        <f t="shared" si="20"/>
        <v>Error?</v>
      </c>
    </row>
    <row r="1347" spans="1:4" x14ac:dyDescent="0.2">
      <c r="A1347" s="5">
        <v>1286</v>
      </c>
      <c r="B1347" s="138">
        <f>'Expenditures 15-22'!E182</f>
        <v>261395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277369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277369</v>
      </c>
      <c r="C1353" s="2" t="s">
        <v>573</v>
      </c>
      <c r="D1353" s="2" t="str">
        <f t="shared" si="20"/>
        <v>Error?</v>
      </c>
    </row>
    <row r="1354" spans="1:4" x14ac:dyDescent="0.2">
      <c r="A1354" s="5">
        <v>1293</v>
      </c>
      <c r="B1354" s="138">
        <f>'Expenditures 15-22'!F182</f>
        <v>21677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21677</v>
      </c>
      <c r="C1358" s="2" t="s">
        <v>573</v>
      </c>
      <c r="D1358" s="2" t="str">
        <f t="shared" si="20"/>
        <v>Error?</v>
      </c>
    </row>
    <row r="1359" spans="1:4" x14ac:dyDescent="0.2">
      <c r="A1359" s="5">
        <v>1298</v>
      </c>
      <c r="B1359" s="138">
        <f>'Expenditures 15-22'!F210</f>
        <v>21677</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290732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306706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306706</v>
      </c>
      <c r="C1388" s="2" t="s">
        <v>573</v>
      </c>
      <c r="D1388" s="2" t="str">
        <f t="shared" si="20"/>
        <v>Error?</v>
      </c>
    </row>
    <row r="1389" spans="1:4" x14ac:dyDescent="0.2">
      <c r="A1389" s="5">
        <v>1328</v>
      </c>
      <c r="B1389" s="138">
        <f>'Expenditures 15-22'!K211</f>
        <v>-38486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626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21492</v>
      </c>
      <c r="C1410" s="2" t="s">
        <v>573</v>
      </c>
      <c r="D1410" s="2" t="str">
        <f t="shared" si="21"/>
        <v>Error?</v>
      </c>
    </row>
    <row r="1411" spans="1:4" x14ac:dyDescent="0.2">
      <c r="A1411" s="5">
        <v>1350</v>
      </c>
      <c r="B1411" s="138">
        <f>'Expenditures 15-22'!D232</f>
        <v>123</v>
      </c>
      <c r="D1411" s="2" t="str">
        <f t="shared" si="21"/>
        <v>Error?</v>
      </c>
    </row>
    <row r="1412" spans="1:4" x14ac:dyDescent="0.2">
      <c r="A1412" s="5">
        <v>1351</v>
      </c>
      <c r="B1412" s="138">
        <f>'Expenditures 15-22'!D233</f>
        <v>505</v>
      </c>
      <c r="D1412" s="2" t="str">
        <f t="shared" si="21"/>
        <v>Error?</v>
      </c>
    </row>
    <row r="1413" spans="1:4" x14ac:dyDescent="0.2">
      <c r="A1413" s="5">
        <v>1352</v>
      </c>
      <c r="B1413" s="138">
        <f>'Expenditures 15-22'!D234</f>
        <v>640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698</v>
      </c>
      <c r="D1415" s="2" t="str">
        <f t="shared" si="21"/>
        <v>Error?</v>
      </c>
    </row>
    <row r="1416" spans="1:4" x14ac:dyDescent="0.2">
      <c r="A1416" s="5">
        <v>1355</v>
      </c>
      <c r="B1416" s="138">
        <f>'Expenditures 15-22'!D237</f>
        <v>1661</v>
      </c>
      <c r="D1416" s="2" t="str">
        <f t="shared" si="21"/>
        <v>Error?</v>
      </c>
    </row>
    <row r="1417" spans="1:4" x14ac:dyDescent="0.2">
      <c r="A1417" s="5">
        <v>1356</v>
      </c>
      <c r="B1417" s="138">
        <f>'Expenditures 15-22'!D238</f>
        <v>3627</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3431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3431</v>
      </c>
      <c r="C1421" s="2" t="s">
        <v>573</v>
      </c>
      <c r="D1421" s="2" t="str">
        <f t="shared" si="21"/>
        <v>Error?</v>
      </c>
    </row>
    <row r="1422" spans="1:4" x14ac:dyDescent="0.2">
      <c r="A1422" s="5">
        <v>1361</v>
      </c>
      <c r="B1422" s="138">
        <f>'Expenditures 15-22'!D245</f>
        <v>205</v>
      </c>
      <c r="D1422" s="2" t="str">
        <f t="shared" si="21"/>
        <v>Error?</v>
      </c>
    </row>
    <row r="1423" spans="1:4" x14ac:dyDescent="0.2">
      <c r="A1423" s="5">
        <v>1362</v>
      </c>
      <c r="B1423" s="138">
        <f>'Expenditures 15-22'!D246</f>
        <v>5463</v>
      </c>
      <c r="D1423" s="2" t="str">
        <f t="shared" si="21"/>
        <v>Error?</v>
      </c>
    </row>
    <row r="1424" spans="1:4" x14ac:dyDescent="0.2">
      <c r="A1424" s="5">
        <v>1363</v>
      </c>
      <c r="B1424" s="138">
        <f>'Expenditures 15-22'!D257</f>
        <v>5668</v>
      </c>
      <c r="C1424" s="2" t="s">
        <v>573</v>
      </c>
      <c r="D1424" s="2" t="str">
        <f t="shared" si="21"/>
        <v>Error?</v>
      </c>
    </row>
    <row r="1425" spans="1:4" x14ac:dyDescent="0.2">
      <c r="A1425" s="5">
        <v>1364</v>
      </c>
      <c r="B1425" s="138">
        <f>'Expenditures 15-22'!D259</f>
        <v>3128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3128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6195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15028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6729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27952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43806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65298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626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21492</v>
      </c>
      <c r="C1474" s="2" t="s">
        <v>573</v>
      </c>
      <c r="D1474" s="2" t="str">
        <f t="shared" si="22"/>
        <v>Error?</v>
      </c>
    </row>
    <row r="1475" spans="1:4" x14ac:dyDescent="0.2">
      <c r="A1475" s="5">
        <v>1414</v>
      </c>
      <c r="B1475" s="138">
        <f>'Expenditures 15-22'!K232</f>
        <v>123</v>
      </c>
      <c r="C1475" s="2" t="s">
        <v>573</v>
      </c>
      <c r="D1475" s="2" t="str">
        <f t="shared" si="22"/>
        <v>Error?</v>
      </c>
    </row>
    <row r="1476" spans="1:4" x14ac:dyDescent="0.2">
      <c r="A1476" s="5">
        <v>1415</v>
      </c>
      <c r="B1476" s="138">
        <f>'Expenditures 15-22'!K233</f>
        <v>505</v>
      </c>
      <c r="C1476" s="2" t="s">
        <v>573</v>
      </c>
      <c r="D1476" s="2" t="str">
        <f t="shared" si="22"/>
        <v>Error?</v>
      </c>
    </row>
    <row r="1477" spans="1:4" x14ac:dyDescent="0.2">
      <c r="A1477" s="5">
        <v>1416</v>
      </c>
      <c r="B1477" s="138">
        <f>'Expenditures 15-22'!K234</f>
        <v>640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698</v>
      </c>
      <c r="C1479" s="2" t="s">
        <v>573</v>
      </c>
      <c r="D1479" s="2" t="str">
        <f t="shared" si="22"/>
        <v>Error?</v>
      </c>
    </row>
    <row r="1480" spans="1:4" x14ac:dyDescent="0.2">
      <c r="A1480" s="5">
        <v>1419</v>
      </c>
      <c r="B1480" s="138">
        <f>'Expenditures 15-22'!K237</f>
        <v>1661</v>
      </c>
      <c r="C1480" s="2" t="s">
        <v>573</v>
      </c>
      <c r="D1480" s="2" t="str">
        <f t="shared" si="22"/>
        <v>Error?</v>
      </c>
    </row>
    <row r="1481" spans="1:4" x14ac:dyDescent="0.2">
      <c r="A1481" s="5">
        <v>1420</v>
      </c>
      <c r="B1481" s="138">
        <f>'Expenditures 15-22'!K238</f>
        <v>3627</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3431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3431</v>
      </c>
      <c r="C1485" s="2" t="s">
        <v>573</v>
      </c>
      <c r="D1485" s="2" t="str">
        <f t="shared" si="22"/>
        <v>Error?</v>
      </c>
    </row>
    <row r="1486" spans="1:4" x14ac:dyDescent="0.2">
      <c r="A1486" s="5">
        <v>1425</v>
      </c>
      <c r="B1486" s="138">
        <f>'Expenditures 15-22'!K245</f>
        <v>205</v>
      </c>
      <c r="C1486" s="2" t="s">
        <v>573</v>
      </c>
      <c r="D1486" s="2" t="str">
        <f t="shared" si="22"/>
        <v>Error?</v>
      </c>
    </row>
    <row r="1487" spans="1:4" x14ac:dyDescent="0.2">
      <c r="A1487" s="5">
        <v>1426</v>
      </c>
      <c r="B1487" s="138">
        <f>'Expenditures 15-22'!K246</f>
        <v>5463</v>
      </c>
      <c r="C1487" s="2" t="s">
        <v>573</v>
      </c>
      <c r="D1487" s="2" t="str">
        <f t="shared" si="22"/>
        <v>Error?</v>
      </c>
    </row>
    <row r="1488" spans="1:4" x14ac:dyDescent="0.2">
      <c r="A1488" s="5">
        <v>1427</v>
      </c>
      <c r="B1488" s="138">
        <f>'Expenditures 15-22'!K257</f>
        <v>5668</v>
      </c>
      <c r="C1488" s="2" t="s">
        <v>573</v>
      </c>
      <c r="D1488" s="2" t="str">
        <f t="shared" si="22"/>
        <v>Error?</v>
      </c>
    </row>
    <row r="1489" spans="1:4" x14ac:dyDescent="0.2">
      <c r="A1489" s="5">
        <v>1428</v>
      </c>
      <c r="B1489" s="138">
        <f>'Expenditures 15-22'!K259</f>
        <v>3128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3128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6195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15028</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6729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27952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43806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65298</v>
      </c>
      <c r="C1517" s="2" t="s">
        <v>573</v>
      </c>
      <c r="D1517" s="2" t="str">
        <f t="shared" si="22"/>
        <v>Error?</v>
      </c>
    </row>
    <row r="1518" spans="1:4" x14ac:dyDescent="0.2">
      <c r="A1518" s="5">
        <v>1457</v>
      </c>
      <c r="B1518" s="138">
        <f>'Expenditures 15-22'!K296</f>
        <v>11406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677812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891087</v>
      </c>
      <c r="C1630" s="2" t="s">
        <v>573</v>
      </c>
      <c r="D1630" s="2" t="str">
        <f t="shared" si="24"/>
        <v>Error?</v>
      </c>
    </row>
    <row r="1631" spans="1:4" x14ac:dyDescent="0.2">
      <c r="A1631" s="5">
        <v>1570</v>
      </c>
      <c r="B1631" s="138">
        <f>'Acct Summary 7-8'!D79</f>
        <v>879922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833600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194935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156449</v>
      </c>
      <c r="C1672" s="2" t="s">
        <v>573</v>
      </c>
      <c r="D1672" s="2" t="str">
        <f t="shared" si="25"/>
        <v>Error?</v>
      </c>
    </row>
    <row r="1673" spans="1:4" x14ac:dyDescent="0.2">
      <c r="A1673" s="5">
        <v>1612</v>
      </c>
      <c r="B1673" s="138">
        <f>'Acct Summary 7-8'!G79</f>
        <v>77640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89046</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1747290</v>
      </c>
      <c r="C1744" s="2" t="s">
        <v>573</v>
      </c>
      <c r="D1744" s="2" t="str">
        <f t="shared" si="26"/>
        <v>Error?</v>
      </c>
    </row>
    <row r="1745" spans="1:5" x14ac:dyDescent="0.2">
      <c r="A1745" s="5">
        <v>1684</v>
      </c>
      <c r="B1745" s="138">
        <f>'Tax Sched 23'!B5</f>
        <v>196773</v>
      </c>
      <c r="C1745" s="2" t="s">
        <v>573</v>
      </c>
      <c r="D1745" s="2" t="str">
        <f t="shared" si="26"/>
        <v>Error?</v>
      </c>
    </row>
    <row r="1746" spans="1:5" x14ac:dyDescent="0.2">
      <c r="A1746" s="5">
        <v>1685</v>
      </c>
      <c r="B1746" s="138">
        <f>'Tax Sched 23'!B6</f>
        <v>120427</v>
      </c>
      <c r="C1746" s="2" t="s">
        <v>573</v>
      </c>
      <c r="D1746" s="2" t="str">
        <f t="shared" si="26"/>
        <v>Error?</v>
      </c>
    </row>
    <row r="1747" spans="1:5" x14ac:dyDescent="0.2">
      <c r="A1747" s="5">
        <v>1686</v>
      </c>
      <c r="B1747" s="138">
        <f>'Tax Sched 23'!B7</f>
        <v>94448</v>
      </c>
      <c r="C1747" s="2" t="s">
        <v>573</v>
      </c>
      <c r="D1747" s="2" t="str">
        <f t="shared" si="26"/>
        <v>Error?</v>
      </c>
    </row>
    <row r="1748" spans="1:5" x14ac:dyDescent="0.2">
      <c r="A1748" s="5">
        <v>1687</v>
      </c>
      <c r="B1748" s="138">
        <f>'Tax Sched 23'!B8</f>
        <v>29973</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72933</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15747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2342733</v>
      </c>
      <c r="C1759" s="2" t="s">
        <v>573</v>
      </c>
      <c r="D1759" s="2" t="str">
        <f t="shared" si="26"/>
        <v>Error?</v>
      </c>
    </row>
    <row r="1760" spans="1:5" x14ac:dyDescent="0.2">
      <c r="A1760" s="5">
        <v>1699</v>
      </c>
      <c r="B1760" s="138">
        <f>'Tax Sched 23'!D4</f>
        <v>1747290</v>
      </c>
      <c r="C1760" s="2" t="s">
        <v>573</v>
      </c>
      <c r="D1760" s="2" t="str">
        <f t="shared" si="26"/>
        <v>Error?</v>
      </c>
    </row>
    <row r="1761" spans="1:5" x14ac:dyDescent="0.2">
      <c r="A1761" s="5">
        <v>1700</v>
      </c>
      <c r="B1761" s="138">
        <f>'Tax Sched 23'!D5</f>
        <v>196773</v>
      </c>
      <c r="C1761" s="2" t="s">
        <v>573</v>
      </c>
      <c r="D1761" s="2" t="str">
        <f t="shared" si="26"/>
        <v>Error?</v>
      </c>
    </row>
    <row r="1762" spans="1:5" s="8" customFormat="1" x14ac:dyDescent="0.2">
      <c r="A1762" s="5">
        <v>1701</v>
      </c>
      <c r="B1762" s="138">
        <f>'Tax Sched 23'!D6</f>
        <v>120427</v>
      </c>
      <c r="C1762" s="2" t="s">
        <v>573</v>
      </c>
      <c r="D1762" s="2" t="str">
        <f t="shared" si="26"/>
        <v>Error?</v>
      </c>
      <c r="E1762" s="9"/>
    </row>
    <row r="1763" spans="1:5" x14ac:dyDescent="0.2">
      <c r="A1763" s="5">
        <v>1702</v>
      </c>
      <c r="B1763" s="138">
        <f>'Tax Sched 23'!D7</f>
        <v>94448</v>
      </c>
      <c r="C1763" s="2" t="s">
        <v>573</v>
      </c>
      <c r="D1763" s="2" t="str">
        <f t="shared" si="26"/>
        <v>Error?</v>
      </c>
    </row>
    <row r="1764" spans="1:5" x14ac:dyDescent="0.2">
      <c r="A1764" s="5">
        <v>1703</v>
      </c>
      <c r="B1764" s="138">
        <f>'Tax Sched 23'!D8</f>
        <v>29973</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72933</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15747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2342733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1811161</v>
      </c>
      <c r="C1792" s="2" t="s">
        <v>573</v>
      </c>
      <c r="D1792" s="2" t="str">
        <f t="shared" si="27"/>
        <v>Error?</v>
      </c>
    </row>
    <row r="1793" spans="1:4" x14ac:dyDescent="0.2">
      <c r="A1793" s="5">
        <v>1732</v>
      </c>
      <c r="B1793" s="138">
        <f>'Tax Sched 23'!F5</f>
        <v>164881</v>
      </c>
      <c r="C1793" s="2" t="s">
        <v>573</v>
      </c>
      <c r="D1793" s="2" t="str">
        <f t="shared" si="27"/>
        <v>Error?</v>
      </c>
    </row>
    <row r="1794" spans="1:4" x14ac:dyDescent="0.2">
      <c r="A1794" s="5">
        <v>1733</v>
      </c>
      <c r="B1794" s="138">
        <f>'Tax Sched 23'!F6</f>
        <v>121446</v>
      </c>
      <c r="C1794" s="2" t="s">
        <v>573</v>
      </c>
      <c r="D1794" s="2" t="str">
        <f t="shared" si="27"/>
        <v>Error?</v>
      </c>
    </row>
    <row r="1795" spans="1:4" x14ac:dyDescent="0.2">
      <c r="A1795" s="5">
        <v>1734</v>
      </c>
      <c r="B1795" s="138">
        <f>'Tax Sched 23'!F7</f>
        <v>97901</v>
      </c>
      <c r="C1795" s="2" t="s">
        <v>573</v>
      </c>
      <c r="D1795" s="2" t="str">
        <f t="shared" si="27"/>
        <v>Error?</v>
      </c>
    </row>
    <row r="1796" spans="1:4" x14ac:dyDescent="0.2">
      <c r="A1796" s="5">
        <v>1735</v>
      </c>
      <c r="B1796" s="138">
        <f>'Tax Sched 23'!F8</f>
        <v>35008</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70007</v>
      </c>
      <c r="C1800" s="2" t="s">
        <v>573</v>
      </c>
      <c r="D1800" s="2" t="str">
        <f t="shared" si="27"/>
        <v>Error?</v>
      </c>
    </row>
    <row r="1801" spans="1:4" x14ac:dyDescent="0.2">
      <c r="A1801" s="5">
        <v>1740</v>
      </c>
      <c r="B1801" s="138">
        <f>'Tax Sched 23'!F12</f>
        <v>40792</v>
      </c>
      <c r="C1801" s="2" t="s">
        <v>573</v>
      </c>
      <c r="D1801" s="2" t="str">
        <f t="shared" si="27"/>
        <v>Error?</v>
      </c>
    </row>
    <row r="1802" spans="1:4" x14ac:dyDescent="0.2">
      <c r="A1802" s="5">
        <v>1741</v>
      </c>
      <c r="B1802" s="138">
        <f>'Tax Sched 23'!F14</f>
        <v>16317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2423131</v>
      </c>
      <c r="C1807" s="2" t="s">
        <v>573</v>
      </c>
      <c r="D1807" s="2" t="str">
        <f t="shared" si="27"/>
        <v>Error?</v>
      </c>
    </row>
    <row r="1808" spans="1:4" x14ac:dyDescent="0.2">
      <c r="A1808" s="5">
        <v>1747</v>
      </c>
      <c r="B1808" s="138">
        <f>'Tax Sched 23'!E4</f>
        <v>1811161</v>
      </c>
      <c r="D1808" s="2" t="str">
        <f t="shared" si="27"/>
        <v>Error?</v>
      </c>
    </row>
    <row r="1809" spans="1:4" x14ac:dyDescent="0.2">
      <c r="A1809" s="5">
        <v>1748</v>
      </c>
      <c r="B1809" s="138">
        <f>'Tax Sched 23'!E5</f>
        <v>164881</v>
      </c>
      <c r="D1809" s="2" t="str">
        <f t="shared" si="27"/>
        <v>Error?</v>
      </c>
    </row>
    <row r="1810" spans="1:4" x14ac:dyDescent="0.2">
      <c r="A1810" s="5">
        <v>1749</v>
      </c>
      <c r="B1810" s="138">
        <f>'Tax Sched 23'!E6</f>
        <v>121446</v>
      </c>
      <c r="D1810" s="2" t="str">
        <f t="shared" si="27"/>
        <v>Error?</v>
      </c>
    </row>
    <row r="1811" spans="1:4" x14ac:dyDescent="0.2">
      <c r="A1811" s="5">
        <v>1750</v>
      </c>
      <c r="B1811" s="138">
        <f>'Tax Sched 23'!E7</f>
        <v>97901</v>
      </c>
      <c r="D1811" s="2" t="str">
        <f t="shared" si="27"/>
        <v>Error?</v>
      </c>
    </row>
    <row r="1812" spans="1:4" x14ac:dyDescent="0.2">
      <c r="A1812" s="5">
        <v>1751</v>
      </c>
      <c r="B1812" s="138">
        <f>'Tax Sched 23'!E8</f>
        <v>35008</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70007</v>
      </c>
      <c r="D1816" s="2" t="str">
        <f t="shared" si="27"/>
        <v>Error?</v>
      </c>
    </row>
    <row r="1817" spans="1:4" x14ac:dyDescent="0.2">
      <c r="A1817" s="5">
        <v>1756</v>
      </c>
      <c r="B1817" s="138">
        <f>'Tax Sched 23'!E12</f>
        <v>40792</v>
      </c>
      <c r="D1817" s="2" t="str">
        <f t="shared" si="27"/>
        <v>Error?</v>
      </c>
    </row>
    <row r="1818" spans="1:4" x14ac:dyDescent="0.2">
      <c r="A1818" s="5">
        <v>1757</v>
      </c>
      <c r="B1818" s="138">
        <f>'Tax Sched 23'!E14</f>
        <v>16317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2423131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1460000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15747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15747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15747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159265</v>
      </c>
      <c r="D2008" s="2" t="str">
        <f t="shared" si="30"/>
        <v>Error?</v>
      </c>
    </row>
    <row r="2009" spans="1:4" x14ac:dyDescent="0.2">
      <c r="A2009" s="5">
        <v>1948</v>
      </c>
      <c r="B2009" s="138">
        <f>'Cap Outlay Deprec 26'!C8</f>
        <v>6245932</v>
      </c>
      <c r="D2009" s="2" t="str">
        <f t="shared" si="30"/>
        <v>Error?</v>
      </c>
    </row>
    <row r="2010" spans="1:4" x14ac:dyDescent="0.2">
      <c r="A2010" s="5">
        <v>1949</v>
      </c>
      <c r="B2010" s="138">
        <f>'Cap Outlay Deprec 26'!C10</f>
        <v>73587</v>
      </c>
      <c r="D2010" s="2" t="str">
        <f t="shared" si="30"/>
        <v>Error?</v>
      </c>
    </row>
    <row r="2011" spans="1:4" x14ac:dyDescent="0.2">
      <c r="A2011" s="5">
        <v>1950</v>
      </c>
      <c r="B2011" s="138">
        <f>'Cap Outlay Deprec 26'!C12</f>
        <v>430945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6993401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36114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36114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159265</v>
      </c>
      <c r="C2026" s="2" t="s">
        <v>573</v>
      </c>
      <c r="D2026" s="2" t="str">
        <f t="shared" si="30"/>
        <v>Error?</v>
      </c>
    </row>
    <row r="2027" spans="1:4" x14ac:dyDescent="0.2">
      <c r="A2027" s="5">
        <v>1966</v>
      </c>
      <c r="B2027" s="138">
        <f>'Cap Outlay Deprec 26'!F8</f>
        <v>6282046</v>
      </c>
      <c r="C2027" s="2" t="s">
        <v>573</v>
      </c>
      <c r="D2027" s="2" t="str">
        <f t="shared" si="30"/>
        <v>Error?</v>
      </c>
    </row>
    <row r="2028" spans="1:4" x14ac:dyDescent="0.2">
      <c r="A2028" s="5">
        <v>1967</v>
      </c>
      <c r="B2028" s="138">
        <f>'Cap Outlay Deprec 26'!F10</f>
        <v>73587</v>
      </c>
      <c r="C2028" s="2" t="s">
        <v>573</v>
      </c>
      <c r="D2028" s="2" t="str">
        <f t="shared" si="30"/>
        <v>Error?</v>
      </c>
    </row>
    <row r="2029" spans="1:4" x14ac:dyDescent="0.2">
      <c r="A2029" s="5">
        <v>1968</v>
      </c>
      <c r="B2029" s="138">
        <f>'Cap Outlay Deprec 26'!F12</f>
        <v>430945</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7029515</v>
      </c>
      <c r="C2031" s="2" t="s">
        <v>573</v>
      </c>
      <c r="D2031" s="2" t="str">
        <f t="shared" si="30"/>
        <v>Error?</v>
      </c>
    </row>
    <row r="2032" spans="1:4" x14ac:dyDescent="0.2">
      <c r="A2032" s="10">
        <v>1971</v>
      </c>
      <c r="D2032" s="2" t="str">
        <f t="shared" si="30"/>
        <v>OK</v>
      </c>
    </row>
    <row r="2033" spans="1:4" x14ac:dyDescent="0.2">
      <c r="A2033" s="5">
        <v>1972</v>
      </c>
      <c r="B2033" s="138">
        <f>'Cap Outlay Deprec 26'!H8</f>
        <v>1736762</v>
      </c>
      <c r="D2033" s="2" t="str">
        <f t="shared" si="30"/>
        <v>Error?</v>
      </c>
    </row>
    <row r="2034" spans="1:4" x14ac:dyDescent="0.2">
      <c r="A2034" s="5">
        <v>1973</v>
      </c>
      <c r="B2034" s="138">
        <f>'Cap Outlay Deprec 26'!H10</f>
        <v>34269</v>
      </c>
      <c r="D2034" s="2" t="str">
        <f t="shared" si="30"/>
        <v>Error?</v>
      </c>
    </row>
    <row r="2035" spans="1:4" x14ac:dyDescent="0.2">
      <c r="A2035" s="5">
        <v>1974</v>
      </c>
      <c r="B2035" s="138">
        <f>'Cap Outlay Deprec 26'!H12</f>
        <v>332414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2147832</v>
      </c>
      <c r="C2037" s="2" t="s">
        <v>573</v>
      </c>
      <c r="D2037" s="2" t="str">
        <f t="shared" si="30"/>
        <v>Error?</v>
      </c>
    </row>
    <row r="2038" spans="1:4" x14ac:dyDescent="0.2">
      <c r="A2038" s="10">
        <v>1977</v>
      </c>
      <c r="D2038" s="2" t="str">
        <f t="shared" si="30"/>
        <v>OK</v>
      </c>
    </row>
    <row r="2039" spans="1:4" x14ac:dyDescent="0.2">
      <c r="A2039" s="5">
        <v>1978</v>
      </c>
      <c r="B2039" s="138">
        <f>'Cap Outlay Deprec 26'!I8</f>
        <v>116966</v>
      </c>
      <c r="D2039" s="2" t="str">
        <f t="shared" si="30"/>
        <v>Error?</v>
      </c>
    </row>
    <row r="2040" spans="1:4" x14ac:dyDescent="0.2">
      <c r="A2040" s="5">
        <v>1979</v>
      </c>
      <c r="B2040" s="138">
        <f>'Cap Outlay Deprec 26'!I10</f>
        <v>3239</v>
      </c>
      <c r="D2040" s="2" t="str">
        <f t="shared" si="30"/>
        <v>Error?</v>
      </c>
    </row>
    <row r="2041" spans="1:4" x14ac:dyDescent="0.2">
      <c r="A2041" s="5">
        <v>1980</v>
      </c>
      <c r="B2041" s="138">
        <f>'Cap Outlay Deprec 26'!I12</f>
        <v>25593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165405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1853728</v>
      </c>
      <c r="C2051" s="2" t="s">
        <v>573</v>
      </c>
      <c r="D2051" s="2" t="str">
        <f t="shared" si="31"/>
        <v>Error?</v>
      </c>
    </row>
    <row r="2052" spans="1:4" x14ac:dyDescent="0.2">
      <c r="A2052" s="5">
        <v>1991</v>
      </c>
      <c r="B2052" s="138">
        <f>'Cap Outlay Deprec 26'!K10</f>
        <v>37508</v>
      </c>
      <c r="C2052" s="2" t="s">
        <v>573</v>
      </c>
      <c r="D2052" s="2" t="str">
        <f t="shared" si="31"/>
        <v>Error?</v>
      </c>
    </row>
    <row r="2053" spans="1:4" x14ac:dyDescent="0.2">
      <c r="A2053" s="5">
        <v>1992</v>
      </c>
      <c r="B2053" s="138">
        <f>'Cap Outlay Deprec 26'!K12</f>
        <v>358007</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2313237</v>
      </c>
      <c r="C2055" s="2" t="s">
        <v>573</v>
      </c>
      <c r="D2055" s="2" t="str">
        <f t="shared" si="31"/>
        <v>Error?</v>
      </c>
    </row>
    <row r="2056" spans="1:4" x14ac:dyDescent="0.2">
      <c r="A2056" s="5">
        <v>1995</v>
      </c>
      <c r="B2056" s="138">
        <f>'Cap Outlay Deprec 26'!L5</f>
        <v>159265</v>
      </c>
      <c r="C2056" s="2" t="s">
        <v>573</v>
      </c>
      <c r="D2056" s="2" t="str">
        <f t="shared" si="31"/>
        <v>Error?</v>
      </c>
    </row>
    <row r="2057" spans="1:4" x14ac:dyDescent="0.2">
      <c r="A2057" s="5">
        <v>1996</v>
      </c>
      <c r="B2057" s="138">
        <f>'Cap Outlay Deprec 26'!L8</f>
        <v>4428318</v>
      </c>
      <c r="C2057" s="2" t="s">
        <v>573</v>
      </c>
      <c r="D2057" s="2" t="str">
        <f t="shared" si="31"/>
        <v>Error?</v>
      </c>
    </row>
    <row r="2058" spans="1:4" x14ac:dyDescent="0.2">
      <c r="A2058" s="5">
        <v>1997</v>
      </c>
      <c r="B2058" s="138">
        <f>'Cap Outlay Deprec 26'!L10</f>
        <v>36079</v>
      </c>
      <c r="C2058" s="2" t="s">
        <v>573</v>
      </c>
      <c r="D2058" s="2" t="str">
        <f t="shared" si="31"/>
        <v>Error?</v>
      </c>
    </row>
    <row r="2059" spans="1:4" x14ac:dyDescent="0.2">
      <c r="A2059" s="5">
        <v>1998</v>
      </c>
      <c r="B2059" s="138">
        <f>'Cap Outlay Deprec 26'!L12</f>
        <v>72938</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4716278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2405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70086</v>
      </c>
      <c r="C2088" s="2" t="s">
        <v>573</v>
      </c>
      <c r="D2088" s="2" t="str">
        <f t="shared" si="31"/>
        <v>Error?</v>
      </c>
    </row>
    <row r="2089" spans="1:4" x14ac:dyDescent="0.2">
      <c r="A2089" s="5">
        <v>2028</v>
      </c>
      <c r="B2089" s="138">
        <f>'Expenditures 15-22'!K92</f>
        <v>19162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50165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1918052</v>
      </c>
      <c r="C2551" s="2" t="s">
        <v>573</v>
      </c>
      <c r="D2551" s="2" t="str">
        <f t="shared" si="38"/>
        <v>Error?</v>
      </c>
    </row>
    <row r="2552" spans="1:4" x14ac:dyDescent="0.2">
      <c r="A2552" s="10">
        <v>2491</v>
      </c>
      <c r="D2552" s="2" t="str">
        <f t="shared" si="38"/>
        <v>OK</v>
      </c>
    </row>
    <row r="2553" spans="1:4" x14ac:dyDescent="0.2">
      <c r="A2553" s="5">
        <v>2492</v>
      </c>
      <c r="B2553" s="138">
        <f>'Acct Summary 7-8'!C6</f>
        <v>341478</v>
      </c>
      <c r="C2553" s="2" t="s">
        <v>573</v>
      </c>
      <c r="D2553" s="2" t="str">
        <f t="shared" si="38"/>
        <v>Error?</v>
      </c>
    </row>
    <row r="2554" spans="1:4" x14ac:dyDescent="0.2">
      <c r="A2554" s="5">
        <v>2493</v>
      </c>
      <c r="B2554" s="138">
        <f>'Acct Summary 7-8'!C7</f>
        <v>228864</v>
      </c>
      <c r="C2554" s="2" t="s">
        <v>573</v>
      </c>
      <c r="D2554" s="2" t="str">
        <f t="shared" si="38"/>
        <v>Error?</v>
      </c>
    </row>
    <row r="2555" spans="1:4" x14ac:dyDescent="0.2">
      <c r="A2555" s="5">
        <v>2494</v>
      </c>
      <c r="B2555" s="138">
        <f>'Acct Summary 7-8'!C8</f>
        <v>2488394</v>
      </c>
      <c r="C2555" s="2" t="s">
        <v>573</v>
      </c>
      <c r="D2555" s="2" t="str">
        <f t="shared" si="38"/>
        <v>Error?</v>
      </c>
    </row>
    <row r="2556" spans="1:4" x14ac:dyDescent="0.2">
      <c r="A2556" s="5">
        <v>2495</v>
      </c>
      <c r="B2556" s="138">
        <f>'Acct Summary 7-8'!C12</f>
        <v>1434244</v>
      </c>
      <c r="C2556" s="2" t="s">
        <v>573</v>
      </c>
      <c r="D2556" s="2" t="str">
        <f t="shared" si="38"/>
        <v>Error?</v>
      </c>
    </row>
    <row r="2557" spans="1:4" x14ac:dyDescent="0.2">
      <c r="A2557" s="5">
        <v>2496</v>
      </c>
      <c r="B2557" s="138">
        <f>'Acct Summary 7-8'!C13</f>
        <v>751627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89248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2275119</v>
      </c>
      <c r="C2561" s="2" t="s">
        <v>573</v>
      </c>
      <c r="D2561" s="2" t="str">
        <f t="shared" si="39"/>
        <v>Error?</v>
      </c>
    </row>
    <row r="2562" spans="1:4" x14ac:dyDescent="0.2">
      <c r="A2562" s="5">
        <v>2501</v>
      </c>
      <c r="B2562" s="138">
        <f>'Acct Summary 7-8'!C20</f>
        <v>213275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207041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207041</v>
      </c>
      <c r="C2568" s="2" t="s">
        <v>573</v>
      </c>
      <c r="D2568" s="2" t="str">
        <f t="shared" si="39"/>
        <v>Error?</v>
      </c>
    </row>
    <row r="2569" spans="1:4" x14ac:dyDescent="0.2">
      <c r="A2569" s="5">
        <v>2508</v>
      </c>
      <c r="B2569" s="138">
        <f>'Acct Summary 7-8'!D13</f>
        <v>240143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240143</v>
      </c>
      <c r="C2573" s="2" t="s">
        <v>573</v>
      </c>
      <c r="D2573" s="2" t="str">
        <f t="shared" si="39"/>
        <v>Error?</v>
      </c>
    </row>
    <row r="2574" spans="1:4" x14ac:dyDescent="0.2">
      <c r="A2574" s="5">
        <v>2513</v>
      </c>
      <c r="B2574" s="138">
        <f>'Acct Summary 7-8'!D20</f>
        <v>-33102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96101</v>
      </c>
      <c r="C2591" s="2" t="s">
        <v>573</v>
      </c>
      <c r="D2591" s="2" t="str">
        <f t="shared" si="39"/>
        <v>Error?</v>
      </c>
    </row>
    <row r="2592" spans="1:4" x14ac:dyDescent="0.2">
      <c r="A2592" s="10">
        <v>2531</v>
      </c>
      <c r="D2592" s="2" t="str">
        <f t="shared" si="39"/>
        <v>OK</v>
      </c>
    </row>
    <row r="2593" spans="1:4" x14ac:dyDescent="0.2">
      <c r="A2593" s="5">
        <v>2532</v>
      </c>
      <c r="B2593" s="138">
        <f>'Acct Summary 7-8'!F6</f>
        <v>167159</v>
      </c>
      <c r="C2593" s="2" t="s">
        <v>573</v>
      </c>
      <c r="D2593" s="2" t="str">
        <f t="shared" si="39"/>
        <v>Error?</v>
      </c>
    </row>
    <row r="2594" spans="1:4" x14ac:dyDescent="0.2">
      <c r="A2594" s="5">
        <v>2533</v>
      </c>
      <c r="B2594" s="138">
        <f>'Acct Summary 7-8'!F7</f>
        <v>4960</v>
      </c>
      <c r="C2594" s="2" t="s">
        <v>573</v>
      </c>
      <c r="D2594" s="2" t="str">
        <f t="shared" si="39"/>
        <v>Error?</v>
      </c>
    </row>
    <row r="2595" spans="1:4" x14ac:dyDescent="0.2">
      <c r="A2595" s="5">
        <v>2534</v>
      </c>
      <c r="B2595" s="138">
        <f>'Acct Summary 7-8'!F8</f>
        <v>268220</v>
      </c>
      <c r="C2595" s="2" t="s">
        <v>573</v>
      </c>
      <c r="D2595" s="2" t="str">
        <f t="shared" si="39"/>
        <v>Error?</v>
      </c>
    </row>
    <row r="2596" spans="1:4" x14ac:dyDescent="0.2">
      <c r="A2596" s="5">
        <v>2535</v>
      </c>
      <c r="B2596" s="138">
        <f>'Acct Summary 7-8'!F13</f>
        <v>306706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306706</v>
      </c>
      <c r="C2600" s="2" t="s">
        <v>573</v>
      </c>
      <c r="D2600" s="2" t="str">
        <f t="shared" si="39"/>
        <v>Error?</v>
      </c>
    </row>
    <row r="2601" spans="1:4" x14ac:dyDescent="0.2">
      <c r="A2601" s="5">
        <v>2540</v>
      </c>
      <c r="B2601" s="138">
        <f>'Acct Summary 7-8'!F20</f>
        <v>-38486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76704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76704</v>
      </c>
      <c r="C2606" s="2" t="s">
        <v>573</v>
      </c>
      <c r="D2606" s="2" t="str">
        <f t="shared" si="39"/>
        <v>Error?</v>
      </c>
    </row>
    <row r="2607" spans="1:4" x14ac:dyDescent="0.2">
      <c r="A2607" s="5">
        <v>2546</v>
      </c>
      <c r="B2607" s="138">
        <f>'Acct Summary 7-8'!G12</f>
        <v>21492</v>
      </c>
      <c r="C2607" s="2" t="s">
        <v>573</v>
      </c>
      <c r="D2607" s="2" t="str">
        <f t="shared" si="39"/>
        <v>Error?</v>
      </c>
    </row>
    <row r="2608" spans="1:4" x14ac:dyDescent="0.2">
      <c r="A2608" s="5">
        <v>2547</v>
      </c>
      <c r="B2608" s="138">
        <f>'Acct Summary 7-8'!G13</f>
        <v>43806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65298</v>
      </c>
      <c r="C2612" s="2" t="s">
        <v>573</v>
      </c>
      <c r="D2612" s="2" t="str">
        <f t="shared" si="39"/>
        <v>Error?</v>
      </c>
    </row>
    <row r="2613" spans="1:4" x14ac:dyDescent="0.2">
      <c r="A2613" s="5">
        <v>2552</v>
      </c>
      <c r="B2613" s="138">
        <f>'Acct Summary 7-8'!G20</f>
        <v>11406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120628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120628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133848</v>
      </c>
      <c r="C2634" s="2" t="s">
        <v>573</v>
      </c>
      <c r="D2634" s="2" t="str">
        <f t="shared" si="40"/>
        <v>Error?</v>
      </c>
    </row>
    <row r="2635" spans="1:4" x14ac:dyDescent="0.2">
      <c r="A2635" s="5">
        <v>2574</v>
      </c>
      <c r="B2635" s="138">
        <f>'Acct Summary 7-8'!E17</f>
        <v>133848</v>
      </c>
      <c r="C2635" s="2" t="s">
        <v>573</v>
      </c>
      <c r="D2635" s="2" t="str">
        <f t="shared" si="40"/>
        <v>Error?</v>
      </c>
    </row>
    <row r="2636" spans="1:4" x14ac:dyDescent="0.2">
      <c r="A2636" s="5">
        <v>2575</v>
      </c>
      <c r="B2636" s="138">
        <f>'Acct Summary 7-8'!E20</f>
        <v>-13220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67681</v>
      </c>
      <c r="C2789" s="2" t="s">
        <v>573</v>
      </c>
      <c r="D2789" s="2" t="str">
        <f t="shared" si="42"/>
        <v>Error?</v>
      </c>
    </row>
    <row r="2790" spans="1:4" x14ac:dyDescent="0.2">
      <c r="A2790" s="5">
        <v>2729</v>
      </c>
      <c r="B2790" s="138">
        <f>'Expenditures 15-22'!E102</f>
        <v>67681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15275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15275</v>
      </c>
      <c r="D2914" s="2" t="str">
        <f t="shared" si="44"/>
        <v>Error?</v>
      </c>
    </row>
    <row r="2915" spans="1:4" x14ac:dyDescent="0.2">
      <c r="A2915" s="10">
        <v>2854</v>
      </c>
      <c r="D2915" s="2" t="str">
        <f t="shared" si="44"/>
        <v>OK</v>
      </c>
    </row>
    <row r="2916" spans="1:4" x14ac:dyDescent="0.2">
      <c r="A2916" s="5">
        <v>2855</v>
      </c>
      <c r="B2916" s="138">
        <f>'Assets-Liab 5-6'!L34</f>
        <v>15275</v>
      </c>
      <c r="C2916" s="2" t="s">
        <v>573</v>
      </c>
      <c r="D2916" s="2" t="str">
        <f t="shared" si="44"/>
        <v>Error?</v>
      </c>
    </row>
    <row r="2917" spans="1:4" x14ac:dyDescent="0.2">
      <c r="A2917" s="5">
        <v>2856</v>
      </c>
      <c r="B2917" s="138">
        <f>'Assets-Liab 5-6'!L41</f>
        <v>15275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67681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2405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67681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2405</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74823</v>
      </c>
      <c r="D3055" s="2" t="str">
        <f t="shared" si="46"/>
        <v>Error?</v>
      </c>
    </row>
    <row r="3056" spans="1:4" x14ac:dyDescent="0.2">
      <c r="A3056" s="5">
        <v>2995</v>
      </c>
      <c r="B3056" s="138">
        <f>'Expenditures 15-22'!D10</f>
        <v>17328</v>
      </c>
      <c r="D3056" s="2" t="str">
        <f t="shared" si="46"/>
        <v>Error?</v>
      </c>
    </row>
    <row r="3057" spans="1:4" x14ac:dyDescent="0.2">
      <c r="A3057" s="5">
        <v>2996</v>
      </c>
      <c r="B3057" s="138">
        <f>'Expenditures 15-22'!E10</f>
        <v>2416</v>
      </c>
      <c r="D3057" s="2" t="str">
        <f t="shared" si="46"/>
        <v>Error?</v>
      </c>
    </row>
    <row r="3058" spans="1:4" x14ac:dyDescent="0.2">
      <c r="A3058" s="5">
        <v>2997</v>
      </c>
      <c r="B3058" s="138">
        <f>'Expenditures 15-22'!F10</f>
        <v>212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94779</v>
      </c>
      <c r="C3062" s="2" t="s">
        <v>573</v>
      </c>
      <c r="D3062" s="2" t="str">
        <f t="shared" si="46"/>
        <v>Error?</v>
      </c>
    </row>
    <row r="3063" spans="1:4" x14ac:dyDescent="0.2">
      <c r="A3063" s="10">
        <v>3002</v>
      </c>
      <c r="D3063" s="2" t="str">
        <f t="shared" si="46"/>
        <v>OK</v>
      </c>
    </row>
    <row r="3064" spans="1:4" x14ac:dyDescent="0.2">
      <c r="A3064" s="5">
        <v>3003</v>
      </c>
      <c r="B3064" s="138">
        <f>'Expenditures 15-22'!D219</f>
        <v>6082</v>
      </c>
      <c r="D3064" s="2" t="str">
        <f t="shared" si="46"/>
        <v>Error?</v>
      </c>
    </row>
    <row r="3065" spans="1:4" x14ac:dyDescent="0.2">
      <c r="A3065" s="5">
        <v>3004</v>
      </c>
      <c r="B3065" s="138">
        <f>'Expenditures 15-22'!K219</f>
        <v>6082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213275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13220</v>
      </c>
      <c r="D3236" s="2" t="str">
        <f t="shared" si="49"/>
        <v>Error?</v>
      </c>
    </row>
    <row r="3237" spans="1:4" x14ac:dyDescent="0.2">
      <c r="A3237" s="5">
        <v>3176</v>
      </c>
      <c r="B3237" s="138">
        <f>'Acct Summary 7-8'!D76</f>
        <v>13220</v>
      </c>
      <c r="C3237" s="2" t="s">
        <v>573</v>
      </c>
      <c r="D3237" s="2" t="str">
        <f t="shared" si="49"/>
        <v>Error?</v>
      </c>
    </row>
    <row r="3238" spans="1:4" x14ac:dyDescent="0.2">
      <c r="A3238" s="5">
        <v>3177</v>
      </c>
      <c r="B3238" s="138">
        <f>'Acct Summary 7-8'!D77</f>
        <v>-13220</v>
      </c>
      <c r="C3238" s="2" t="s">
        <v>573</v>
      </c>
      <c r="D3238" s="2" t="str">
        <f t="shared" si="49"/>
        <v>Error?</v>
      </c>
    </row>
    <row r="3239" spans="1:4" x14ac:dyDescent="0.2">
      <c r="A3239" s="5">
        <v>3178</v>
      </c>
      <c r="B3239" s="138">
        <f>'Acct Summary 7-8'!D78</f>
        <v>-46322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-38486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11406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13220</v>
      </c>
      <c r="D3273" s="2" t="str">
        <f t="shared" si="50"/>
        <v>Error?</v>
      </c>
    </row>
    <row r="3274" spans="1:4" x14ac:dyDescent="0.2">
      <c r="A3274" s="5">
        <v>3213</v>
      </c>
      <c r="B3274" s="138">
        <f>'Acct Summary 7-8'!E44</f>
        <v>13220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13220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154058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42487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11800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1439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70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209854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12826</v>
      </c>
      <c r="D3387" s="2" t="str">
        <f t="shared" si="51"/>
        <v>Error?</v>
      </c>
    </row>
    <row r="3388" spans="1:4" x14ac:dyDescent="0.2">
      <c r="A3388" s="5">
        <v>3327</v>
      </c>
      <c r="B3388" s="138">
        <f>'Expenditures 15-22'!D217</f>
        <v>1958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12826</v>
      </c>
      <c r="C3390" s="2" t="s">
        <v>573</v>
      </c>
      <c r="D3390" s="2" t="str">
        <f t="shared" si="51"/>
        <v>Error?</v>
      </c>
    </row>
    <row r="3391" spans="1:4" x14ac:dyDescent="0.2">
      <c r="A3391" s="5">
        <v>3330</v>
      </c>
      <c r="B3391" s="138">
        <f>'Expenditures 15-22'!K217</f>
        <v>1958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891411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833600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156449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89046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15275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44956</v>
      </c>
      <c r="C3446" s="2" t="s">
        <v>573</v>
      </c>
      <c r="D3446" s="2" t="str">
        <f t="shared" si="52"/>
        <v>Error?</v>
      </c>
    </row>
    <row r="3447" spans="1:4" x14ac:dyDescent="0.2">
      <c r="A3447" s="5">
        <v>3386</v>
      </c>
      <c r="B3447" s="138">
        <f>'Tax Sched 23'!D16</f>
        <v>44956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45002</v>
      </c>
      <c r="C3449" s="2" t="s">
        <v>573</v>
      </c>
      <c r="D3449" s="2" t="str">
        <f t="shared" si="52"/>
        <v>Error?</v>
      </c>
    </row>
    <row r="3450" spans="1:4" x14ac:dyDescent="0.2">
      <c r="A3450" s="5">
        <v>3389</v>
      </c>
      <c r="B3450" s="138">
        <f>'Tax Sched 23'!E16</f>
        <v>45002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5281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5281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5281</v>
      </c>
      <c r="D3567" s="2" t="str">
        <f t="shared" si="54"/>
        <v>Error?</v>
      </c>
    </row>
    <row r="3568" spans="1:4" x14ac:dyDescent="0.2">
      <c r="A3568" s="5">
        <v>3507</v>
      </c>
      <c r="B3568" s="138">
        <f>'Assets-Liab 5-6'!K41</f>
        <v>5281</v>
      </c>
      <c r="C3568" s="2" t="s">
        <v>573</v>
      </c>
      <c r="D3568" s="2" t="str">
        <f t="shared" si="54"/>
        <v>Error?</v>
      </c>
    </row>
    <row r="3569" spans="1:4" x14ac:dyDescent="0.2">
      <c r="A3569" s="5">
        <v>3508</v>
      </c>
      <c r="B3569" s="138">
        <f>'Acct Summary 7-8'!K4</f>
        <v>15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15</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15</v>
      </c>
      <c r="C3588" s="2" t="s">
        <v>573</v>
      </c>
      <c r="D3588" s="2" t="str">
        <f t="shared" si="55"/>
        <v>Error?</v>
      </c>
    </row>
    <row r="3589" spans="1:4" x14ac:dyDescent="0.2">
      <c r="A3589" s="5">
        <v>3528</v>
      </c>
      <c r="B3589" s="138">
        <f>'Acct Summary 7-8'!K79</f>
        <v>5266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5281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20186</v>
      </c>
      <c r="C3725" s="2" t="s">
        <v>573</v>
      </c>
      <c r="D3725" s="2" t="str">
        <f t="shared" si="57"/>
        <v>Error?</v>
      </c>
    </row>
    <row r="3726" spans="1:4" x14ac:dyDescent="0.2">
      <c r="A3726" s="5">
        <v>3665</v>
      </c>
      <c r="B3726" s="138">
        <f>'Tax Sched 23'!D13</f>
        <v>20186</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20616</v>
      </c>
      <c r="C3728" s="2" t="s">
        <v>573</v>
      </c>
      <c r="D3728" s="2" t="str">
        <f t="shared" si="57"/>
        <v>Error?</v>
      </c>
    </row>
    <row r="3729" spans="1:4" x14ac:dyDescent="0.2">
      <c r="A3729" s="5">
        <v>3668</v>
      </c>
      <c r="B3729" s="138">
        <f>'Tax Sched 23'!E13</f>
        <v>20616</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15974</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15974</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937723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3426117</v>
      </c>
      <c r="C4122" s="2" t="s">
        <v>573</v>
      </c>
      <c r="D4122" s="2" t="str">
        <f t="shared" si="63"/>
        <v>Error?</v>
      </c>
    </row>
    <row r="4123" spans="1:4" x14ac:dyDescent="0.2">
      <c r="A4123" s="5">
        <v>4062</v>
      </c>
      <c r="B4123" s="138">
        <f>'Acct Summary 7-8'!D10</f>
        <v>207041</v>
      </c>
      <c r="C4123" s="2" t="s">
        <v>573</v>
      </c>
      <c r="D4123" s="2" t="str">
        <f t="shared" si="63"/>
        <v>Error?</v>
      </c>
    </row>
    <row r="4124" spans="1:4" x14ac:dyDescent="0.2">
      <c r="A4124" s="5">
        <v>4063</v>
      </c>
      <c r="B4124" s="138">
        <f>'Acct Summary 7-8'!E10</f>
        <v>120628</v>
      </c>
      <c r="C4124" s="2" t="s">
        <v>573</v>
      </c>
      <c r="D4124" s="2" t="str">
        <f t="shared" si="63"/>
        <v>Error?</v>
      </c>
    </row>
    <row r="4125" spans="1:4" x14ac:dyDescent="0.2">
      <c r="A4125" s="5">
        <v>4064</v>
      </c>
      <c r="B4125" s="138">
        <f>'Acct Summary 7-8'!F10</f>
        <v>268220</v>
      </c>
      <c r="C4125" s="2" t="s">
        <v>573</v>
      </c>
      <c r="D4125" s="2" t="str">
        <f t="shared" si="63"/>
        <v>Error?</v>
      </c>
    </row>
    <row r="4126" spans="1:4" x14ac:dyDescent="0.2">
      <c r="A4126" s="5">
        <v>4065</v>
      </c>
      <c r="B4126" s="138">
        <f>'Acct Summary 7-8'!G10</f>
        <v>76704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15</v>
      </c>
      <c r="C4130" s="2" t="s">
        <v>573</v>
      </c>
      <c r="D4130" s="2" t="str">
        <f t="shared" si="63"/>
        <v>Error?</v>
      </c>
    </row>
    <row r="4131" spans="1:4" x14ac:dyDescent="0.2">
      <c r="A4131" s="5">
        <v>4070</v>
      </c>
      <c r="B4131" s="138">
        <f>'Acct Summary 7-8'!C18</f>
        <v>937723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3212842</v>
      </c>
      <c r="C4136" s="2" t="s">
        <v>573</v>
      </c>
      <c r="D4136" s="2" t="str">
        <f t="shared" si="63"/>
        <v>Error?</v>
      </c>
    </row>
    <row r="4137" spans="1:4" x14ac:dyDescent="0.2">
      <c r="A4137" s="5">
        <v>4076</v>
      </c>
      <c r="B4137" s="138">
        <f>'Acct Summary 7-8'!D19</f>
        <v>240143</v>
      </c>
      <c r="C4137" s="2" t="s">
        <v>573</v>
      </c>
      <c r="D4137" s="2" t="str">
        <f t="shared" si="63"/>
        <v>Error?</v>
      </c>
    </row>
    <row r="4138" spans="1:4" x14ac:dyDescent="0.2">
      <c r="A4138" s="5">
        <v>4077</v>
      </c>
      <c r="B4138" s="138">
        <f>'Acct Summary 7-8'!E19</f>
        <v>133848</v>
      </c>
      <c r="C4138" s="2" t="s">
        <v>573</v>
      </c>
      <c r="D4138" s="2" t="str">
        <f t="shared" si="63"/>
        <v>Error?</v>
      </c>
    </row>
    <row r="4139" spans="1:4" x14ac:dyDescent="0.2">
      <c r="A4139" s="5">
        <v>4078</v>
      </c>
      <c r="B4139" s="138">
        <f>'Acct Summary 7-8'!F19</f>
        <v>306706</v>
      </c>
      <c r="C4139" s="2" t="s">
        <v>573</v>
      </c>
      <c r="D4139" s="2" t="str">
        <f t="shared" si="63"/>
        <v>Error?</v>
      </c>
    </row>
    <row r="4140" spans="1:4" x14ac:dyDescent="0.2">
      <c r="A4140" s="5">
        <v>4079</v>
      </c>
      <c r="B4140" s="138">
        <f>'Acct Summary 7-8'!G19</f>
        <v>65298</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1390000</v>
      </c>
      <c r="C4171" s="2" t="s">
        <v>573</v>
      </c>
      <c r="D4171" s="2" t="str">
        <f t="shared" si="64"/>
        <v>Error?</v>
      </c>
    </row>
    <row r="4172" spans="1:4" x14ac:dyDescent="0.2">
      <c r="A4172" s="5">
        <v>4111</v>
      </c>
      <c r="B4172" s="138">
        <f>'Short-Term Long-Term Debt 24'!J49</f>
        <v>1390000</v>
      </c>
      <c r="C4172" s="2" t="s">
        <v>573</v>
      </c>
      <c r="D4172" s="2" t="str">
        <f t="shared" si="64"/>
        <v>Error?</v>
      </c>
    </row>
    <row r="4173" spans="1:4" x14ac:dyDescent="0.2">
      <c r="A4173" s="5">
        <v>4112</v>
      </c>
      <c r="B4173" s="138">
        <f>'Short-Term Long-Term Debt 24'!H49</f>
        <v>70000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2220</v>
      </c>
      <c r="C4265" s="2" t="s">
        <v>573</v>
      </c>
      <c r="D4265" s="2" t="str">
        <f t="shared" si="65"/>
        <v>Error?</v>
      </c>
      <c r="E4265" s="128"/>
    </row>
    <row r="4266" spans="1:5" x14ac:dyDescent="0.2">
      <c r="A4266" s="12">
        <v>4205</v>
      </c>
      <c r="B4266" s="138">
        <f>('FP Info 3'!F10)*100000</f>
        <v>202.09999999999997</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2542</v>
      </c>
      <c r="C4268" s="2" t="s">
        <v>573</v>
      </c>
      <c r="D4268" s="2" t="str">
        <f t="shared" si="65"/>
        <v>Error?</v>
      </c>
    </row>
    <row r="4269" spans="1:5" x14ac:dyDescent="0.2">
      <c r="A4269" s="12">
        <v>4208</v>
      </c>
      <c r="B4269" s="138">
        <f>'FP Info 3'!J16</f>
        <v>1881136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2753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7199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7469</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9043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4960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200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27599</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81583806</v>
      </c>
      <c r="D4995" s="2" t="str">
        <f t="shared" si="77"/>
        <v>Error?</v>
      </c>
    </row>
    <row r="4996" spans="1:4" x14ac:dyDescent="0.2">
      <c r="A4996" s="12">
        <v>4935</v>
      </c>
      <c r="B4996" s="138">
        <f>'FP Info 3'!H31</f>
        <v>5629282.6140000001</v>
      </c>
      <c r="D4996" s="2" t="str">
        <f t="shared" si="77"/>
        <v>Error?</v>
      </c>
    </row>
    <row r="4997" spans="1:4" x14ac:dyDescent="0.2">
      <c r="A4997" s="12">
        <v>4936</v>
      </c>
      <c r="B4997" s="138">
        <f>'FP Info 3'!H37</f>
        <v>1390000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20186</v>
      </c>
      <c r="D5026" s="2" t="str">
        <f t="shared" si="77"/>
        <v>Error?</v>
      </c>
    </row>
    <row r="5027" spans="1:4" x14ac:dyDescent="0.2">
      <c r="A5027" s="5">
        <v>4966</v>
      </c>
      <c r="B5027" s="138">
        <f>'Revenues 9-14'!F104</f>
        <v>1000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1747290</v>
      </c>
      <c r="D5061" s="2" t="str">
        <f t="shared" si="78"/>
        <v>Error?</v>
      </c>
    </row>
    <row r="5062" spans="1:4" x14ac:dyDescent="0.2">
      <c r="A5062" s="10">
        <v>5001</v>
      </c>
      <c r="D5062" s="2" t="str">
        <f t="shared" si="78"/>
        <v>OK</v>
      </c>
    </row>
    <row r="5063" spans="1:4" x14ac:dyDescent="0.2">
      <c r="A5063" s="5">
        <v>5002</v>
      </c>
      <c r="B5063" s="138">
        <f>'Revenues 9-14'!C7</f>
        <v>15747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1783223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46390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46390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6183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6183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1070</v>
      </c>
      <c r="D5094" s="2" t="str">
        <f t="shared" si="78"/>
        <v>Error?</v>
      </c>
    </row>
    <row r="5095" spans="1:4" x14ac:dyDescent="0.2">
      <c r="A5095" s="5">
        <v>5034</v>
      </c>
      <c r="B5095" s="138">
        <f>'Revenues 9-14'!C74</f>
        <v>675</v>
      </c>
      <c r="D5095" s="2" t="str">
        <f t="shared" si="78"/>
        <v>Error?</v>
      </c>
    </row>
    <row r="5096" spans="1:4" x14ac:dyDescent="0.2">
      <c r="A5096" s="5">
        <v>5035</v>
      </c>
      <c r="B5096" s="138">
        <f>'Revenues 9-14'!C75</f>
        <v>29535</v>
      </c>
      <c r="C5096" s="2" t="s">
        <v>573</v>
      </c>
      <c r="D5096" s="2" t="str">
        <f t="shared" si="78"/>
        <v>Error?</v>
      </c>
    </row>
    <row r="5097" spans="1:4" x14ac:dyDescent="0.2">
      <c r="A5097" s="5">
        <v>5036</v>
      </c>
      <c r="B5097" s="138">
        <f>'Revenues 9-14'!C77</f>
        <v>8752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3725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12477</v>
      </c>
      <c r="C5102" s="2" t="s">
        <v>573</v>
      </c>
      <c r="D5102" s="2" t="str">
        <f t="shared" si="78"/>
        <v>Error?</v>
      </c>
    </row>
    <row r="5103" spans="1:4" x14ac:dyDescent="0.2">
      <c r="A5103" s="5">
        <v>5042</v>
      </c>
      <c r="B5103" s="138">
        <f>'Revenues 9-14'!C84</f>
        <v>11736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11736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3539</v>
      </c>
      <c r="D5114" s="2" t="str">
        <f t="shared" si="78"/>
        <v>Error?</v>
      </c>
    </row>
    <row r="5115" spans="1:4" x14ac:dyDescent="0.2">
      <c r="A5115" s="5">
        <v>5054</v>
      </c>
      <c r="B5115" s="138">
        <f>'Revenues 9-14'!C98</f>
        <v>18917</v>
      </c>
      <c r="D5115" s="2" t="str">
        <f t="shared" si="78"/>
        <v>Error?</v>
      </c>
    </row>
    <row r="5116" spans="1:4" x14ac:dyDescent="0.2">
      <c r="A5116" s="5">
        <v>5055</v>
      </c>
      <c r="B5116" s="138">
        <f>'Revenues 9-14'!C99</f>
        <v>5214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634</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28508</v>
      </c>
      <c r="C5120" s="2" t="s">
        <v>573</v>
      </c>
      <c r="D5120" s="2" t="str">
        <f t="shared" si="79"/>
        <v>Error?</v>
      </c>
    </row>
    <row r="5121" spans="1:4" x14ac:dyDescent="0.2">
      <c r="A5121" s="5">
        <v>5060</v>
      </c>
      <c r="B5121" s="138">
        <f>'Revenues 9-14'!C109</f>
        <v>1918052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247292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247292</v>
      </c>
      <c r="C5132" s="2" t="s">
        <v>573</v>
      </c>
      <c r="D5132" s="2" t="str">
        <f t="shared" si="79"/>
        <v>Error?</v>
      </c>
    </row>
    <row r="5133" spans="1:4" x14ac:dyDescent="0.2">
      <c r="A5133" s="5">
        <v>5072</v>
      </c>
      <c r="B5133" s="138">
        <f>'Revenues 9-14'!C125</f>
        <v>55085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37874</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92959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477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94186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341478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27599</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25585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4480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30065</v>
      </c>
      <c r="C5246" s="2" t="s">
        <v>573</v>
      </c>
      <c r="D5246" s="2" t="str">
        <f t="shared" si="80"/>
        <v>Error?</v>
      </c>
    </row>
    <row r="5247" spans="1:4" x14ac:dyDescent="0.2">
      <c r="A5247" s="5">
        <v>5186</v>
      </c>
      <c r="B5247" s="138">
        <f>'Revenues 9-14'!C200</f>
        <v>71861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7469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71861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72875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72875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201265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228864</v>
      </c>
      <c r="C5326" s="2" t="s">
        <v>573</v>
      </c>
      <c r="D5326" s="2" t="str">
        <f t="shared" si="82"/>
        <v>Error?</v>
      </c>
    </row>
    <row r="5327" spans="1:5" x14ac:dyDescent="0.2">
      <c r="A5327" s="5">
        <v>5266</v>
      </c>
      <c r="B5327" s="138">
        <f>'Revenues 9-14'!C268</f>
        <v>2488394</v>
      </c>
      <c r="C5327" s="2" t="s">
        <v>573</v>
      </c>
      <c r="D5327" s="2" t="str">
        <f t="shared" si="82"/>
        <v>Error?</v>
      </c>
    </row>
    <row r="5328" spans="1:5" x14ac:dyDescent="0.2">
      <c r="A5328" s="5">
        <v>5267</v>
      </c>
      <c r="B5328" s="138">
        <f>'Revenues 9-14'!D5</f>
        <v>196773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196773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2748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2748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7520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7520</v>
      </c>
      <c r="C5355" s="2" t="s">
        <v>573</v>
      </c>
      <c r="D5355" s="2" t="str">
        <f t="shared" si="82"/>
        <v>Error?</v>
      </c>
    </row>
    <row r="5356" spans="1:4" x14ac:dyDescent="0.2">
      <c r="A5356" s="5">
        <v>5295</v>
      </c>
      <c r="B5356" s="138">
        <f>'Revenues 9-14'!D109</f>
        <v>207041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207041</v>
      </c>
      <c r="C5508" s="2" t="s">
        <v>573</v>
      </c>
      <c r="D5508" s="2" t="str">
        <f t="shared" si="85"/>
        <v>Error?</v>
      </c>
    </row>
    <row r="5509" spans="1:4" x14ac:dyDescent="0.2">
      <c r="A5509" s="5">
        <v>5448</v>
      </c>
      <c r="B5509" s="138">
        <f>'Revenues 9-14'!E5</f>
        <v>120427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120427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201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201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120628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120628</v>
      </c>
      <c r="C5552" s="2" t="s">
        <v>573</v>
      </c>
      <c r="D5552" s="2" t="str">
        <f t="shared" si="85"/>
        <v>Error?</v>
      </c>
    </row>
    <row r="5553" spans="1:4" x14ac:dyDescent="0.2">
      <c r="A5553" s="5">
        <v>5492</v>
      </c>
      <c r="B5553" s="138">
        <f>'Revenues 9-14'!F5</f>
        <v>94448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94448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653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653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1000</v>
      </c>
      <c r="C5587" s="2" t="s">
        <v>573</v>
      </c>
      <c r="D5587" s="2" t="str">
        <f t="shared" si="86"/>
        <v>Error?</v>
      </c>
    </row>
    <row r="5588" spans="1:4" x14ac:dyDescent="0.2">
      <c r="A5588" s="5">
        <v>5527</v>
      </c>
      <c r="B5588" s="138">
        <f>'Revenues 9-14'!F109</f>
        <v>96101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116602</v>
      </c>
      <c r="D5615" s="2" t="str">
        <f t="shared" si="86"/>
        <v>Error?</v>
      </c>
    </row>
    <row r="5616" spans="1:4" x14ac:dyDescent="0.2">
      <c r="A5616" s="10">
        <v>5555</v>
      </c>
      <c r="D5616" s="2" t="str">
        <f t="shared" si="86"/>
        <v>OK</v>
      </c>
    </row>
    <row r="5617" spans="1:5" x14ac:dyDescent="0.2">
      <c r="A5617" s="5">
        <v>5556</v>
      </c>
      <c r="B5617" s="138">
        <f>'Revenues 9-14'!F153</f>
        <v>50557</v>
      </c>
      <c r="D5617" s="2" t="str">
        <f t="shared" si="86"/>
        <v>Error?</v>
      </c>
    </row>
    <row r="5618" spans="1:5" x14ac:dyDescent="0.2">
      <c r="A5618" s="5">
        <v>5557</v>
      </c>
      <c r="B5618" s="138">
        <f>'Revenues 9-14'!F155</f>
        <v>167159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167159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167159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4960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4960</v>
      </c>
      <c r="C5719" s="2" t="s">
        <v>573</v>
      </c>
      <c r="D5719" s="2" t="str">
        <f t="shared" si="88"/>
        <v>Error?</v>
      </c>
    </row>
    <row r="5720" spans="1:4" x14ac:dyDescent="0.2">
      <c r="A5720" s="5">
        <v>5659</v>
      </c>
      <c r="B5720" s="138">
        <f>'Revenues 9-14'!F268</f>
        <v>268220</v>
      </c>
      <c r="C5720" s="2" t="s">
        <v>573</v>
      </c>
      <c r="D5720" s="2" t="str">
        <f t="shared" si="88"/>
        <v>Error?</v>
      </c>
    </row>
    <row r="5721" spans="1:4" x14ac:dyDescent="0.2">
      <c r="A5721" s="5">
        <v>5660</v>
      </c>
      <c r="B5721" s="138">
        <f>'Revenues 9-14'!G5</f>
        <v>29973</v>
      </c>
      <c r="D5721" s="2" t="str">
        <f t="shared" si="88"/>
        <v>Error?</v>
      </c>
    </row>
    <row r="5722" spans="1:4" x14ac:dyDescent="0.2">
      <c r="A5722" s="5">
        <v>5661</v>
      </c>
      <c r="B5722" s="138">
        <f>'Revenues 9-14'!G7</f>
        <v>0</v>
      </c>
      <c r="D5722" s="2" t="str">
        <f t="shared" si="88"/>
        <v>Error?</v>
      </c>
    </row>
    <row r="5723" spans="1:4" x14ac:dyDescent="0.2">
      <c r="A5723" s="5">
        <v>5662</v>
      </c>
      <c r="B5723" s="138">
        <f>'Revenues 9-14'!G8</f>
        <v>44956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74929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1400</v>
      </c>
      <c r="C5730" s="2" t="s">
        <v>573</v>
      </c>
      <c r="D5730" s="2" t="str">
        <f t="shared" si="88"/>
        <v>Error?</v>
      </c>
    </row>
    <row r="5731" spans="1:4" x14ac:dyDescent="0.2">
      <c r="A5731" s="5">
        <v>5670</v>
      </c>
      <c r="B5731" s="138">
        <f>'Revenues 9-14'!G65</f>
        <v>375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375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76704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15</v>
      </c>
      <c r="C6023" s="2" t="s">
        <v>573</v>
      </c>
      <c r="D6023" s="2" t="str">
        <f t="shared" si="93"/>
        <v>Error?</v>
      </c>
    </row>
    <row r="6024" spans="1:5" x14ac:dyDescent="0.2">
      <c r="A6024" s="5">
        <v>5963</v>
      </c>
      <c r="B6024" s="138">
        <f>'Revenues 9-14'!G109</f>
        <v>76704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27790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173.58500000000001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37520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37520</v>
      </c>
      <c r="D6215" s="2" t="str">
        <f t="shared" si="96"/>
        <v>Error?</v>
      </c>
      <c r="E6215" s="2" t="s">
        <v>190</v>
      </c>
    </row>
    <row r="6216" spans="1:5" x14ac:dyDescent="0.2">
      <c r="A6216">
        <v>6155</v>
      </c>
      <c r="B6216" s="138">
        <f>'Assets-Liab 5-6'!J41</f>
        <v>37520</v>
      </c>
      <c r="D6216" s="2" t="str">
        <f t="shared" si="96"/>
        <v>Error?</v>
      </c>
      <c r="E6216" s="2" t="s">
        <v>190</v>
      </c>
    </row>
    <row r="6217" spans="1:5" x14ac:dyDescent="0.2">
      <c r="A6217">
        <v>6156</v>
      </c>
      <c r="B6217" s="138">
        <f>'Assets-Liab 5-6'!J4</f>
        <v>37520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73966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73966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73966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87804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87804</v>
      </c>
      <c r="D6229" s="2" t="str">
        <f t="shared" si="96"/>
        <v>Error?</v>
      </c>
      <c r="E6229" s="2" t="s">
        <v>190</v>
      </c>
    </row>
    <row r="6230" spans="1:5" x14ac:dyDescent="0.2">
      <c r="A6230">
        <v>6169</v>
      </c>
      <c r="B6230" s="138">
        <f>'Acct Summary 7-8'!J20</f>
        <v>-13838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-13838</v>
      </c>
      <c r="D6263" s="2" t="str">
        <f t="shared" si="96"/>
        <v>Error?</v>
      </c>
      <c r="E6263" s="2" t="s">
        <v>190</v>
      </c>
    </row>
    <row r="6264" spans="1:5" x14ac:dyDescent="0.2">
      <c r="A6264">
        <v>6203</v>
      </c>
      <c r="B6264" s="138">
        <f>'Acct Summary 7-8'!J79</f>
        <v>51358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37520</v>
      </c>
      <c r="D6266" s="2" t="str">
        <f t="shared" si="96"/>
        <v>Error?</v>
      </c>
      <c r="E6266" s="2" t="s">
        <v>190</v>
      </c>
    </row>
    <row r="6267" spans="1:5" x14ac:dyDescent="0.2">
      <c r="A6267">
        <v>6206</v>
      </c>
      <c r="B6267" s="138">
        <f>'Acct Summary 7-8'!C82</f>
        <v>213275</v>
      </c>
      <c r="D6267" s="2" t="str">
        <f t="shared" si="96"/>
        <v>Error?</v>
      </c>
      <c r="E6267" s="2" t="s">
        <v>190</v>
      </c>
    </row>
    <row r="6268" spans="1:5" x14ac:dyDescent="0.2">
      <c r="A6268">
        <v>6207</v>
      </c>
      <c r="B6268" s="138">
        <f>'Acct Summary 7-8'!D82</f>
        <v>-46322</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-38486</v>
      </c>
      <c r="D6270" s="2" t="str">
        <f t="shared" si="96"/>
        <v>Error?</v>
      </c>
      <c r="E6270" s="2" t="s">
        <v>190</v>
      </c>
    </row>
    <row r="6271" spans="1:5" x14ac:dyDescent="0.2">
      <c r="A6271">
        <v>6210</v>
      </c>
      <c r="B6271" s="138">
        <f>'Acct Summary 7-8'!G82</f>
        <v>11406</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-13838</v>
      </c>
      <c r="D6274" s="2" t="str">
        <f t="shared" si="97"/>
        <v>Error?</v>
      </c>
      <c r="E6274" s="2" t="s">
        <v>190</v>
      </c>
    </row>
    <row r="6275" spans="1:5" x14ac:dyDescent="0.2">
      <c r="A6275">
        <v>6214</v>
      </c>
      <c r="B6275" s="138">
        <f>'Acct Summary 7-8'!K82</f>
        <v>15</v>
      </c>
      <c r="D6275" s="2" t="str">
        <f t="shared" si="97"/>
        <v>Error?</v>
      </c>
      <c r="E6275" s="2" t="s">
        <v>190</v>
      </c>
    </row>
    <row r="6276" spans="1:5" x14ac:dyDescent="0.2">
      <c r="A6276">
        <v>6215</v>
      </c>
      <c r="B6276" s="138">
        <f>'Acct Summary 7-8'!C83</f>
        <v>0.23934251088838687</v>
      </c>
      <c r="D6276" s="2" t="str">
        <f t="shared" si="97"/>
        <v>Error?</v>
      </c>
      <c r="E6276" s="2" t="s">
        <v>190</v>
      </c>
    </row>
    <row r="6277" spans="1:5" x14ac:dyDescent="0.2">
      <c r="A6277">
        <v>6216</v>
      </c>
      <c r="B6277" s="138">
        <f>'Acct Summary 7-8'!D83</f>
        <v>-5.5568618042226486E-2</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-0.24599709809586512</v>
      </c>
      <c r="D6279" s="2" t="str">
        <f t="shared" si="97"/>
        <v>Error?</v>
      </c>
      <c r="E6279" s="2" t="s">
        <v>190</v>
      </c>
    </row>
    <row r="6280" spans="1:5" x14ac:dyDescent="0.2">
      <c r="A6280">
        <v>6219</v>
      </c>
      <c r="B6280" s="138">
        <f>'Acct Summary 7-8'!G83</f>
        <v>0.12809109898254833</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f>'Acct Summary 7-8'!J83</f>
        <v>-0.36881663113006397</v>
      </c>
      <c r="D6283" s="2" t="str">
        <f t="shared" si="97"/>
        <v>Error?</v>
      </c>
      <c r="E6283" s="2" t="s">
        <v>190</v>
      </c>
    </row>
    <row r="6284" spans="1:5" x14ac:dyDescent="0.2">
      <c r="A6284">
        <v>6223</v>
      </c>
      <c r="B6284" s="138">
        <f>'Acct Summary 7-8'!K83</f>
        <v>2.8403711418291989E-3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72933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72933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220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220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813</v>
      </c>
      <c r="D6329" s="2" t="str">
        <f t="shared" si="97"/>
        <v>Error?</v>
      </c>
      <c r="E6329" s="2" t="s">
        <v>190</v>
      </c>
    </row>
    <row r="6330" spans="1:5" x14ac:dyDescent="0.2">
      <c r="A6330">
        <v>6269</v>
      </c>
      <c r="B6330" s="138">
        <f>'Revenues 9-14'!C100</f>
        <v>4</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813</v>
      </c>
      <c r="D6351" s="2" t="str">
        <f t="shared" si="98"/>
        <v>Error?</v>
      </c>
      <c r="E6351" s="2" t="s">
        <v>190</v>
      </c>
    </row>
    <row r="6352" spans="1:5" x14ac:dyDescent="0.2">
      <c r="A6352">
        <v>6291</v>
      </c>
      <c r="B6352" s="138">
        <f>'Revenues 9-14'!J109</f>
        <v>73966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127645</v>
      </c>
      <c r="D6880" s="2" t="str">
        <f t="shared" si="106"/>
        <v>Error?</v>
      </c>
    </row>
    <row r="6881" spans="1:4" x14ac:dyDescent="0.2">
      <c r="A6881">
        <v>6820</v>
      </c>
      <c r="B6881" s="138">
        <f>'Expenditures 15-22'!K22</f>
        <v>127645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19162</v>
      </c>
      <c r="D6983" s="2" t="str">
        <f t="shared" si="108"/>
        <v>Error?</v>
      </c>
    </row>
    <row r="6984" spans="1:4" x14ac:dyDescent="0.2">
      <c r="A6984">
        <v>6923</v>
      </c>
      <c r="B6984" s="138">
        <f>'Expenditures 15-22'!K86</f>
        <v>19162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19162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87804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73966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9625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9625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20697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20697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2077</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2077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19207</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23191</v>
      </c>
      <c r="D7174" s="2" t="str">
        <f t="shared" si="111"/>
        <v>Error?</v>
      </c>
    </row>
    <row r="7175" spans="1:4" x14ac:dyDescent="0.2">
      <c r="A7175">
        <v>7114</v>
      </c>
      <c r="B7175" s="138">
        <f>'Expenditures 15-22'!F325</f>
        <v>5382</v>
      </c>
      <c r="D7175" s="2" t="str">
        <f t="shared" si="111"/>
        <v>Error?</v>
      </c>
    </row>
    <row r="7176" spans="1:4" x14ac:dyDescent="0.2">
      <c r="A7176">
        <v>7115</v>
      </c>
      <c r="B7176" s="138">
        <f>'Expenditures 15-22'!G325</f>
        <v>5695</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53475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1930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1930</v>
      </c>
      <c r="D7198" s="2" t="str">
        <f t="shared" si="111"/>
        <v>Error?</v>
      </c>
    </row>
    <row r="7199" spans="1:4" x14ac:dyDescent="0.2">
      <c r="A7199">
        <v>7138</v>
      </c>
      <c r="B7199" s="138">
        <f>'Expenditures 15-22'!C330</f>
        <v>19207</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57520</v>
      </c>
      <c r="D7201" s="2" t="str">
        <f t="shared" si="111"/>
        <v>Error?</v>
      </c>
    </row>
    <row r="7202" spans="1:4" x14ac:dyDescent="0.2">
      <c r="A7202">
        <v>7141</v>
      </c>
      <c r="B7202" s="138">
        <f>'Expenditures 15-22'!F330</f>
        <v>5382</v>
      </c>
      <c r="D7202" s="2" t="str">
        <f t="shared" si="111"/>
        <v>Error?</v>
      </c>
    </row>
    <row r="7203" spans="1:4" x14ac:dyDescent="0.2">
      <c r="A7203">
        <v>7142</v>
      </c>
      <c r="B7203" s="138">
        <f>'Expenditures 15-22'!G330</f>
        <v>5695</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87804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19207</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57520</v>
      </c>
      <c r="D7218" s="2" t="str">
        <f t="shared" si="111"/>
        <v>Error?</v>
      </c>
    </row>
    <row r="7219" spans="1:4" x14ac:dyDescent="0.2">
      <c r="A7219">
        <v>7158</v>
      </c>
      <c r="B7219" s="138">
        <f>'Expenditures 15-22'!F342</f>
        <v>5382</v>
      </c>
      <c r="D7219" s="2" t="str">
        <f t="shared" si="111"/>
        <v>Error?</v>
      </c>
    </row>
    <row r="7220" spans="1:4" x14ac:dyDescent="0.2">
      <c r="A7220">
        <v>7159</v>
      </c>
      <c r="B7220" s="138">
        <f>'Expenditures 15-22'!G342</f>
        <v>5695</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87804</v>
      </c>
      <c r="D7224" s="2" t="str">
        <f t="shared" si="111"/>
        <v>Error?</v>
      </c>
    </row>
    <row r="7225" spans="1:4" x14ac:dyDescent="0.2">
      <c r="A7225">
        <v>7164</v>
      </c>
      <c r="B7225" s="138">
        <f>'Expenditures 15-22'!K343</f>
        <v>-13838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83672</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83672</v>
      </c>
      <c r="D7618" s="2" t="str">
        <f t="shared" si="124"/>
        <v>Error?</v>
      </c>
      <c r="E7618" s="2" t="s">
        <v>19</v>
      </c>
    </row>
    <row r="7619" spans="1:5" x14ac:dyDescent="0.2">
      <c r="A7619">
        <f t="shared" si="123"/>
        <v>7558</v>
      </c>
      <c r="B7619" s="138">
        <f>'Cap Outlay Deprec 26'!H14</f>
        <v>44387</v>
      </c>
      <c r="D7619" s="2" t="str">
        <f t="shared" si="124"/>
        <v>Error?</v>
      </c>
      <c r="E7619" s="2" t="s">
        <v>19</v>
      </c>
    </row>
    <row r="7620" spans="1:5" x14ac:dyDescent="0.2">
      <c r="A7620">
        <f t="shared" si="123"/>
        <v>7559</v>
      </c>
      <c r="B7620" s="138">
        <f>'Cap Outlay Deprec 26'!I14</f>
        <v>19607</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63994</v>
      </c>
      <c r="D7622" s="2" t="str">
        <f t="shared" si="124"/>
        <v>Error?</v>
      </c>
      <c r="E7622" s="2" t="s">
        <v>19</v>
      </c>
    </row>
    <row r="7623" spans="1:5" x14ac:dyDescent="0.2">
      <c r="A7623">
        <f t="shared" si="123"/>
        <v>7562</v>
      </c>
      <c r="B7623" s="138">
        <f>'Cap Outlay Deprec 26'!L14</f>
        <v>19678</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165405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15747</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380042</v>
      </c>
      <c r="D7797" s="2" t="str">
        <f t="shared" si="127"/>
        <v>Error?</v>
      </c>
      <c r="E7797" s="4" t="s">
        <v>1904</v>
      </c>
    </row>
    <row r="7798" spans="1:5" x14ac:dyDescent="0.2">
      <c r="A7798">
        <v>7737</v>
      </c>
      <c r="B7798" s="138">
        <f>'Contracts Paid in CY 29'!F141</f>
        <v>50000</v>
      </c>
      <c r="D7798" s="2" t="str">
        <f t="shared" si="127"/>
        <v>Error?</v>
      </c>
      <c r="E7798" s="4" t="s">
        <v>1904</v>
      </c>
    </row>
    <row r="7799" spans="1:5" x14ac:dyDescent="0.2">
      <c r="A7799">
        <v>7738</v>
      </c>
      <c r="B7799" s="138">
        <f>'Contracts Paid in CY 29'!G141</f>
        <v>208959</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8" t="s">
        <v>1191</v>
      </c>
      <c r="B2" s="2398"/>
      <c r="C2" s="2398"/>
      <c r="D2" s="2398"/>
      <c r="E2" s="2398"/>
      <c r="F2" s="2398"/>
      <c r="G2" s="2398"/>
      <c r="H2" s="2398"/>
      <c r="I2" s="2398"/>
      <c r="J2" s="2398"/>
      <c r="K2" s="2398"/>
      <c r="L2" s="2398"/>
    </row>
    <row r="3" spans="1:29" ht="13.5" customHeight="1" x14ac:dyDescent="0.2">
      <c r="A3" s="2429" t="s">
        <v>1190</v>
      </c>
      <c r="B3" s="2429"/>
      <c r="C3" s="2429"/>
      <c r="D3" s="2429"/>
      <c r="E3" s="2429"/>
      <c r="F3" s="2429"/>
      <c r="G3" s="2429"/>
      <c r="H3" s="2429"/>
      <c r="I3" s="2429"/>
      <c r="J3" s="2429"/>
      <c r="K3" s="2429"/>
      <c r="L3" s="2429"/>
    </row>
    <row r="4" spans="1:29" ht="13.5" customHeight="1" x14ac:dyDescent="0.2">
      <c r="A4" s="2398" t="s">
        <v>1989</v>
      </c>
      <c r="B4" s="2419"/>
      <c r="C4" s="2419"/>
      <c r="D4" s="2419"/>
      <c r="E4" s="2419"/>
      <c r="F4" s="2419"/>
      <c r="G4" s="2419"/>
      <c r="H4" s="2419"/>
      <c r="I4" s="2419"/>
      <c r="J4" s="2419"/>
      <c r="K4" s="2419"/>
      <c r="L4" s="2419"/>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20" t="str">
        <f>COVER!A17</f>
        <v>Grand Ridge CCSD 95</v>
      </c>
      <c r="B7" s="2421"/>
      <c r="C7" s="2421"/>
      <c r="D7" s="2422"/>
      <c r="E7" s="2423">
        <f>COVER!A13</f>
        <v>35050095004</v>
      </c>
      <c r="F7" s="2424"/>
      <c r="G7" s="2430" t="str">
        <f>COVER!T23</f>
        <v>066-004656</v>
      </c>
      <c r="H7" s="2431"/>
      <c r="I7" s="2431"/>
      <c r="J7" s="2431"/>
      <c r="K7" s="2431"/>
      <c r="L7" s="2432"/>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33"/>
      <c r="B9" s="2434"/>
      <c r="C9" s="2434"/>
      <c r="D9" s="2434"/>
      <c r="E9" s="2434"/>
      <c r="F9" s="2435"/>
      <c r="G9" s="2404" t="str">
        <f>COVER!T13</f>
        <v>NEWKIRK &amp; ASSOCIATES, INC.</v>
      </c>
      <c r="H9" s="2436"/>
      <c r="I9" s="2436"/>
      <c r="J9" s="2436"/>
      <c r="K9" s="2436"/>
      <c r="L9" s="2437"/>
    </row>
    <row r="10" spans="1:29" ht="13.5" customHeight="1" x14ac:dyDescent="0.2">
      <c r="A10" s="2410" t="str">
        <f>COVER!A38</f>
        <v>TED SANDERS</v>
      </c>
      <c r="B10" s="2411"/>
      <c r="C10" s="2411"/>
      <c r="D10" s="2411"/>
      <c r="E10" s="2411"/>
      <c r="F10" s="2412"/>
      <c r="G10" s="2404" t="str">
        <f>COVER!T17</f>
        <v>2 W. MAIN STREET</v>
      </c>
      <c r="H10" s="2405"/>
      <c r="I10" s="2405"/>
      <c r="J10" s="2405"/>
      <c r="K10" s="2405"/>
      <c r="L10" s="2406"/>
    </row>
    <row r="11" spans="1:29" ht="13.5" customHeight="1" x14ac:dyDescent="0.2">
      <c r="A11" s="1183" t="s">
        <v>1519</v>
      </c>
      <c r="B11" s="1184"/>
      <c r="C11" s="1185"/>
      <c r="D11" s="1190"/>
      <c r="E11" s="1185"/>
      <c r="F11" s="1189"/>
      <c r="G11" s="2404" t="str">
        <f>COVER!T19</f>
        <v>PLANO</v>
      </c>
      <c r="H11" s="2405"/>
      <c r="I11" s="2405"/>
      <c r="J11" s="2405"/>
      <c r="K11" s="2405"/>
      <c r="L11" s="2406"/>
    </row>
    <row r="12" spans="1:29" ht="13.5" customHeight="1" x14ac:dyDescent="0.2">
      <c r="A12" s="2413" t="s">
        <v>1518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1520</v>
      </c>
      <c r="H13" s="2400"/>
      <c r="I13" s="2416" t="str">
        <f>COVER!T25</f>
        <v>BNEWKIRK@NEWKIRKCPAS.COM</v>
      </c>
      <c r="J13" s="2417"/>
      <c r="K13" s="2417"/>
      <c r="L13" s="2418"/>
    </row>
    <row r="14" spans="1:29" ht="13.5" customHeight="1" x14ac:dyDescent="0.2">
      <c r="A14" s="2404" t="str">
        <f>COVER!A19</f>
        <v>400 W. MAIN STREET</v>
      </c>
      <c r="B14" s="2405"/>
      <c r="C14" s="2405"/>
      <c r="D14" s="2405"/>
      <c r="E14" s="2405"/>
      <c r="F14" s="2406"/>
      <c r="G14" s="1194" t="s">
        <v>1185</v>
      </c>
      <c r="H14" s="1192"/>
      <c r="I14" s="1192"/>
      <c r="J14" s="1192"/>
      <c r="K14" s="1192"/>
      <c r="L14" s="1193"/>
    </row>
    <row r="15" spans="1:29" ht="13.5" customHeight="1" x14ac:dyDescent="0.2">
      <c r="A15" s="2404" t="str">
        <f>COVER!A21</f>
        <v>GRAND RIDGE, ILLINOIS</v>
      </c>
      <c r="B15" s="2405"/>
      <c r="C15" s="2405"/>
      <c r="D15" s="2405"/>
      <c r="E15" s="2405"/>
      <c r="F15" s="2406"/>
      <c r="G15" s="2401" t="str">
        <f>COVER!T15</f>
        <v>WILLIAM J. NEWKIRK</v>
      </c>
      <c r="H15" s="2402"/>
      <c r="I15" s="2402"/>
      <c r="J15" s="2402"/>
      <c r="K15" s="2402"/>
      <c r="L15" s="2403"/>
    </row>
    <row r="16" spans="1:29" ht="12.2" customHeight="1" x14ac:dyDescent="0.2">
      <c r="A16" s="2426">
        <f>COVER!A25</f>
        <v>61325</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4" t="s">
        <v>1184</v>
      </c>
      <c r="H17" s="1192"/>
      <c r="I17" s="1192"/>
      <c r="J17" s="1192"/>
      <c r="K17" s="1196" t="s">
        <v>1183</v>
      </c>
      <c r="L17" s="1189"/>
      <c r="M17" s="1182"/>
    </row>
    <row r="18" spans="1:13" ht="12.2" customHeight="1" x14ac:dyDescent="0.2">
      <c r="A18" s="2410"/>
      <c r="B18" s="2411"/>
      <c r="C18" s="2411"/>
      <c r="D18" s="2411"/>
      <c r="E18" s="2411"/>
      <c r="F18" s="2412"/>
      <c r="G18" s="2420" t="str">
        <f>COVER!T21</f>
        <v>630-552-1040</v>
      </c>
      <c r="H18" s="2421"/>
      <c r="I18" s="2421"/>
      <c r="J18" s="2421"/>
      <c r="K18" s="2420" t="str">
        <f>COVER!X21</f>
        <v>630-552-7399</v>
      </c>
      <c r="L18" s="2425"/>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4"/>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42" t="str">
        <f>'Single Audit Cover'!A7</f>
        <v>Grand Ridge CCSD 95</v>
      </c>
      <c r="B1" s="2419"/>
      <c r="C1" s="2419"/>
      <c r="D1" s="2419"/>
    </row>
    <row r="2" spans="1:11" s="1211" customFormat="1" ht="12.75" x14ac:dyDescent="0.2">
      <c r="A2" s="2443">
        <f>'Single Audit Cover'!E7</f>
        <v>35050095004</v>
      </c>
      <c r="B2" s="2444"/>
      <c r="C2" s="2444"/>
      <c r="D2" s="2444"/>
    </row>
    <row r="3" spans="1:11" s="1211" customFormat="1" ht="12.75" x14ac:dyDescent="0.2">
      <c r="A3" s="2442" t="s">
        <v>1513</v>
      </c>
      <c r="B3" s="2419"/>
      <c r="C3" s="2419"/>
      <c r="D3" s="2419"/>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46" t="str">
        <f>'Single Audit Cover'!A7</f>
        <v>Grand Ridge CCSD 95</v>
      </c>
      <c r="B1" s="2446"/>
      <c r="C1" s="2446"/>
      <c r="D1" s="2446"/>
      <c r="E1" s="2446"/>
    </row>
    <row r="2" spans="1:5" x14ac:dyDescent="0.2">
      <c r="A2" s="2447">
        <f>'Single Audit Cover'!E7</f>
        <v>35050095004</v>
      </c>
      <c r="B2" s="2447"/>
      <c r="C2" s="2447"/>
      <c r="D2" s="2447"/>
      <c r="E2" s="2447"/>
    </row>
    <row r="3" spans="1:5" ht="4.5" customHeight="1" x14ac:dyDescent="0.2"/>
    <row r="4" spans="1:5" x14ac:dyDescent="0.2">
      <c r="A4" s="2446" t="s">
        <v>1245</v>
      </c>
      <c r="B4" s="2446"/>
      <c r="C4" s="2446"/>
      <c r="D4" s="2446"/>
      <c r="E4" s="2446"/>
    </row>
    <row r="5" spans="1:5" x14ac:dyDescent="0.2">
      <c r="A5" s="2449" t="str">
        <f>'Single Audit Cover'!A4</f>
        <v>Year Ending June 30, 2019</v>
      </c>
      <c r="B5" s="2449"/>
      <c r="C5" s="2449"/>
      <c r="D5" s="2449"/>
      <c r="E5" s="2449"/>
    </row>
    <row r="6" spans="1:5" x14ac:dyDescent="0.2">
      <c r="A6" s="2446" t="s">
        <v>1244</v>
      </c>
      <c r="B6" s="2446"/>
      <c r="C6" s="2446"/>
      <c r="D6" s="2446"/>
      <c r="E6" s="2446"/>
    </row>
    <row r="8" spans="1:5" x14ac:dyDescent="0.2">
      <c r="A8" s="1256" t="s">
        <v>1243</v>
      </c>
    </row>
    <row r="10" spans="1:5" x14ac:dyDescent="0.2">
      <c r="A10" s="1257" t="s">
        <v>1242</v>
      </c>
      <c r="B10" s="1258" t="s">
        <v>1241</v>
      </c>
      <c r="C10" s="1258"/>
      <c r="D10" s="1259">
        <f>SUM('Acct Summary 7-8'!C7:K7)</f>
        <v>233824</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0</v>
      </c>
    </row>
    <row r="15" spans="1:5" x14ac:dyDescent="0.2">
      <c r="A15" s="1257"/>
      <c r="B15" s="1258"/>
      <c r="C15" s="1258"/>
    </row>
    <row r="16" spans="1:5" x14ac:dyDescent="0.2">
      <c r="A16" s="1257" t="s">
        <v>1844</v>
      </c>
      <c r="B16" s="1258"/>
      <c r="C16" s="1258"/>
    </row>
    <row r="17" spans="1:4" x14ac:dyDescent="0.2">
      <c r="A17" s="1257" t="s">
        <v>2061</v>
      </c>
      <c r="B17" s="1258" t="s">
        <v>1236</v>
      </c>
      <c r="C17" s="1258"/>
      <c r="D17" s="1260">
        <f>-SUM('Revenues 9-14'!C264:D264,'Revenues 9-14'!F264:G264)</f>
        <v>-12159</v>
      </c>
    </row>
    <row r="19" spans="1:4" ht="13.5" thickBot="1" x14ac:dyDescent="0.25">
      <c r="A19" s="1261" t="s">
        <v>1235</v>
      </c>
      <c r="D19" s="1262">
        <f>SUM(D10:D17)</f>
        <v>221665</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48"/>
      <c r="B24" s="2448"/>
      <c r="D24" s="1264"/>
    </row>
    <row r="25" spans="1:4" x14ac:dyDescent="0.2">
      <c r="A25" s="2445"/>
      <c r="B25" s="2445"/>
      <c r="D25" s="1264"/>
    </row>
    <row r="26" spans="1:4" x14ac:dyDescent="0.2">
      <c r="A26" s="2445"/>
      <c r="B26" s="2445"/>
      <c r="D26" s="1264"/>
    </row>
    <row r="27" spans="1:4" x14ac:dyDescent="0.2">
      <c r="A27" s="2445"/>
      <c r="B27" s="2445"/>
      <c r="D27" s="1264"/>
    </row>
    <row r="28" spans="1:4" x14ac:dyDescent="0.2">
      <c r="A28" s="2445"/>
      <c r="B28" s="2445"/>
      <c r="D28" s="1264"/>
    </row>
    <row r="29" spans="1:4" x14ac:dyDescent="0.2">
      <c r="A29" s="2445"/>
      <c r="B29" s="2445"/>
      <c r="D29" s="1264"/>
    </row>
    <row r="30" spans="1:4" x14ac:dyDescent="0.2">
      <c r="A30" s="2445"/>
      <c r="B30" s="2445"/>
      <c r="D30" s="1264"/>
    </row>
    <row r="32" spans="1:4" x14ac:dyDescent="0.2">
      <c r="A32" s="1256" t="s">
        <v>1233</v>
      </c>
      <c r="D32" s="1259">
        <f>SUM(D19:D30)</f>
        <v>221665</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45"/>
      <c r="B40" s="2445"/>
      <c r="D40" s="1264"/>
    </row>
    <row r="41" spans="1:4" x14ac:dyDescent="0.2">
      <c r="A41" s="2445"/>
      <c r="B41" s="2445"/>
      <c r="D41" s="1267"/>
    </row>
    <row r="42" spans="1:4" x14ac:dyDescent="0.2">
      <c r="A42" s="2445"/>
      <c r="B42" s="2445"/>
      <c r="D42" s="1267"/>
    </row>
    <row r="43" spans="1:4" x14ac:dyDescent="0.2">
      <c r="A43" s="2445"/>
      <c r="B43" s="2445"/>
      <c r="D43" s="1267"/>
    </row>
    <row r="44" spans="1:4" x14ac:dyDescent="0.2">
      <c r="A44" s="2445"/>
      <c r="B44" s="2445"/>
      <c r="D44" s="1267"/>
    </row>
    <row r="45" spans="1:4" x14ac:dyDescent="0.2">
      <c r="A45" s="2445"/>
      <c r="B45" s="2445"/>
      <c r="D45" s="1267"/>
    </row>
    <row r="47" spans="1:4" x14ac:dyDescent="0.2">
      <c r="B47" s="1268" t="s">
        <v>1227</v>
      </c>
      <c r="C47" s="1268"/>
      <c r="D47" s="1269">
        <f>SUM(D35:D45)</f>
        <v>0</v>
      </c>
    </row>
    <row r="49" spans="2:4" x14ac:dyDescent="0.2">
      <c r="B49" s="1268" t="s">
        <v>1226</v>
      </c>
      <c r="C49" s="1268"/>
      <c r="D49" s="1269">
        <f>D32-D47</f>
        <v>221665</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29" t="str">
        <f>'Single Audit Cover'!A7</f>
        <v>Grand Ridge CCSD 95</v>
      </c>
      <c r="C1" s="2450"/>
      <c r="D1" s="2450"/>
      <c r="E1" s="2450"/>
      <c r="F1" s="2450"/>
      <c r="G1" s="2450"/>
      <c r="H1" s="2450"/>
      <c r="I1" s="2450"/>
      <c r="J1" s="2450"/>
      <c r="K1" s="2450"/>
      <c r="L1" s="2450"/>
      <c r="M1" s="2450"/>
    </row>
    <row r="2" spans="2:14" ht="15" x14ac:dyDescent="0.2">
      <c r="B2" s="2451">
        <f>'Single Audit Cover'!E7</f>
        <v>35050095004</v>
      </c>
      <c r="C2" s="2451"/>
      <c r="D2" s="2451"/>
      <c r="E2" s="2451"/>
      <c r="F2" s="2451"/>
      <c r="G2" s="2451"/>
      <c r="H2" s="2451"/>
      <c r="I2" s="2451"/>
      <c r="J2" s="2451"/>
      <c r="K2" s="2451"/>
      <c r="L2" s="2451"/>
      <c r="M2" s="2451"/>
      <c r="N2" s="1298"/>
    </row>
    <row r="3" spans="2:14" ht="15" x14ac:dyDescent="0.2">
      <c r="B3" s="2452" t="s">
        <v>1219</v>
      </c>
      <c r="C3" s="2452"/>
      <c r="D3" s="2452"/>
      <c r="E3" s="2452"/>
      <c r="F3" s="2452"/>
      <c r="G3" s="2452"/>
      <c r="H3" s="2452"/>
      <c r="I3" s="2452"/>
      <c r="J3" s="2452"/>
      <c r="K3" s="2452"/>
      <c r="L3" s="2452"/>
      <c r="M3" s="2452"/>
      <c r="N3" s="1298"/>
    </row>
    <row r="4" spans="2:14" ht="15" x14ac:dyDescent="0.2">
      <c r="B4" s="2453" t="str">
        <f>'Single Audit Cover'!A4</f>
        <v>Year Ending June 30, 2019</v>
      </c>
      <c r="C4" s="2453"/>
      <c r="D4" s="2453"/>
      <c r="E4" s="2453"/>
      <c r="F4" s="2453"/>
      <c r="G4" s="2453"/>
      <c r="H4" s="2453"/>
      <c r="I4" s="2453"/>
      <c r="J4" s="2453"/>
      <c r="K4" s="2453"/>
      <c r="L4" s="2453"/>
      <c r="M4" s="2453"/>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Grand Ridge CCSD 95</v>
      </c>
      <c r="B1" s="2463"/>
      <c r="C1" s="2463"/>
      <c r="D1" s="2463"/>
      <c r="E1" s="2463"/>
      <c r="F1" s="2463"/>
    </row>
    <row r="2" spans="1:7" ht="13.5" customHeight="1" x14ac:dyDescent="0.2">
      <c r="A2" s="2451">
        <f>'Single Audit Cover'!E7</f>
        <v>35050095004</v>
      </c>
      <c r="B2" s="2451"/>
      <c r="C2" s="2451"/>
      <c r="D2" s="2451"/>
      <c r="E2" s="2451"/>
      <c r="F2" s="2451"/>
      <c r="G2" s="1271"/>
    </row>
    <row r="3" spans="1:7" ht="15.75" customHeight="1" x14ac:dyDescent="0.2">
      <c r="A3" s="2464" t="s">
        <v>1271</v>
      </c>
      <c r="B3" s="2464"/>
      <c r="C3" s="2464"/>
      <c r="D3" s="2464"/>
      <c r="E3" s="2464"/>
      <c r="F3" s="2464"/>
    </row>
    <row r="4" spans="1:7" ht="13.5" customHeight="1" x14ac:dyDescent="0.2">
      <c r="A4" s="2465" t="str">
        <f>'Single Audit Cover'!A4</f>
        <v>Year Ending June 30, 2019</v>
      </c>
      <c r="B4" s="2465"/>
      <c r="C4" s="2465"/>
      <c r="D4" s="2465"/>
      <c r="E4" s="2465"/>
      <c r="F4" s="2465"/>
    </row>
    <row r="5" spans="1:7" ht="8.25" customHeight="1" x14ac:dyDescent="0.2">
      <c r="C5" s="317"/>
      <c r="D5" s="317"/>
    </row>
    <row r="6" spans="1:7" ht="13.5" customHeight="1" x14ac:dyDescent="0.2">
      <c r="A6" s="1272" t="s">
        <v>1728</v>
      </c>
      <c r="C6" s="317"/>
      <c r="D6" s="317"/>
    </row>
    <row r="7" spans="1:7" ht="60.95" customHeight="1" x14ac:dyDescent="0.2">
      <c r="A7" s="2462" t="s">
        <v>1729</v>
      </c>
      <c r="B7" s="2462"/>
      <c r="C7" s="2462"/>
      <c r="D7" s="2462"/>
      <c r="E7" s="2462"/>
      <c r="F7" s="2462"/>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0"/>
      <c r="D11" s="1276"/>
      <c r="E11" s="1900"/>
      <c r="F11" s="1276"/>
      <c r="G11" s="1274"/>
    </row>
    <row r="12" spans="1:7" x14ac:dyDescent="0.2">
      <c r="A12" s="1272" t="s">
        <v>1587</v>
      </c>
      <c r="C12" s="1256"/>
      <c r="D12" s="1256"/>
    </row>
    <row r="13" spans="1:7" ht="15" customHeight="1" x14ac:dyDescent="0.2">
      <c r="A13" s="2462" t="s">
        <v>1731</v>
      </c>
      <c r="B13" s="2462"/>
      <c r="C13" s="2462"/>
      <c r="D13" s="2462"/>
      <c r="E13" s="2462"/>
      <c r="F13" s="2462"/>
    </row>
    <row r="14" spans="1:7" ht="9.75" customHeight="1" x14ac:dyDescent="0.2">
      <c r="C14" s="1256"/>
      <c r="D14" s="1256"/>
    </row>
    <row r="15" spans="1:7" ht="13.5" customHeight="1" x14ac:dyDescent="0.2">
      <c r="C15" s="1845" t="s">
        <v>1270</v>
      </c>
      <c r="D15" s="2460" t="s">
        <v>1269</v>
      </c>
      <c r="E15" s="2460"/>
      <c r="F15" s="2460"/>
    </row>
    <row r="16" spans="1:7" ht="13.5" customHeight="1" x14ac:dyDescent="0.2">
      <c r="A16" s="1278"/>
      <c r="B16" s="1272" t="s">
        <v>1268</v>
      </c>
      <c r="C16" s="1845" t="s">
        <v>1267</v>
      </c>
      <c r="D16" s="2461" t="s">
        <v>1588</v>
      </c>
      <c r="E16" s="2461"/>
      <c r="F16" s="2461"/>
    </row>
    <row r="17" spans="1:6" ht="20.45" customHeight="1" x14ac:dyDescent="0.2">
      <c r="A17" s="1279"/>
      <c r="B17" s="1280"/>
      <c r="C17" s="1281"/>
      <c r="D17" s="2455"/>
      <c r="E17" s="2455"/>
      <c r="F17" s="2455"/>
    </row>
    <row r="18" spans="1:6" ht="20.65" customHeight="1" x14ac:dyDescent="0.2">
      <c r="A18" s="1279"/>
      <c r="B18" s="1280"/>
      <c r="C18" s="1281"/>
      <c r="D18" s="2455"/>
      <c r="E18" s="2455"/>
      <c r="F18" s="2455"/>
    </row>
    <row r="19" spans="1:6" ht="20.65" customHeight="1" x14ac:dyDescent="0.2">
      <c r="A19" s="1279"/>
      <c r="B19" s="1280"/>
      <c r="C19" s="1281"/>
      <c r="D19" s="2455"/>
      <c r="E19" s="2455"/>
      <c r="F19" s="2455"/>
    </row>
    <row r="20" spans="1:6" ht="20.65" customHeight="1" x14ac:dyDescent="0.2">
      <c r="A20" s="1279"/>
      <c r="B20" s="1280"/>
      <c r="C20" s="1281"/>
      <c r="D20" s="2455"/>
      <c r="E20" s="2455"/>
      <c r="F20" s="2455"/>
    </row>
    <row r="21" spans="1:6" ht="20.65" customHeight="1" x14ac:dyDescent="0.2">
      <c r="A21" s="1279"/>
      <c r="B21" s="1280"/>
      <c r="C21" s="1281"/>
      <c r="D21" s="2455"/>
      <c r="E21" s="2455"/>
      <c r="F21" s="2455"/>
    </row>
    <row r="22" spans="1:6" ht="20.65" customHeight="1" x14ac:dyDescent="0.2">
      <c r="A22" s="1279"/>
      <c r="B22" s="1280"/>
      <c r="C22" s="1281"/>
      <c r="D22" s="2455"/>
      <c r="E22" s="2455"/>
      <c r="F22" s="2455"/>
    </row>
    <row r="23" spans="1:6" ht="20.65" customHeight="1" x14ac:dyDescent="0.2">
      <c r="A23" s="1279"/>
      <c r="B23" s="1280"/>
      <c r="C23" s="1281"/>
      <c r="D23" s="2455"/>
      <c r="E23" s="2455"/>
      <c r="F23" s="2455"/>
    </row>
    <row r="24" spans="1:6" ht="20.65" customHeight="1" x14ac:dyDescent="0.2">
      <c r="A24" s="1279"/>
      <c r="B24" s="1280"/>
      <c r="C24" s="1281"/>
      <c r="D24" s="2455"/>
      <c r="E24" s="2455"/>
      <c r="F24" s="2455"/>
    </row>
    <row r="25" spans="1:6" ht="20.65" customHeight="1" x14ac:dyDescent="0.2">
      <c r="A25" s="1279"/>
      <c r="B25" s="1280"/>
      <c r="C25" s="1281"/>
      <c r="D25" s="2455"/>
      <c r="E25" s="2455"/>
      <c r="F25" s="2455"/>
    </row>
    <row r="26" spans="1:6" ht="20.65" customHeight="1" x14ac:dyDescent="0.2">
      <c r="A26" s="1279"/>
      <c r="B26" s="1280"/>
      <c r="C26" s="1281"/>
      <c r="D26" s="2455"/>
      <c r="E26" s="2455"/>
      <c r="F26" s="2455"/>
    </row>
    <row r="27" spans="1:6" ht="20.65" customHeight="1" x14ac:dyDescent="0.2">
      <c r="A27" s="1279"/>
      <c r="B27" s="1280"/>
      <c r="C27" s="1281"/>
      <c r="D27" s="2455"/>
      <c r="E27" s="2455"/>
      <c r="F27" s="2455"/>
    </row>
    <row r="28" spans="1:6" ht="20.65" customHeight="1" x14ac:dyDescent="0.2">
      <c r="A28" s="1279"/>
      <c r="B28" s="1280"/>
      <c r="C28" s="1281"/>
      <c r="D28" s="2455"/>
      <c r="E28" s="2455"/>
      <c r="F28" s="2455"/>
    </row>
    <row r="29" spans="1:6" ht="20.65" customHeight="1" x14ac:dyDescent="0.2">
      <c r="A29" s="1279"/>
      <c r="B29" s="1280"/>
      <c r="C29" s="1281"/>
      <c r="D29" s="2455"/>
      <c r="E29" s="2455"/>
      <c r="F29" s="2455"/>
    </row>
    <row r="30" spans="1:6" ht="12" customHeight="1" x14ac:dyDescent="0.2">
      <c r="A30" s="328"/>
      <c r="B30" s="328"/>
      <c r="C30" s="1461"/>
      <c r="D30" s="1901"/>
      <c r="E30" s="1282"/>
    </row>
    <row r="31" spans="1:6" ht="12" customHeight="1" x14ac:dyDescent="0.2">
      <c r="A31" s="1283" t="s">
        <v>1549</v>
      </c>
      <c r="B31" s="328"/>
      <c r="C31" s="1461"/>
      <c r="D31" s="1901"/>
      <c r="E31" s="1282"/>
    </row>
    <row r="32" spans="1:6" ht="30" customHeight="1" x14ac:dyDescent="0.2">
      <c r="A32" s="2456" t="s">
        <v>1732</v>
      </c>
      <c r="B32" s="2456"/>
      <c r="C32" s="2456"/>
      <c r="D32" s="2456"/>
      <c r="E32" s="2456"/>
      <c r="F32" s="2456"/>
    </row>
    <row r="33" spans="1:6" ht="13.5" customHeight="1" x14ac:dyDescent="0.2">
      <c r="A33" s="328" t="s">
        <v>1434</v>
      </c>
      <c r="B33" s="328"/>
      <c r="C33" s="1284">
        <v>0</v>
      </c>
      <c r="D33" s="1901"/>
      <c r="E33" s="1282"/>
    </row>
    <row r="34" spans="1:6" ht="13.5" customHeight="1" x14ac:dyDescent="0.2">
      <c r="A34" s="328" t="s">
        <v>1838</v>
      </c>
      <c r="B34" s="328"/>
      <c r="C34" s="1285">
        <v>0</v>
      </c>
      <c r="D34" s="1901" t="s">
        <v>1589</v>
      </c>
      <c r="E34" s="2457">
        <f>+C33+C34</f>
        <v>0</v>
      </c>
      <c r="F34" s="2458"/>
    </row>
    <row r="35" spans="1:6" ht="12" customHeight="1" x14ac:dyDescent="0.2">
      <c r="A35" s="328"/>
      <c r="B35" s="328"/>
      <c r="C35" s="1902"/>
      <c r="D35" s="1901"/>
      <c r="E35" s="1286"/>
      <c r="F35" s="1287"/>
    </row>
    <row r="36" spans="1:6" ht="13.5" customHeight="1" x14ac:dyDescent="0.2">
      <c r="A36" s="1283" t="s">
        <v>1550</v>
      </c>
      <c r="B36" s="328"/>
      <c r="C36" s="1461"/>
      <c r="D36" s="1901"/>
      <c r="E36" s="1282"/>
    </row>
    <row r="37" spans="1:6" ht="14.25" customHeight="1" x14ac:dyDescent="0.2">
      <c r="A37" s="328" t="s">
        <v>1484</v>
      </c>
      <c r="B37" s="328"/>
      <c r="C37" s="1903"/>
      <c r="D37" s="1901"/>
      <c r="E37" s="1282"/>
    </row>
    <row r="38" spans="1:6" ht="14.25" customHeight="1" x14ac:dyDescent="0.2">
      <c r="A38" s="328"/>
      <c r="B38" s="328" t="s">
        <v>1435</v>
      </c>
      <c r="C38" s="1288"/>
      <c r="D38" s="1901"/>
      <c r="E38" s="1282"/>
    </row>
    <row r="39" spans="1:6" ht="14.25" customHeight="1" x14ac:dyDescent="0.2">
      <c r="A39" s="328"/>
      <c r="B39" s="328" t="s">
        <v>1436</v>
      </c>
      <c r="C39" s="1288"/>
      <c r="D39" s="1901"/>
      <c r="E39" s="1282"/>
    </row>
    <row r="40" spans="1:6" ht="14.25" customHeight="1" x14ac:dyDescent="0.2">
      <c r="A40" s="328"/>
      <c r="B40" s="328" t="s">
        <v>1437</v>
      </c>
      <c r="C40" s="1288"/>
      <c r="D40" s="1901"/>
      <c r="E40" s="1282"/>
    </row>
    <row r="41" spans="1:6" ht="14.25" customHeight="1" x14ac:dyDescent="0.2">
      <c r="A41" s="328"/>
      <c r="B41" s="328" t="s">
        <v>1438</v>
      </c>
      <c r="C41" s="1288"/>
      <c r="D41" s="1901"/>
      <c r="E41" s="1282"/>
    </row>
    <row r="42" spans="1:6" ht="14.25" customHeight="1" x14ac:dyDescent="0.2">
      <c r="A42" s="328" t="s">
        <v>1439</v>
      </c>
      <c r="B42" s="328"/>
      <c r="C42" s="1899"/>
      <c r="D42" s="1901"/>
      <c r="E42" s="1282"/>
    </row>
    <row r="43" spans="1:6" ht="14.25" customHeight="1" x14ac:dyDescent="0.2">
      <c r="A43" s="328" t="s">
        <v>1440</v>
      </c>
      <c r="B43" s="328"/>
      <c r="C43" s="1289"/>
      <c r="D43" s="1901"/>
      <c r="E43" s="1282"/>
    </row>
    <row r="44" spans="1:6" ht="14.25" customHeight="1" x14ac:dyDescent="0.2">
      <c r="A44" s="328"/>
      <c r="B44" s="328"/>
      <c r="C44" s="1903" t="s">
        <v>1441</v>
      </c>
      <c r="D44" s="1901"/>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59" t="s">
        <v>1590</v>
      </c>
      <c r="C49" s="2459"/>
      <c r="D49" s="2459"/>
      <c r="E49" s="1395"/>
    </row>
    <row r="50" spans="1:5" s="1296" customFormat="1" ht="3.75" customHeight="1" x14ac:dyDescent="0.2">
      <c r="A50" s="1295"/>
      <c r="B50" s="1844"/>
      <c r="C50" s="1844"/>
      <c r="D50" s="1844"/>
      <c r="E50" s="1395"/>
    </row>
    <row r="51" spans="1:5" s="1296" customFormat="1" ht="20.25" customHeight="1" x14ac:dyDescent="0.2">
      <c r="A51" s="1297">
        <v>6</v>
      </c>
      <c r="B51" s="2454" t="s">
        <v>1551</v>
      </c>
      <c r="C51" s="2454"/>
      <c r="D51" s="2454"/>
    </row>
    <row r="52" spans="1:5" ht="14.25" customHeight="1" x14ac:dyDescent="0.2">
      <c r="A52" s="1297"/>
      <c r="B52" s="2454"/>
      <c r="C52" s="2454"/>
      <c r="D52" s="2454"/>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143"/>
  <sheetViews>
    <sheetView showGridLines="0" defaultGridColor="0" topLeftCell="A95"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1168</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5" t="s">
        <v>1633</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5" t="s">
        <v>313</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1323</v>
      </c>
      <c r="B70" s="2088"/>
      <c r="C70" s="2088"/>
      <c r="D70" s="2088"/>
      <c r="E70" s="2089"/>
      <c r="F70" s="2089"/>
      <c r="G70" s="2089"/>
      <c r="H70" s="2089"/>
      <c r="I70" s="208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1320</v>
      </c>
      <c r="B83" s="2090"/>
      <c r="C83" s="2090"/>
      <c r="D83" s="209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2069</v>
      </c>
      <c r="D114" s="208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1330</v>
      </c>
      <c r="D117" s="2083"/>
      <c r="E117" s="2084"/>
      <c r="F117" s="2084"/>
      <c r="G117" s="2084"/>
      <c r="H117" s="2084"/>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1906</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Grand Ridge CCSD 95</v>
      </c>
      <c r="C1" s="2478"/>
      <c r="D1" s="2478"/>
      <c r="E1" s="2478"/>
      <c r="F1" s="2478"/>
      <c r="G1" s="2478"/>
      <c r="H1" s="2478"/>
      <c r="I1" s="2478"/>
      <c r="J1" s="1405"/>
    </row>
    <row r="2" spans="2:10" s="317" customFormat="1" ht="12.75" customHeight="1" x14ac:dyDescent="0.2">
      <c r="B2" s="2479">
        <f>'Single Audit Cover'!E7</f>
        <v>35050095004</v>
      </c>
      <c r="C2" s="2480"/>
      <c r="D2" s="2480"/>
      <c r="E2" s="2480"/>
      <c r="F2" s="2480"/>
      <c r="G2" s="2480"/>
      <c r="H2" s="2480"/>
      <c r="I2" s="2480"/>
      <c r="J2" s="1405"/>
    </row>
    <row r="3" spans="2:10" s="317" customFormat="1" ht="12.75" customHeight="1" x14ac:dyDescent="0.2">
      <c r="B3" s="2481" t="s">
        <v>1285</v>
      </c>
      <c r="C3" s="2482"/>
      <c r="D3" s="2482"/>
      <c r="E3" s="2482"/>
      <c r="F3" s="2482"/>
      <c r="G3" s="2482"/>
      <c r="H3" s="2482"/>
      <c r="I3" s="2482"/>
      <c r="J3" s="1406"/>
    </row>
    <row r="4" spans="2:10" s="317" customFormat="1" ht="12.75" customHeight="1" x14ac:dyDescent="0.2">
      <c r="B4" s="2481" t="str">
        <f>'Single Audit Cover'!A4</f>
        <v>Year Ending June 30, 2019</v>
      </c>
      <c r="C4" s="2482"/>
      <c r="D4" s="2482"/>
      <c r="E4" s="2482"/>
      <c r="F4" s="2482"/>
      <c r="G4" s="2482"/>
      <c r="H4" s="2482"/>
      <c r="I4" s="2482"/>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81" t="s">
        <v>1284</v>
      </c>
      <c r="C7" s="2482"/>
      <c r="D7" s="2482"/>
      <c r="E7" s="2482"/>
      <c r="F7" s="2482"/>
      <c r="G7" s="2482"/>
      <c r="H7" s="2482"/>
      <c r="I7" s="2482"/>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83"/>
      <c r="D11" s="2483"/>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84"/>
      <c r="E29" s="2484"/>
      <c r="F29" s="2484"/>
      <c r="G29" s="2484"/>
      <c r="H29" s="2484"/>
      <c r="I29" s="2484"/>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85" t="s">
        <v>1751</v>
      </c>
      <c r="D37" s="2486"/>
      <c r="E37" s="2486"/>
      <c r="F37" s="2487"/>
      <c r="G37" s="2485" t="s">
        <v>1592</v>
      </c>
      <c r="H37" s="2486"/>
      <c r="I37" s="2487"/>
    </row>
    <row r="38" spans="2:9" ht="16.5" customHeight="1" x14ac:dyDescent="0.2">
      <c r="B38" s="1427"/>
      <c r="C38" s="2473"/>
      <c r="D38" s="2474"/>
      <c r="E38" s="2474"/>
      <c r="F38" s="2475"/>
      <c r="G38" s="2488"/>
      <c r="H38" s="2489"/>
      <c r="I38" s="2490"/>
    </row>
    <row r="39" spans="2:9" ht="16.5" customHeight="1" x14ac:dyDescent="0.2">
      <c r="B39" s="1427"/>
      <c r="C39" s="2473"/>
      <c r="D39" s="2474"/>
      <c r="E39" s="2474"/>
      <c r="F39" s="2475"/>
      <c r="G39" s="2476"/>
      <c r="H39" s="2476"/>
      <c r="I39" s="2476"/>
    </row>
    <row r="40" spans="2:9" ht="16.5" customHeight="1" x14ac:dyDescent="0.2">
      <c r="B40" s="1427"/>
      <c r="C40" s="2473"/>
      <c r="D40" s="2474"/>
      <c r="E40" s="2474"/>
      <c r="F40" s="2475"/>
      <c r="G40" s="2476"/>
      <c r="H40" s="2476"/>
      <c r="I40" s="2476"/>
    </row>
    <row r="41" spans="2:9" ht="16.5" customHeight="1" x14ac:dyDescent="0.2">
      <c r="B41" s="1427"/>
      <c r="C41" s="2473"/>
      <c r="D41" s="2474"/>
      <c r="E41" s="2474"/>
      <c r="F41" s="2475"/>
      <c r="G41" s="2476"/>
      <c r="H41" s="2476"/>
      <c r="I41" s="2476"/>
    </row>
    <row r="42" spans="2:9" ht="16.5" customHeight="1" x14ac:dyDescent="0.2">
      <c r="B42" s="1427"/>
      <c r="C42" s="2473"/>
      <c r="D42" s="2474"/>
      <c r="E42" s="2474"/>
      <c r="F42" s="2475"/>
      <c r="G42" s="2476"/>
      <c r="H42" s="2476"/>
      <c r="I42" s="2476"/>
    </row>
    <row r="43" spans="2:9" ht="16.5" customHeight="1" x14ac:dyDescent="0.2">
      <c r="B43" s="1427"/>
      <c r="C43" s="2466" t="s">
        <v>1593</v>
      </c>
      <c r="D43" s="2467"/>
      <c r="E43" s="2467"/>
      <c r="F43" s="2468"/>
      <c r="G43" s="2469">
        <f>SUM(G38:I42)</f>
        <v>0</v>
      </c>
      <c r="H43" s="2469"/>
      <c r="I43" s="2469"/>
    </row>
    <row r="44" spans="2:9" ht="12.75" customHeight="1" x14ac:dyDescent="0.2"/>
    <row r="45" spans="2:9" ht="12.75" customHeight="1" x14ac:dyDescent="0.2">
      <c r="B45" s="1418" t="s">
        <v>1841</v>
      </c>
      <c r="D45" s="2470">
        <v>0</v>
      </c>
      <c r="E45" s="2471"/>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72"/>
      <c r="F49" s="2472"/>
      <c r="G49" s="2472"/>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Grand Ridge CCSD 95</v>
      </c>
      <c r="C1" s="2477"/>
      <c r="D1" s="2477"/>
      <c r="E1" s="2477"/>
      <c r="F1" s="2477"/>
      <c r="G1" s="2477"/>
      <c r="H1" s="2477"/>
      <c r="I1" s="2477"/>
      <c r="J1" s="2477"/>
      <c r="K1" s="2477"/>
      <c r="L1" s="1370"/>
      <c r="M1" s="1370"/>
    </row>
    <row r="2" spans="1:13" ht="12" customHeight="1" x14ac:dyDescent="0.2">
      <c r="B2" s="2479">
        <f>'Single Audit Cover'!E7</f>
        <v>35050095004</v>
      </c>
      <c r="C2" s="2479"/>
      <c r="D2" s="2479"/>
      <c r="E2" s="2479"/>
      <c r="F2" s="2479"/>
      <c r="G2" s="2479"/>
      <c r="H2" s="2479"/>
      <c r="I2" s="2479"/>
      <c r="J2" s="2479"/>
      <c r="K2" s="2479"/>
      <c r="L2" s="1371"/>
      <c r="M2" s="1372"/>
    </row>
    <row r="3" spans="1:13" ht="10.35" customHeight="1" x14ac:dyDescent="0.2">
      <c r="B3" s="2493" t="s">
        <v>1285</v>
      </c>
      <c r="C3" s="2493"/>
      <c r="D3" s="2493"/>
      <c r="E3" s="2493"/>
      <c r="F3" s="2493"/>
      <c r="G3" s="2493"/>
      <c r="H3" s="2493"/>
      <c r="I3" s="2493"/>
      <c r="J3" s="2493"/>
      <c r="K3" s="2493"/>
      <c r="L3" s="1373"/>
      <c r="M3" s="1373"/>
    </row>
    <row r="4" spans="1:13" ht="14.25" customHeight="1" x14ac:dyDescent="0.2">
      <c r="B4" s="2494" t="str">
        <f>'Single Audit Cover'!A4</f>
        <v>Year Ending June 30, 2019</v>
      </c>
      <c r="C4" s="2494"/>
      <c r="D4" s="2494"/>
      <c r="E4" s="2494"/>
      <c r="F4" s="2494"/>
      <c r="G4" s="2494"/>
      <c r="H4" s="2494"/>
      <c r="I4" s="2494"/>
      <c r="J4" s="2494"/>
      <c r="K4" s="2494"/>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94" t="s">
        <v>1296</v>
      </c>
      <c r="C7" s="2494"/>
      <c r="D7" s="2495"/>
      <c r="E7" s="2495"/>
      <c r="F7" s="2495"/>
      <c r="G7" s="2495"/>
      <c r="H7" s="2495"/>
      <c r="I7" s="2495"/>
      <c r="J7" s="2495"/>
      <c r="K7" s="2495"/>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92"/>
      <c r="C14" s="2492"/>
      <c r="D14" s="2492"/>
      <c r="E14" s="2492"/>
      <c r="F14" s="2492"/>
      <c r="G14" s="2492"/>
      <c r="H14" s="2492"/>
      <c r="I14" s="2492"/>
      <c r="J14" s="2492"/>
      <c r="K14" s="2492"/>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92"/>
      <c r="C17" s="2492"/>
      <c r="D17" s="2492"/>
      <c r="E17" s="2492"/>
      <c r="F17" s="2492"/>
      <c r="G17" s="2492"/>
      <c r="H17" s="2492"/>
      <c r="I17" s="2492"/>
      <c r="J17" s="2492"/>
      <c r="K17" s="2492"/>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96"/>
      <c r="C20" s="2496"/>
      <c r="D20" s="2492"/>
      <c r="E20" s="2492"/>
      <c r="F20" s="2492"/>
      <c r="G20" s="2492"/>
      <c r="H20" s="2492"/>
      <c r="I20" s="2492"/>
      <c r="J20" s="2492"/>
      <c r="K20" s="2492"/>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92"/>
      <c r="C23" s="2492"/>
      <c r="D23" s="2492"/>
      <c r="E23" s="2492"/>
      <c r="F23" s="2492"/>
      <c r="G23" s="2492"/>
      <c r="H23" s="2492"/>
      <c r="I23" s="2492"/>
      <c r="J23" s="2492"/>
      <c r="K23" s="2492"/>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92"/>
      <c r="C26" s="2492"/>
      <c r="D26" s="2492"/>
      <c r="E26" s="2492"/>
      <c r="F26" s="2492"/>
      <c r="G26" s="2492"/>
      <c r="H26" s="2492"/>
      <c r="I26" s="2492"/>
      <c r="J26" s="2492"/>
      <c r="K26" s="2492"/>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91"/>
      <c r="C29" s="2491"/>
      <c r="D29" s="2492"/>
      <c r="E29" s="2492"/>
      <c r="F29" s="2492"/>
      <c r="G29" s="2492"/>
      <c r="H29" s="2492"/>
      <c r="I29" s="2492"/>
      <c r="J29" s="2492"/>
      <c r="K29" s="2492"/>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91"/>
      <c r="C32" s="2491"/>
      <c r="D32" s="2492"/>
      <c r="E32" s="2492"/>
      <c r="F32" s="2492"/>
      <c r="G32" s="2492"/>
      <c r="H32" s="2492"/>
      <c r="I32" s="2492"/>
      <c r="J32" s="2492"/>
      <c r="K32" s="2492"/>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Grand Ridge CCSD 95</v>
      </c>
      <c r="C1" s="2500"/>
      <c r="D1" s="2500"/>
      <c r="E1" s="2500"/>
      <c r="F1" s="2500"/>
      <c r="G1" s="2500"/>
      <c r="H1" s="2500"/>
      <c r="I1" s="2500"/>
      <c r="J1" s="2500"/>
      <c r="K1" s="2500"/>
      <c r="L1" s="1448"/>
    </row>
    <row r="2" spans="1:12" ht="12.75" customHeight="1" x14ac:dyDescent="0.2">
      <c r="B2" s="2501">
        <f>'Single Audit Cover'!E7</f>
        <v>35050095004</v>
      </c>
      <c r="C2" s="2501"/>
      <c r="D2" s="2501"/>
      <c r="E2" s="2501"/>
      <c r="F2" s="2501"/>
      <c r="G2" s="2501"/>
      <c r="H2" s="2501"/>
      <c r="I2" s="2501"/>
      <c r="J2" s="2501"/>
      <c r="K2" s="2501"/>
      <c r="L2" s="1449"/>
    </row>
    <row r="3" spans="1:12" ht="12.75" customHeight="1" x14ac:dyDescent="0.2">
      <c r="B3" s="2493" t="s">
        <v>1285</v>
      </c>
      <c r="C3" s="2493"/>
      <c r="D3" s="2493"/>
      <c r="E3" s="2493"/>
      <c r="F3" s="2493"/>
      <c r="G3" s="2493"/>
      <c r="H3" s="2493"/>
      <c r="I3" s="2493"/>
      <c r="J3" s="2493"/>
      <c r="K3" s="2493"/>
      <c r="L3" s="1373"/>
    </row>
    <row r="4" spans="1:12" ht="12.75" customHeight="1" x14ac:dyDescent="0.2">
      <c r="B4" s="2493" t="str">
        <f>'Single Audit Cover'!A4</f>
        <v>Year Ending June 30, 2019</v>
      </c>
      <c r="C4" s="2493"/>
      <c r="D4" s="2493"/>
      <c r="E4" s="2493"/>
      <c r="F4" s="2493"/>
      <c r="G4" s="2493"/>
      <c r="H4" s="2493"/>
      <c r="I4" s="2493"/>
      <c r="J4" s="2493"/>
      <c r="K4" s="2493"/>
      <c r="L4" s="1373"/>
    </row>
    <row r="5" spans="1:12" ht="5.25" customHeight="1" x14ac:dyDescent="0.2">
      <c r="B5" s="1256" t="s">
        <v>1169</v>
      </c>
      <c r="C5" s="1256"/>
      <c r="L5" s="322"/>
    </row>
    <row r="6" spans="1:12" ht="30.75" customHeight="1" x14ac:dyDescent="0.2">
      <c r="A6" s="322"/>
      <c r="B6" s="2502" t="s">
        <v>1308</v>
      </c>
      <c r="C6" s="2502"/>
      <c r="D6" s="2502"/>
      <c r="E6" s="2502"/>
      <c r="F6" s="2502"/>
      <c r="G6" s="2502"/>
      <c r="H6" s="2502"/>
      <c r="I6" s="2502"/>
      <c r="J6" s="2502"/>
      <c r="K6" s="2502"/>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1991</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84"/>
      <c r="G12" s="2484"/>
      <c r="H12" s="2484"/>
      <c r="I12" s="2484"/>
      <c r="J12" s="2484"/>
      <c r="K12" s="2484"/>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97"/>
      <c r="E14" s="2497"/>
      <c r="F14" s="2497"/>
      <c r="H14" s="1458" t="s">
        <v>1303</v>
      </c>
      <c r="I14" s="2498"/>
      <c r="J14" s="2498"/>
      <c r="K14" s="2498"/>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98"/>
      <c r="E16" s="2498"/>
      <c r="F16" s="2498"/>
      <c r="G16" s="2498"/>
      <c r="H16" s="2498"/>
      <c r="I16" s="2498"/>
      <c r="J16" s="2498"/>
      <c r="K16" s="2498"/>
      <c r="L16" s="322"/>
    </row>
    <row r="17" spans="2:12" ht="13.5" customHeight="1" x14ac:dyDescent="0.2">
      <c r="B17" s="1383" t="s">
        <v>1301</v>
      </c>
      <c r="C17" s="1383"/>
      <c r="D17" s="2499"/>
      <c r="E17" s="2499"/>
      <c r="F17" s="2499"/>
      <c r="G17" s="2499"/>
      <c r="H17" s="2499"/>
      <c r="I17" s="2499"/>
      <c r="J17" s="2499"/>
      <c r="K17" s="2499"/>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92"/>
      <c r="C20" s="2492"/>
      <c r="D20" s="2492"/>
      <c r="E20" s="2492"/>
      <c r="F20" s="2492"/>
      <c r="G20" s="2492"/>
      <c r="H20" s="2492"/>
      <c r="I20" s="2492"/>
      <c r="J20" s="2492"/>
      <c r="K20" s="2492"/>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77" t="str">
        <f>'Single Audit Cover'!A7</f>
        <v>Grand Ridge CCSD 95</v>
      </c>
      <c r="C1" s="2477"/>
      <c r="D1" s="2477"/>
      <c r="E1" s="1468"/>
    </row>
    <row r="2" spans="2:5" s="1278" customFormat="1" ht="12.75" customHeight="1" x14ac:dyDescent="0.2">
      <c r="B2" s="2479">
        <f>'Single Audit Cover'!E7</f>
        <v>35050095004</v>
      </c>
      <c r="C2" s="2479"/>
      <c r="D2" s="2479"/>
      <c r="E2" s="1469"/>
    </row>
    <row r="3" spans="2:5" ht="12.75" customHeight="1" x14ac:dyDescent="0.2">
      <c r="B3" s="2493" t="s">
        <v>1766</v>
      </c>
      <c r="C3" s="2493"/>
      <c r="D3" s="2493"/>
      <c r="E3" s="1270"/>
    </row>
    <row r="4" spans="2:5" s="1278" customFormat="1" ht="12.75" customHeight="1" x14ac:dyDescent="0.2">
      <c r="B4" s="2503" t="str">
        <f>'Single Audit Cover'!A4</f>
        <v>Year Ending June 30, 2019</v>
      </c>
      <c r="C4" s="2503"/>
      <c r="D4" s="2503"/>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N72"/>
  <sheetViews>
    <sheetView showGridLines="0" defaultGridColor="0" colorId="8" zoomScale="110" zoomScaleNormal="110" workbookViewId="0">
      <selection activeCell="C59" sqref="C5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386</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81583806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2.2200000000000001E-2</v>
      </c>
      <c r="E10" s="356" t="s">
        <v>1005</v>
      </c>
      <c r="F10" s="355">
        <v>2.0209999999999998E-3</v>
      </c>
      <c r="G10" s="356" t="s">
        <v>1005</v>
      </c>
      <c r="H10" s="355">
        <v>1.1999999999999999E-3</v>
      </c>
      <c r="I10" s="356" t="s">
        <v>1006</v>
      </c>
      <c r="J10" s="1731">
        <f>ROUND(D10+F10+H10,5)</f>
        <v>2.5420000000000002E-2</v>
      </c>
      <c r="K10" s="222"/>
      <c r="L10" s="355">
        <v>0</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2963655</v>
      </c>
      <c r="E16" s="356"/>
      <c r="F16" s="1732">
        <f>SUM('Acct Summary 7-8'!C17,'Acct Summary 7-8'!D17,'Acct Summary 7-8'!F17)</f>
        <v>2821968</v>
      </c>
      <c r="G16" s="356"/>
      <c r="H16" s="1732">
        <f>SUM(D16-F16)</f>
        <v>141687</v>
      </c>
      <c r="I16" s="222"/>
      <c r="J16" s="1732">
        <f>SUM('Acct Summary 7-8'!C81,'Acct Summary 7-8'!D81,'Acct Summary 7-8'!F81,'Acct Summary 7-8'!I81)</f>
        <v>1881136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4">
        <f>IF(B31="X",(J7*0.069),IF(B32="X",(J7*0.138),"Enter x in a.or b."))</f>
        <v>5629282.6140000001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1390000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R44"/>
  <sheetViews>
    <sheetView showGridLines="0" topLeftCell="A13" zoomScale="110" zoomScaleNormal="110" workbookViewId="0">
      <selection activeCell="C59" sqref="C5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556</v>
      </c>
      <c r="B2" s="2120"/>
      <c r="C2" s="2120"/>
      <c r="D2" s="2120"/>
      <c r="E2" s="2120"/>
      <c r="F2" s="2120"/>
      <c r="G2" s="2120"/>
      <c r="H2" s="2120"/>
      <c r="I2" s="2120"/>
      <c r="J2" s="2120"/>
      <c r="K2" s="2120"/>
      <c r="L2" s="2120"/>
      <c r="M2" s="2120"/>
      <c r="N2" s="2120"/>
      <c r="O2" s="2120"/>
      <c r="P2" s="2120"/>
      <c r="Q2" s="2120"/>
      <c r="R2" s="2120"/>
    </row>
    <row r="3" spans="1:18" ht="12.75" x14ac:dyDescent="0.2">
      <c r="A3" s="2121" t="s">
        <v>1413</v>
      </c>
      <c r="B3" s="2121"/>
      <c r="C3" s="2121"/>
      <c r="D3" s="2121"/>
      <c r="E3" s="2121"/>
      <c r="F3" s="2121"/>
      <c r="G3" s="2121"/>
      <c r="H3" s="2121"/>
      <c r="I3" s="2121"/>
      <c r="J3" s="2121"/>
      <c r="K3" s="2121"/>
      <c r="L3" s="2121"/>
      <c r="M3" s="2121"/>
      <c r="N3" s="2121"/>
      <c r="O3" s="2121"/>
      <c r="P3" s="2121"/>
      <c r="Q3" s="2121"/>
      <c r="R3" s="2121"/>
    </row>
    <row r="4" spans="1:18" x14ac:dyDescent="0.2">
      <c r="A4" s="2122" t="s">
        <v>1554</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Grand Ridge CCSD 95</v>
      </c>
      <c r="E7" s="391"/>
      <c r="G7" s="252"/>
      <c r="H7" s="387"/>
      <c r="I7" s="387"/>
      <c r="J7" s="387"/>
      <c r="K7" s="387"/>
      <c r="L7" s="329"/>
      <c r="M7" s="329"/>
      <c r="N7" s="329"/>
      <c r="O7" s="329"/>
      <c r="P7" s="329"/>
    </row>
    <row r="8" spans="1:18" ht="12.75" x14ac:dyDescent="0.2">
      <c r="A8" s="329"/>
      <c r="B8" s="329"/>
      <c r="C8" s="389" t="s">
        <v>1125</v>
      </c>
      <c r="D8" s="392">
        <f>COVER!A13</f>
        <v>35050095004</v>
      </c>
      <c r="E8" s="393"/>
      <c r="G8" s="329"/>
      <c r="H8" s="329"/>
      <c r="I8" s="329"/>
      <c r="J8" s="329"/>
      <c r="K8" s="329"/>
      <c r="L8" s="329"/>
      <c r="M8" s="329"/>
      <c r="N8" s="329"/>
      <c r="O8" s="329"/>
      <c r="P8" s="329"/>
    </row>
    <row r="9" spans="1:18" ht="12.75" x14ac:dyDescent="0.2">
      <c r="A9" s="329"/>
      <c r="B9" s="329"/>
      <c r="C9" s="389" t="s">
        <v>713</v>
      </c>
      <c r="D9" s="394" t="str">
        <f>COVER!A15</f>
        <v>LA 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1881136</v>
      </c>
      <c r="I12" s="404"/>
      <c r="J12" s="404"/>
      <c r="K12" s="405">
        <f>TRUNC((H12/H13*100000),5)/100000</f>
        <v>0.63473514959999999</v>
      </c>
      <c r="L12" s="406"/>
      <c r="M12" s="360" t="s">
        <v>1144</v>
      </c>
      <c r="N12" s="360"/>
      <c r="O12" s="407">
        <v>0.35</v>
      </c>
      <c r="P12" s="218"/>
      <c r="Q12" s="218"/>
    </row>
    <row r="13" spans="1:18" s="408" customFormat="1" ht="12.75" x14ac:dyDescent="0.2">
      <c r="A13" s="218"/>
      <c r="B13" s="401"/>
      <c r="C13" s="2118" t="s">
        <v>1324</v>
      </c>
      <c r="D13" s="2119"/>
      <c r="E13" s="218"/>
      <c r="F13" s="409" t="s">
        <v>793</v>
      </c>
      <c r="G13" s="402"/>
      <c r="H13" s="403">
        <f>SUM('Acct Summary 7-8'!C8+'Acct Summary 7-8'!D8+'Acct Summary 7-8'!F8+'Acct Summary 7-8'!I8)+H14</f>
        <v>2963655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2821968</v>
      </c>
      <c r="I17" s="404"/>
      <c r="J17" s="416"/>
      <c r="K17" s="405">
        <f>TRUNC((H17/H18*100000),5)/100000</f>
        <v>0.95219180370000001</v>
      </c>
      <c r="L17" s="406"/>
      <c r="M17" s="417" t="s">
        <v>1171</v>
      </c>
      <c r="O17" s="418" t="str">
        <f>IF(AND(O16="2", J20 &gt; 2),"1",IF(AND(O16 = "1", J20 &gt; 2),"2",IF(AND(O16="1", J20 &gt;1),"1","0")))</f>
        <v>0</v>
      </c>
      <c r="P17" s="218"/>
    </row>
    <row r="18" spans="1:18" s="408" customFormat="1" ht="11.25" x14ac:dyDescent="0.2">
      <c r="A18" s="218"/>
      <c r="B18" s="401"/>
      <c r="C18" s="2118" t="s">
        <v>1317</v>
      </c>
      <c r="D18" s="2119"/>
      <c r="E18" s="218"/>
      <c r="F18" s="419" t="s">
        <v>794</v>
      </c>
      <c r="G18" s="402"/>
      <c r="H18" s="403">
        <f>SUM('Acct Summary 7-8'!C8+'Acct Summary 7-8'!D8+'Acct Summary 7-8'!F8+'Acct Summary 7-8'!I8)+H19</f>
        <v>2963655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5" t="s">
        <v>1412</v>
      </c>
      <c r="D24" s="2115"/>
      <c r="E24" s="218"/>
      <c r="F24" s="218" t="s">
        <v>445</v>
      </c>
      <c r="G24" s="402"/>
      <c r="H24" s="403">
        <f>SUM('Assets-Liab 5-6'!C4+'Assets-Liab 5-6'!D4+'Assets-Liab 5-6'!F4+'Assets-Liab 5-6'!I4+'Assets-Liab 5-6'!C5+'Assets-Liab 5-6'!D5+'Assets-Liab 5-6'!F5+'Assets-Liab 5-6'!I5)</f>
        <v>1881460</v>
      </c>
      <c r="I24" s="422"/>
      <c r="J24" s="422"/>
      <c r="K24" s="423">
        <f>TRUNC(((H24/H25*100000)/100000),2)</f>
        <v>240.01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7838.8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1762781.2962400001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1390000</v>
      </c>
      <c r="I32" s="420"/>
      <c r="J32" s="420"/>
      <c r="K32" s="423">
        <f>TRUNC(100-((((H32/H33*100))*100)/100),2)</f>
        <v>75.3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5629282.6140000001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colorId="8" zoomScale="85" zoomScaleNormal="85" workbookViewId="0">
      <pane ySplit="2" topLeftCell="A15" activePane="bottomLeft" state="frozen"/>
      <selection activeCell="C59" sqref="C59"/>
      <selection pane="bottomLeft" activeCell="C59" sqref="C5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5" t="s">
        <v>973</v>
      </c>
      <c r="B3" s="2126"/>
      <c r="C3" s="1558"/>
      <c r="D3" s="1559"/>
      <c r="E3" s="1559"/>
      <c r="F3" s="1559"/>
      <c r="G3" s="1559"/>
      <c r="H3" s="1559"/>
      <c r="I3" s="1559"/>
      <c r="J3" s="1559"/>
      <c r="K3" s="1559"/>
      <c r="L3" s="1559"/>
      <c r="M3" s="1560"/>
      <c r="N3" s="1561"/>
    </row>
    <row r="4" spans="1:14" ht="13.5" customHeight="1" x14ac:dyDescent="0.2">
      <c r="A4" s="463" t="s">
        <v>1651</v>
      </c>
      <c r="B4" s="464"/>
      <c r="C4" s="465">
        <v>891411</v>
      </c>
      <c r="D4" s="466">
        <v>833600</v>
      </c>
      <c r="E4" s="466"/>
      <c r="F4" s="466">
        <v>156449</v>
      </c>
      <c r="G4" s="466">
        <v>89046</v>
      </c>
      <c r="H4" s="466"/>
      <c r="I4" s="466"/>
      <c r="J4" s="467">
        <v>37520</v>
      </c>
      <c r="K4" s="466">
        <v>5281</v>
      </c>
      <c r="L4" s="466">
        <v>15275</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891411</v>
      </c>
      <c r="D13" s="1736">
        <f t="shared" ref="D13:L13" si="0">SUM(D4:D12)</f>
        <v>833600</v>
      </c>
      <c r="E13" s="1736">
        <f t="shared" si="0"/>
        <v>0</v>
      </c>
      <c r="F13" s="1736">
        <f t="shared" si="0"/>
        <v>156449</v>
      </c>
      <c r="G13" s="1736">
        <f t="shared" si="0"/>
        <v>89046</v>
      </c>
      <c r="H13" s="1736">
        <f t="shared" si="0"/>
        <v>0</v>
      </c>
      <c r="I13" s="1736">
        <f t="shared" si="0"/>
        <v>0</v>
      </c>
      <c r="J13" s="1736">
        <f t="shared" si="0"/>
        <v>37520</v>
      </c>
      <c r="K13" s="1736">
        <f t="shared" si="0"/>
        <v>5281</v>
      </c>
      <c r="L13" s="1736">
        <f t="shared" si="0"/>
        <v>15275</v>
      </c>
      <c r="M13" s="468"/>
      <c r="N13" s="469"/>
    </row>
    <row r="14" spans="1:14" ht="18" customHeight="1" thickTop="1" x14ac:dyDescent="0.2">
      <c r="A14" s="2127" t="s">
        <v>147</v>
      </c>
      <c r="B14" s="2128"/>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159265</v>
      </c>
      <c r="N16" s="484"/>
    </row>
    <row r="17" spans="1:14" s="485" customFormat="1" ht="12.75" customHeight="1" x14ac:dyDescent="0.2">
      <c r="A17" s="482" t="s">
        <v>1403</v>
      </c>
      <c r="B17" s="483">
        <v>230</v>
      </c>
      <c r="C17" s="477"/>
      <c r="D17" s="477"/>
      <c r="E17" s="477"/>
      <c r="F17" s="477"/>
      <c r="G17" s="477"/>
      <c r="H17" s="477"/>
      <c r="I17" s="477"/>
      <c r="J17" s="477"/>
      <c r="K17" s="477"/>
      <c r="L17" s="477"/>
      <c r="M17" s="467">
        <v>4428318</v>
      </c>
      <c r="N17" s="484"/>
    </row>
    <row r="18" spans="1:14" s="485" customFormat="1" ht="12.75" customHeight="1" x14ac:dyDescent="0.2">
      <c r="A18" s="482" t="s">
        <v>1404</v>
      </c>
      <c r="B18" s="483">
        <v>240</v>
      </c>
      <c r="C18" s="477"/>
      <c r="D18" s="477"/>
      <c r="E18" s="477"/>
      <c r="F18" s="477"/>
      <c r="G18" s="477"/>
      <c r="H18" s="477"/>
      <c r="I18" s="477"/>
      <c r="J18" s="477"/>
      <c r="K18" s="477"/>
      <c r="L18" s="477"/>
      <c r="M18" s="467">
        <v>36079</v>
      </c>
      <c r="N18" s="484"/>
    </row>
    <row r="19" spans="1:14" s="485" customFormat="1" ht="12.75" customHeight="1" x14ac:dyDescent="0.2">
      <c r="A19" s="482" t="s">
        <v>1405</v>
      </c>
      <c r="B19" s="483">
        <v>250</v>
      </c>
      <c r="C19" s="477"/>
      <c r="D19" s="477"/>
      <c r="E19" s="477"/>
      <c r="F19" s="477"/>
      <c r="G19" s="477"/>
      <c r="H19" s="477"/>
      <c r="I19" s="477"/>
      <c r="J19" s="477"/>
      <c r="K19" s="477"/>
      <c r="L19" s="477"/>
      <c r="M19" s="467">
        <v>92616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1390000</v>
      </c>
    </row>
    <row r="23" spans="1:14" ht="13.5" customHeight="1" thickBot="1" x14ac:dyDescent="0.25">
      <c r="A23" s="1735" t="s">
        <v>643</v>
      </c>
      <c r="B23" s="1740"/>
      <c r="C23" s="468"/>
      <c r="D23" s="468"/>
      <c r="E23" s="468"/>
      <c r="F23" s="468"/>
      <c r="G23" s="468"/>
      <c r="H23" s="468"/>
      <c r="I23" s="468"/>
      <c r="J23" s="468"/>
      <c r="K23" s="468"/>
      <c r="L23" s="468"/>
      <c r="M23" s="1687">
        <f>SUM(M15:M22)</f>
        <v>4716278</v>
      </c>
      <c r="N23" s="1687">
        <f>SUM(N21:N22)</f>
        <v>1390000</v>
      </c>
    </row>
    <row r="24" spans="1:14" ht="18" customHeight="1" thickTop="1" x14ac:dyDescent="0.2">
      <c r="A24" s="2129" t="s">
        <v>598</v>
      </c>
      <c r="B24" s="2130"/>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324</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15275</v>
      </c>
      <c r="M33" s="468"/>
      <c r="N33" s="469"/>
    </row>
    <row r="34" spans="1:14" ht="13.5" customHeight="1" thickBot="1" x14ac:dyDescent="0.25">
      <c r="A34" s="1737" t="s">
        <v>654</v>
      </c>
      <c r="B34" s="1738"/>
      <c r="C34" s="1739">
        <f>SUM(C25:C33)</f>
        <v>324</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15275</v>
      </c>
      <c r="M34" s="468"/>
      <c r="N34" s="480"/>
    </row>
    <row r="35" spans="1:14" ht="18" customHeight="1" thickTop="1" x14ac:dyDescent="0.2">
      <c r="A35" s="2131" t="s">
        <v>529</v>
      </c>
      <c r="B35" s="2132"/>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1390000</v>
      </c>
    </row>
    <row r="37" spans="1:14" ht="13.5" thickBot="1" x14ac:dyDescent="0.25">
      <c r="A37" s="1735" t="s">
        <v>653</v>
      </c>
      <c r="B37" s="1740"/>
      <c r="C37" s="477"/>
      <c r="D37" s="477"/>
      <c r="E37" s="477"/>
      <c r="F37" s="477"/>
      <c r="G37" s="477"/>
      <c r="H37" s="477"/>
      <c r="I37" s="477"/>
      <c r="J37" s="477"/>
      <c r="K37" s="477"/>
      <c r="L37" s="480"/>
      <c r="M37" s="468"/>
      <c r="N37" s="1687">
        <f>SUM(N36:N36)</f>
        <v>1390000</v>
      </c>
    </row>
    <row r="38" spans="1:14" s="329" customFormat="1" ht="13.5" customHeight="1" thickTop="1" x14ac:dyDescent="0.2">
      <c r="A38" s="496" t="s">
        <v>420</v>
      </c>
      <c r="B38" s="483">
        <v>714</v>
      </c>
      <c r="C38" s="466"/>
      <c r="D38" s="466"/>
      <c r="E38" s="466"/>
      <c r="F38" s="466"/>
      <c r="G38" s="466">
        <v>50165</v>
      </c>
      <c r="H38" s="466"/>
      <c r="I38" s="466"/>
      <c r="J38" s="467"/>
      <c r="K38" s="466"/>
      <c r="L38" s="481"/>
      <c r="M38" s="497"/>
      <c r="N38" s="497"/>
    </row>
    <row r="39" spans="1:14" s="329" customFormat="1" ht="13.5" customHeight="1" x14ac:dyDescent="0.2">
      <c r="A39" s="496" t="s">
        <v>342</v>
      </c>
      <c r="B39" s="483">
        <v>730</v>
      </c>
      <c r="C39" s="466">
        <f>891411-324</f>
        <v>891087</v>
      </c>
      <c r="D39" s="466">
        <v>833600</v>
      </c>
      <c r="E39" s="466"/>
      <c r="F39" s="466">
        <v>156449</v>
      </c>
      <c r="G39" s="466">
        <v>38881</v>
      </c>
      <c r="H39" s="466"/>
      <c r="I39" s="466"/>
      <c r="J39" s="467">
        <v>37520</v>
      </c>
      <c r="K39" s="466">
        <v>5281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4716278</v>
      </c>
      <c r="N40" s="497"/>
    </row>
    <row r="41" spans="1:14" ht="13.5" customHeight="1" thickBot="1" x14ac:dyDescent="0.25">
      <c r="A41" s="1735" t="s">
        <v>655</v>
      </c>
      <c r="B41" s="1705"/>
      <c r="C41" s="1687">
        <f>(SUM(C34,C37,C38,C39))</f>
        <v>891411</v>
      </c>
      <c r="D41" s="1687">
        <f t="shared" ref="D41:L41" si="2">SUM(D34,D37,D38:D39)</f>
        <v>833600</v>
      </c>
      <c r="E41" s="1687">
        <f t="shared" si="2"/>
        <v>0</v>
      </c>
      <c r="F41" s="1687">
        <f t="shared" si="2"/>
        <v>156449</v>
      </c>
      <c r="G41" s="1687">
        <f t="shared" si="2"/>
        <v>89046</v>
      </c>
      <c r="H41" s="1687">
        <f t="shared" si="2"/>
        <v>0</v>
      </c>
      <c r="I41" s="1687">
        <f t="shared" si="2"/>
        <v>0</v>
      </c>
      <c r="J41" s="1687">
        <f t="shared" si="2"/>
        <v>37520</v>
      </c>
      <c r="K41" s="1687">
        <f t="shared" si="2"/>
        <v>5281</v>
      </c>
      <c r="L41" s="1687">
        <f t="shared" si="2"/>
        <v>15275</v>
      </c>
      <c r="M41" s="1687">
        <f>SUM(M40)</f>
        <v>4716278</v>
      </c>
      <c r="N41" s="1687">
        <f>SUM(N37)</f>
        <v>1390000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Normal="100" zoomScaleSheetLayoutView="100" workbookViewId="0">
      <pane ySplit="2" topLeftCell="A69" activePane="bottomLeft" state="frozen"/>
      <selection activeCell="C59" sqref="C59"/>
      <selection pane="bottomLeft" activeCell="C59" sqref="C5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3" t="s">
        <v>1175</v>
      </c>
      <c r="B3" s="2154"/>
      <c r="C3" s="1572"/>
      <c r="D3" s="1573"/>
      <c r="E3" s="1573"/>
      <c r="F3" s="1573"/>
      <c r="G3" s="1573"/>
      <c r="H3" s="1573"/>
      <c r="I3" s="1573"/>
      <c r="J3" s="1573"/>
      <c r="K3" s="1574"/>
      <c r="L3" s="506"/>
    </row>
    <row r="4" spans="1:13" ht="15.75" customHeight="1" x14ac:dyDescent="0.2">
      <c r="A4" s="1926" t="s">
        <v>1499</v>
      </c>
      <c r="B4" s="1927">
        <v>1000</v>
      </c>
      <c r="C4" s="1741">
        <f>'Revenues 9-14'!C109</f>
        <v>1918052</v>
      </c>
      <c r="D4" s="1741">
        <f>'Revenues 9-14'!D109</f>
        <v>207041</v>
      </c>
      <c r="E4" s="1741">
        <f>'Revenues 9-14'!E109</f>
        <v>120628</v>
      </c>
      <c r="F4" s="1741">
        <f>'Revenues 9-14'!F109</f>
        <v>96101</v>
      </c>
      <c r="G4" s="1741">
        <f>'Revenues 9-14'!G109</f>
        <v>76704</v>
      </c>
      <c r="H4" s="1741">
        <f>'Revenues 9-14'!H109</f>
        <v>0</v>
      </c>
      <c r="I4" s="1741">
        <f>'Revenues 9-14'!I109</f>
        <v>0</v>
      </c>
      <c r="J4" s="1741">
        <f>'Revenues 9-14'!J109</f>
        <v>73966</v>
      </c>
      <c r="K4" s="1741">
        <f>'Revenues 9-14'!K109</f>
        <v>15</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341478</v>
      </c>
      <c r="D6" s="1742">
        <f>'Revenues 9-14'!D170</f>
        <v>0</v>
      </c>
      <c r="E6" s="1742">
        <f>'Revenues 9-14'!E170</f>
        <v>0</v>
      </c>
      <c r="F6" s="1742">
        <f>'Revenues 9-14'!F170</f>
        <v>167159</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228864</v>
      </c>
      <c r="D7" s="1742">
        <f>'Revenues 9-14'!D267</f>
        <v>0</v>
      </c>
      <c r="E7" s="1742">
        <f>'Revenues 9-14'!E267</f>
        <v>0</v>
      </c>
      <c r="F7" s="1742">
        <f>'Revenues 9-14'!F267</f>
        <v>4960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2488394</v>
      </c>
      <c r="D8" s="1687">
        <f t="shared" ref="D8:K8" si="0">SUM(D4:D7)</f>
        <v>207041</v>
      </c>
      <c r="E8" s="1687">
        <f t="shared" si="0"/>
        <v>120628</v>
      </c>
      <c r="F8" s="1687">
        <f t="shared" si="0"/>
        <v>268220</v>
      </c>
      <c r="G8" s="1687">
        <f t="shared" si="0"/>
        <v>76704</v>
      </c>
      <c r="H8" s="1687">
        <f t="shared" si="0"/>
        <v>0</v>
      </c>
      <c r="I8" s="1687">
        <f t="shared" si="0"/>
        <v>0</v>
      </c>
      <c r="J8" s="1687">
        <f t="shared" si="0"/>
        <v>73966</v>
      </c>
      <c r="K8" s="1687">
        <f t="shared" si="0"/>
        <v>15</v>
      </c>
      <c r="L8" s="347"/>
    </row>
    <row r="9" spans="1:13" ht="15.75" thickTop="1" x14ac:dyDescent="0.2">
      <c r="A9" s="514" t="s">
        <v>1653</v>
      </c>
      <c r="B9" s="515">
        <v>3998</v>
      </c>
      <c r="C9" s="481">
        <v>937723</v>
      </c>
      <c r="D9" s="516"/>
      <c r="E9" s="481"/>
      <c r="F9" s="481"/>
      <c r="G9" s="517"/>
      <c r="H9" s="481"/>
      <c r="I9" s="509" t="s">
        <v>1169</v>
      </c>
      <c r="J9" s="478"/>
      <c r="K9" s="481"/>
      <c r="L9" s="347"/>
    </row>
    <row r="10" spans="1:13" s="519" customFormat="1" ht="13.5" thickBot="1" x14ac:dyDescent="0.25">
      <c r="A10" s="1735" t="s">
        <v>1173</v>
      </c>
      <c r="B10" s="1708"/>
      <c r="C10" s="1687">
        <f>SUM(C8:C9)</f>
        <v>3426117</v>
      </c>
      <c r="D10" s="1687">
        <f t="shared" ref="D10:K10" si="1">SUM(D8:D9)</f>
        <v>207041</v>
      </c>
      <c r="E10" s="1687">
        <f t="shared" si="1"/>
        <v>120628</v>
      </c>
      <c r="F10" s="1687">
        <f t="shared" si="1"/>
        <v>268220</v>
      </c>
      <c r="G10" s="1687">
        <f t="shared" si="1"/>
        <v>76704</v>
      </c>
      <c r="H10" s="1687">
        <f t="shared" si="1"/>
        <v>0</v>
      </c>
      <c r="I10" s="1687">
        <f t="shared" si="1"/>
        <v>0</v>
      </c>
      <c r="J10" s="1687">
        <f t="shared" si="1"/>
        <v>73966</v>
      </c>
      <c r="K10" s="1687">
        <f t="shared" si="1"/>
        <v>15</v>
      </c>
      <c r="L10" s="518"/>
    </row>
    <row r="11" spans="1:13" s="519" customFormat="1" ht="16.7" customHeight="1" thickTop="1" x14ac:dyDescent="0.2">
      <c r="A11" s="2127" t="s">
        <v>1176</v>
      </c>
      <c r="B11" s="2128"/>
      <c r="C11" s="1569"/>
      <c r="D11" s="1570"/>
      <c r="E11" s="1570"/>
      <c r="F11" s="1570"/>
      <c r="G11" s="1570"/>
      <c r="H11" s="1570"/>
      <c r="I11" s="1570"/>
      <c r="J11" s="1570"/>
      <c r="K11" s="1571"/>
      <c r="L11" s="518"/>
    </row>
    <row r="12" spans="1:13" ht="15.75" customHeight="1" x14ac:dyDescent="0.2">
      <c r="A12" s="1575" t="s">
        <v>456</v>
      </c>
      <c r="B12" s="1577">
        <v>1000</v>
      </c>
      <c r="C12" s="1741">
        <f>'Expenditures 15-22'!K33</f>
        <v>1434244</v>
      </c>
      <c r="D12" s="520" t="s">
        <v>1169</v>
      </c>
      <c r="E12" s="468" t="s">
        <v>1169</v>
      </c>
      <c r="F12" s="468" t="s">
        <v>1169</v>
      </c>
      <c r="G12" s="1741">
        <f>'Expenditures 15-22'!K229</f>
        <v>21492</v>
      </c>
      <c r="H12" s="521"/>
      <c r="I12" s="468" t="s">
        <v>1169</v>
      </c>
      <c r="J12" s="468" t="s">
        <v>1169</v>
      </c>
      <c r="K12" s="521" t="s">
        <v>1169</v>
      </c>
      <c r="L12" s="347"/>
    </row>
    <row r="13" spans="1:13" ht="15.75" customHeight="1" x14ac:dyDescent="0.2">
      <c r="A13" s="1575" t="s">
        <v>457</v>
      </c>
      <c r="B13" s="1577">
        <v>2000</v>
      </c>
      <c r="C13" s="1742">
        <f>'Expenditures 15-22'!K74</f>
        <v>751627</v>
      </c>
      <c r="D13" s="1742">
        <f>'Expenditures 15-22'!K129</f>
        <v>240143</v>
      </c>
      <c r="E13" s="469" t="s">
        <v>1169</v>
      </c>
      <c r="F13" s="1742">
        <f>'Expenditures 15-22'!K184</f>
        <v>306706</v>
      </c>
      <c r="G13" s="1742">
        <f>'Expenditures 15-22'!K279</f>
        <v>43806</v>
      </c>
      <c r="H13" s="1742">
        <f>'Expenditures 15-22'!K303</f>
        <v>0</v>
      </c>
      <c r="I13" s="468" t="s">
        <v>1169</v>
      </c>
      <c r="J13" s="1742">
        <f>'Expenditures 15-22'!K330</f>
        <v>87804</v>
      </c>
      <c r="K13" s="1746">
        <f>'Expenditures 15-22'!K352</f>
        <v>0</v>
      </c>
      <c r="L13" s="347"/>
    </row>
    <row r="14" spans="1:13" ht="15.75" customHeight="1" x14ac:dyDescent="0.2">
      <c r="A14" s="1575" t="s">
        <v>449</v>
      </c>
      <c r="B14" s="1577">
        <v>3000</v>
      </c>
      <c r="C14" s="1742">
        <f>'Expenditures 15-22'!K75</f>
        <v>0</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5" t="s">
        <v>107</v>
      </c>
      <c r="B15" s="1577">
        <v>4000</v>
      </c>
      <c r="C15" s="1742">
        <f>'Expenditures 15-22'!K102</f>
        <v>89248</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133848</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2275119</v>
      </c>
      <c r="D17" s="1687">
        <f t="shared" si="2"/>
        <v>240143</v>
      </c>
      <c r="E17" s="1687">
        <f t="shared" si="2"/>
        <v>133848</v>
      </c>
      <c r="F17" s="1687">
        <f t="shared" si="2"/>
        <v>306706</v>
      </c>
      <c r="G17" s="1687">
        <f t="shared" si="2"/>
        <v>65298</v>
      </c>
      <c r="H17" s="1687">
        <f t="shared" si="2"/>
        <v>0</v>
      </c>
      <c r="I17" s="468"/>
      <c r="J17" s="1687">
        <f>SUM(J12:J16)</f>
        <v>87804</v>
      </c>
      <c r="K17" s="1687">
        <f>SUM(K12:K16)</f>
        <v>0</v>
      </c>
      <c r="L17" s="347"/>
    </row>
    <row r="18" spans="1:12" ht="15" customHeight="1" thickTop="1" x14ac:dyDescent="0.2">
      <c r="A18" s="1743" t="s">
        <v>1654</v>
      </c>
      <c r="B18" s="1744">
        <v>4180</v>
      </c>
      <c r="C18" s="1741">
        <f t="shared" ref="C18:H18" si="3">C9</f>
        <v>937723</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3212842</v>
      </c>
      <c r="D19" s="1687">
        <f t="shared" si="4"/>
        <v>240143</v>
      </c>
      <c r="E19" s="1687">
        <f t="shared" si="4"/>
        <v>133848</v>
      </c>
      <c r="F19" s="1687">
        <f t="shared" si="4"/>
        <v>306706</v>
      </c>
      <c r="G19" s="1687">
        <f t="shared" si="4"/>
        <v>65298</v>
      </c>
      <c r="H19" s="1687">
        <f t="shared" si="4"/>
        <v>0</v>
      </c>
      <c r="I19" s="468"/>
      <c r="J19" s="1687">
        <f>SUM(J17:J18)</f>
        <v>87804</v>
      </c>
      <c r="K19" s="1687">
        <f>SUM(K17:K18)</f>
        <v>0</v>
      </c>
      <c r="L19" s="347"/>
    </row>
    <row r="20" spans="1:12" ht="16.5" thickTop="1" thickBot="1" x14ac:dyDescent="0.25">
      <c r="A20" s="2143" t="s">
        <v>1655</v>
      </c>
      <c r="B20" s="2144"/>
      <c r="C20" s="1745">
        <f>C8-C17</f>
        <v>213275</v>
      </c>
      <c r="D20" s="1745">
        <f t="shared" ref="D20:K20" si="5">D8-D17</f>
        <v>-33102</v>
      </c>
      <c r="E20" s="1745">
        <f t="shared" si="5"/>
        <v>-13220</v>
      </c>
      <c r="F20" s="1745">
        <f t="shared" si="5"/>
        <v>-38486</v>
      </c>
      <c r="G20" s="1745">
        <f t="shared" si="5"/>
        <v>11406</v>
      </c>
      <c r="H20" s="1745">
        <f t="shared" si="5"/>
        <v>0</v>
      </c>
      <c r="I20" s="1745">
        <f t="shared" si="5"/>
        <v>0</v>
      </c>
      <c r="J20" s="1745">
        <f t="shared" si="5"/>
        <v>-13838</v>
      </c>
      <c r="K20" s="1745">
        <f t="shared" si="5"/>
        <v>15</v>
      </c>
      <c r="L20" s="347"/>
    </row>
    <row r="21" spans="1:12" ht="16.7" customHeight="1" thickTop="1" x14ac:dyDescent="0.2">
      <c r="A21" s="2155" t="s">
        <v>595</v>
      </c>
      <c r="B21" s="2156"/>
      <c r="C21" s="1569"/>
      <c r="D21" s="1570"/>
      <c r="E21" s="1570"/>
      <c r="F21" s="1570"/>
      <c r="G21" s="1570"/>
      <c r="H21" s="1570"/>
      <c r="I21" s="1570"/>
      <c r="J21" s="1570"/>
      <c r="K21" s="1571"/>
      <c r="L21" s="524"/>
    </row>
    <row r="22" spans="1:12" ht="15.75" customHeight="1" collapsed="1" x14ac:dyDescent="0.2">
      <c r="A22" s="2151" t="s">
        <v>596</v>
      </c>
      <c r="B22" s="2152"/>
      <c r="C22" s="477"/>
      <c r="D22" s="477"/>
      <c r="E22" s="477"/>
      <c r="F22" s="477"/>
      <c r="G22" s="477"/>
      <c r="H22" s="477"/>
      <c r="I22" s="477"/>
      <c r="J22" s="477"/>
      <c r="K22" s="477"/>
      <c r="L22" s="347"/>
    </row>
    <row r="23" spans="1:12" s="485" customFormat="1" ht="15.75" customHeight="1" x14ac:dyDescent="0.2">
      <c r="A23" s="2147" t="s">
        <v>293</v>
      </c>
      <c r="B23" s="2148"/>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49" t="s">
        <v>981</v>
      </c>
      <c r="B32" s="2150"/>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42">
        <f>SUM(C54:D57,H54:H57)</f>
        <v>0</v>
      </c>
      <c r="F37" s="475"/>
      <c r="G37" s="475"/>
      <c r="H37" s="475"/>
      <c r="I37" s="477"/>
      <c r="J37" s="475"/>
      <c r="K37" s="475"/>
      <c r="L37" s="524"/>
    </row>
    <row r="38" spans="1:12" s="485" customFormat="1" x14ac:dyDescent="0.2">
      <c r="A38" s="1488" t="s">
        <v>442</v>
      </c>
      <c r="B38" s="525">
        <v>7500</v>
      </c>
      <c r="C38" s="477"/>
      <c r="D38" s="477"/>
      <c r="E38" s="1742">
        <f>SUM(C58:D61,H58:H61)</f>
        <v>0</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v>13220</v>
      </c>
      <c r="F43" s="467"/>
      <c r="G43" s="467"/>
      <c r="H43" s="467"/>
      <c r="I43" s="467"/>
      <c r="J43" s="467"/>
      <c r="K43" s="467"/>
      <c r="L43" s="524"/>
    </row>
    <row r="44" spans="1:12" s="485" customFormat="1" ht="13.5" customHeight="1" thickBot="1" x14ac:dyDescent="0.25">
      <c r="A44" s="2157" t="s">
        <v>374</v>
      </c>
      <c r="B44" s="2158"/>
      <c r="C44" s="1702">
        <f>SUM(C24:C43)</f>
        <v>0</v>
      </c>
      <c r="D44" s="1702">
        <f t="shared" ref="D44:K44" si="6">SUM(D24:D43)</f>
        <v>0</v>
      </c>
      <c r="E44" s="1702">
        <f t="shared" si="6"/>
        <v>13220</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51" t="s">
        <v>108</v>
      </c>
      <c r="B45" s="2152"/>
      <c r="C45" s="528"/>
      <c r="D45" s="528"/>
      <c r="E45" s="528"/>
      <c r="F45" s="528"/>
      <c r="G45" s="528"/>
      <c r="H45" s="528"/>
      <c r="I45" s="528"/>
      <c r="J45" s="528"/>
      <c r="K45" s="528"/>
      <c r="L45" s="347"/>
    </row>
    <row r="46" spans="1:12" s="485" customFormat="1" ht="15.75" customHeight="1" x14ac:dyDescent="0.2">
      <c r="A46" s="2159" t="s">
        <v>109</v>
      </c>
      <c r="B46" s="2160"/>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2">
        <f>D30</f>
        <v>0</v>
      </c>
      <c r="L52" s="524"/>
    </row>
    <row r="53" spans="1:12" s="485" customFormat="1" ht="26.25" x14ac:dyDescent="0.2">
      <c r="A53" s="1489" t="s">
        <v>1796</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v>13220</v>
      </c>
      <c r="E75" s="530"/>
      <c r="F75" s="532"/>
      <c r="G75" s="532"/>
      <c r="H75" s="532"/>
      <c r="I75" s="530"/>
      <c r="J75" s="530"/>
      <c r="K75" s="532"/>
      <c r="L75" s="524"/>
    </row>
    <row r="76" spans="1:12" s="485" customFormat="1" ht="14.25" thickTop="1" thickBot="1" x14ac:dyDescent="0.25">
      <c r="A76" s="2133" t="s">
        <v>440</v>
      </c>
      <c r="B76" s="2134"/>
      <c r="C76" s="1702">
        <f t="shared" ref="C76:K76" si="7">SUM(C47:C75)</f>
        <v>0</v>
      </c>
      <c r="D76" s="1702">
        <f t="shared" si="7"/>
        <v>13220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35" t="s">
        <v>1177</v>
      </c>
      <c r="B77" s="2136"/>
      <c r="C77" s="1702">
        <f t="shared" ref="C77:K77" si="8">C44-C76</f>
        <v>0</v>
      </c>
      <c r="D77" s="1702">
        <f t="shared" si="8"/>
        <v>-13220</v>
      </c>
      <c r="E77" s="1702">
        <f t="shared" si="8"/>
        <v>13220</v>
      </c>
      <c r="F77" s="1702">
        <f t="shared" si="8"/>
        <v>0</v>
      </c>
      <c r="G77" s="1702">
        <f t="shared" si="8"/>
        <v>0</v>
      </c>
      <c r="H77" s="1702">
        <f t="shared" si="8"/>
        <v>0</v>
      </c>
      <c r="I77" s="1702">
        <f t="shared" si="8"/>
        <v>0</v>
      </c>
      <c r="J77" s="1702">
        <f t="shared" si="8"/>
        <v>0</v>
      </c>
      <c r="K77" s="1702">
        <f t="shared" si="8"/>
        <v>0</v>
      </c>
      <c r="L77" s="347"/>
    </row>
    <row r="78" spans="1:12" ht="21.75" customHeight="1" thickTop="1" thickBot="1" x14ac:dyDescent="0.25">
      <c r="A78" s="2139" t="s">
        <v>597</v>
      </c>
      <c r="B78" s="2140"/>
      <c r="C78" s="1701">
        <f t="shared" ref="C78:K78" si="9">C20+C77</f>
        <v>213275</v>
      </c>
      <c r="D78" s="1701">
        <f t="shared" si="9"/>
        <v>-46322</v>
      </c>
      <c r="E78" s="1701">
        <f t="shared" si="9"/>
        <v>0</v>
      </c>
      <c r="F78" s="1701">
        <f t="shared" si="9"/>
        <v>-38486</v>
      </c>
      <c r="G78" s="1701">
        <f t="shared" si="9"/>
        <v>11406</v>
      </c>
      <c r="H78" s="1701">
        <f t="shared" si="9"/>
        <v>0</v>
      </c>
      <c r="I78" s="1701">
        <f t="shared" si="9"/>
        <v>0</v>
      </c>
      <c r="J78" s="1701">
        <f t="shared" si="9"/>
        <v>-13838</v>
      </c>
      <c r="K78" s="1701">
        <f t="shared" si="9"/>
        <v>15</v>
      </c>
      <c r="L78" s="533"/>
    </row>
    <row r="79" spans="1:12" ht="13.5" thickTop="1" x14ac:dyDescent="0.2">
      <c r="A79" s="1493" t="s">
        <v>1949</v>
      </c>
      <c r="B79" s="534"/>
      <c r="C79" s="478">
        <v>677812</v>
      </c>
      <c r="D79" s="535">
        <v>879922</v>
      </c>
      <c r="E79" s="535"/>
      <c r="F79" s="535">
        <v>194935</v>
      </c>
      <c r="G79" s="535">
        <v>77640</v>
      </c>
      <c r="H79" s="535"/>
      <c r="I79" s="535"/>
      <c r="J79" s="535">
        <v>51358</v>
      </c>
      <c r="K79" s="535">
        <v>5266</v>
      </c>
      <c r="L79" s="347"/>
    </row>
    <row r="80" spans="1:12" x14ac:dyDescent="0.2">
      <c r="A80" s="2145" t="s">
        <v>1795</v>
      </c>
      <c r="B80" s="2146"/>
      <c r="C80" s="467"/>
      <c r="D80" s="467"/>
      <c r="E80" s="467"/>
      <c r="F80" s="467"/>
      <c r="G80" s="467"/>
      <c r="H80" s="467"/>
      <c r="I80" s="467"/>
      <c r="J80" s="467"/>
      <c r="K80" s="467"/>
      <c r="L80" s="347"/>
    </row>
    <row r="81" spans="1:12" ht="13.5" thickBot="1" x14ac:dyDescent="0.25">
      <c r="A81" s="2137" t="s">
        <v>1950</v>
      </c>
      <c r="B81" s="2138"/>
      <c r="C81" s="1687">
        <f>(SUM(C78:C80))</f>
        <v>891087</v>
      </c>
      <c r="D81" s="1687">
        <f>SUM(D78:D80)</f>
        <v>833600</v>
      </c>
      <c r="E81" s="1687">
        <f t="shared" ref="E81:K81" si="10">SUM(E78:E80)</f>
        <v>0</v>
      </c>
      <c r="F81" s="1687">
        <f t="shared" si="10"/>
        <v>156449</v>
      </c>
      <c r="G81" s="1687">
        <f t="shared" si="10"/>
        <v>89046</v>
      </c>
      <c r="H81" s="1687">
        <f t="shared" si="10"/>
        <v>0</v>
      </c>
      <c r="I81" s="1687">
        <f t="shared" si="10"/>
        <v>0</v>
      </c>
      <c r="J81" s="1687">
        <f t="shared" si="10"/>
        <v>37520</v>
      </c>
      <c r="K81" s="1687">
        <f t="shared" si="10"/>
        <v>5281</v>
      </c>
      <c r="L81" s="347"/>
    </row>
    <row r="82" spans="1:12" ht="0.75" customHeight="1" thickTop="1" thickBot="1" x14ac:dyDescent="0.25">
      <c r="A82" s="536" t="s">
        <v>343</v>
      </c>
      <c r="B82" s="537"/>
      <c r="C82" s="538">
        <f>(C81-C79)</f>
        <v>213275</v>
      </c>
      <c r="D82" s="538">
        <f t="shared" ref="D82:K82" si="11">(D81-D79)</f>
        <v>-46322</v>
      </c>
      <c r="E82" s="538">
        <f t="shared" si="11"/>
        <v>0</v>
      </c>
      <c r="F82" s="538">
        <f t="shared" si="11"/>
        <v>-38486</v>
      </c>
      <c r="G82" s="538">
        <f t="shared" si="11"/>
        <v>11406</v>
      </c>
      <c r="H82" s="538">
        <f t="shared" si="11"/>
        <v>0</v>
      </c>
      <c r="I82" s="538">
        <f t="shared" si="11"/>
        <v>0</v>
      </c>
      <c r="J82" s="538">
        <f t="shared" si="11"/>
        <v>-13838</v>
      </c>
      <c r="K82" s="538">
        <f t="shared" si="11"/>
        <v>15</v>
      </c>
    </row>
    <row r="83" spans="1:12" ht="14.25" hidden="1" thickTop="1" thickBot="1" x14ac:dyDescent="0.25">
      <c r="A83" s="539" t="s">
        <v>344</v>
      </c>
      <c r="B83" s="464"/>
      <c r="C83" s="540">
        <f>C82/C81</f>
        <v>0.23934251088838687</v>
      </c>
      <c r="D83" s="540">
        <f t="shared" ref="D83:K83" si="12">D82/D81</f>
        <v>-5.5568618042226486E-2</v>
      </c>
      <c r="E83" s="540" t="e">
        <f t="shared" si="12"/>
        <v>#DIV/0!</v>
      </c>
      <c r="F83" s="540">
        <f t="shared" si="12"/>
        <v>-0.24599709809586512</v>
      </c>
      <c r="G83" s="540">
        <f t="shared" si="12"/>
        <v>0.12809109898254833</v>
      </c>
      <c r="H83" s="540" t="e">
        <f t="shared" si="12"/>
        <v>#DIV/0!</v>
      </c>
      <c r="I83" s="540" t="e">
        <f t="shared" si="12"/>
        <v>#DIV/0!</v>
      </c>
      <c r="J83" s="540">
        <f t="shared" si="12"/>
        <v>-0.36881663113006397</v>
      </c>
      <c r="K83" s="540">
        <f t="shared" si="12"/>
        <v>2.8403711418291989E-3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79"/>
  <sheetViews>
    <sheetView showGridLines="0" defaultGridColor="0" colorId="8" zoomScale="110" zoomScaleNormal="110" zoomScaleSheetLayoutView="75" workbookViewId="0">
      <pane ySplit="2" topLeftCell="A51" activePane="bottomLeft" state="frozen"/>
      <selection activeCell="C59" sqref="C59"/>
      <selection pane="bottomLeft" activeCell="C84" sqref="C8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1" t="s">
        <v>1802</v>
      </c>
      <c r="B1" s="452"/>
      <c r="C1" s="453" t="s">
        <v>425</v>
      </c>
      <c r="D1" s="453" t="s">
        <v>426</v>
      </c>
      <c r="E1" s="453" t="s">
        <v>427</v>
      </c>
      <c r="F1" s="453" t="s">
        <v>428</v>
      </c>
      <c r="G1" s="453" t="s">
        <v>429</v>
      </c>
      <c r="H1" s="453" t="s">
        <v>430</v>
      </c>
      <c r="I1" s="453" t="s">
        <v>431</v>
      </c>
      <c r="J1" s="453" t="s">
        <v>432</v>
      </c>
      <c r="K1" s="453" t="s">
        <v>756</v>
      </c>
    </row>
    <row r="2" spans="1:12" ht="36" x14ac:dyDescent="0.2">
      <c r="A2" s="214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1747290</v>
      </c>
      <c r="D5" s="481">
        <v>196773</v>
      </c>
      <c r="E5" s="466">
        <v>120427</v>
      </c>
      <c r="F5" s="548">
        <v>94448</v>
      </c>
      <c r="G5" s="466">
        <v>29973</v>
      </c>
      <c r="H5" s="466"/>
      <c r="I5" s="466"/>
      <c r="J5" s="467">
        <v>72933</v>
      </c>
      <c r="K5" s="466"/>
    </row>
    <row r="6" spans="1:12" ht="15" x14ac:dyDescent="0.2">
      <c r="A6" s="463" t="s">
        <v>1662</v>
      </c>
      <c r="B6" s="470">
        <v>1130</v>
      </c>
      <c r="C6" s="466">
        <v>20186</v>
      </c>
      <c r="D6" s="466"/>
      <c r="E6" s="475"/>
      <c r="F6" s="475"/>
      <c r="G6" s="468"/>
      <c r="H6" s="468"/>
      <c r="I6" s="468"/>
      <c r="J6" s="468"/>
      <c r="K6" s="468"/>
    </row>
    <row r="7" spans="1:12" x14ac:dyDescent="0.2">
      <c r="A7" s="463" t="s">
        <v>110</v>
      </c>
      <c r="B7" s="549">
        <v>1140</v>
      </c>
      <c r="C7" s="466">
        <v>15747</v>
      </c>
      <c r="D7" s="466"/>
      <c r="E7" s="468"/>
      <c r="F7" s="467"/>
      <c r="G7" s="467"/>
      <c r="H7" s="467"/>
      <c r="I7" s="468"/>
      <c r="J7" s="468"/>
      <c r="K7" s="468"/>
    </row>
    <row r="8" spans="1:12" x14ac:dyDescent="0.2">
      <c r="A8" s="463" t="s">
        <v>413</v>
      </c>
      <c r="B8" s="470">
        <v>1150</v>
      </c>
      <c r="C8" s="475"/>
      <c r="D8" s="475"/>
      <c r="E8" s="477"/>
      <c r="F8" s="477"/>
      <c r="G8" s="481">
        <v>44956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1783223</v>
      </c>
      <c r="D12" s="1706">
        <f t="shared" si="0"/>
        <v>196773</v>
      </c>
      <c r="E12" s="1706">
        <f t="shared" si="0"/>
        <v>120427</v>
      </c>
      <c r="F12" s="1706">
        <f t="shared" si="0"/>
        <v>94448</v>
      </c>
      <c r="G12" s="1706">
        <f t="shared" si="0"/>
        <v>74929</v>
      </c>
      <c r="H12" s="1706">
        <f t="shared" si="0"/>
        <v>0</v>
      </c>
      <c r="I12" s="1706">
        <f t="shared" si="0"/>
        <v>0</v>
      </c>
      <c r="J12" s="1706">
        <f t="shared" si="0"/>
        <v>72933</v>
      </c>
      <c r="K12" s="1687">
        <f t="shared" si="0"/>
        <v>0</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46390</v>
      </c>
      <c r="D16" s="466"/>
      <c r="E16" s="466"/>
      <c r="F16" s="466"/>
      <c r="G16" s="466">
        <v>1400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46390</v>
      </c>
      <c r="D18" s="1709">
        <f t="shared" ref="D18:K18" si="1">SUM(D14:D17)</f>
        <v>0</v>
      </c>
      <c r="E18" s="1709">
        <f t="shared" si="1"/>
        <v>0</v>
      </c>
      <c r="F18" s="1709">
        <f t="shared" si="1"/>
        <v>0</v>
      </c>
      <c r="G18" s="1709">
        <f t="shared" si="1"/>
        <v>1400</v>
      </c>
      <c r="H18" s="1709">
        <f t="shared" si="1"/>
        <v>0</v>
      </c>
      <c r="I18" s="1709">
        <f t="shared" si="1"/>
        <v>0</v>
      </c>
      <c r="J18" s="1709">
        <f t="shared" si="1"/>
        <v>0</v>
      </c>
      <c r="K18" s="1710">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7" t="s">
        <v>538</v>
      </c>
      <c r="B40" s="1708"/>
      <c r="C40" s="1687">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6183</v>
      </c>
      <c r="D65" s="466">
        <v>2748</v>
      </c>
      <c r="E65" s="466">
        <v>201</v>
      </c>
      <c r="F65" s="467">
        <v>653</v>
      </c>
      <c r="G65" s="466">
        <v>375</v>
      </c>
      <c r="H65" s="466"/>
      <c r="I65" s="466"/>
      <c r="J65" s="467">
        <v>220</v>
      </c>
      <c r="K65" s="466">
        <v>15</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6183</v>
      </c>
      <c r="D67" s="1687">
        <f t="shared" ref="D67:K67" si="2">SUM(D65:D66)</f>
        <v>2748</v>
      </c>
      <c r="E67" s="1687">
        <f t="shared" si="2"/>
        <v>201</v>
      </c>
      <c r="F67" s="1687">
        <f t="shared" si="2"/>
        <v>653</v>
      </c>
      <c r="G67" s="1687">
        <f t="shared" si="2"/>
        <v>375</v>
      </c>
      <c r="H67" s="1687">
        <f t="shared" si="2"/>
        <v>0</v>
      </c>
      <c r="I67" s="1687">
        <f t="shared" si="2"/>
        <v>0</v>
      </c>
      <c r="J67" s="1687">
        <f t="shared" si="2"/>
        <v>220</v>
      </c>
      <c r="K67" s="1687">
        <f t="shared" si="2"/>
        <v>15</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27790</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1070</v>
      </c>
      <c r="D73" s="468"/>
      <c r="E73" s="468"/>
      <c r="F73" s="468"/>
      <c r="G73" s="468"/>
      <c r="H73" s="468"/>
      <c r="I73" s="468"/>
      <c r="J73" s="468"/>
      <c r="K73" s="468"/>
    </row>
    <row r="74" spans="1:11" ht="12.75" customHeight="1" x14ac:dyDescent="0.2">
      <c r="A74" s="463" t="s">
        <v>25</v>
      </c>
      <c r="B74" s="470">
        <v>1690</v>
      </c>
      <c r="C74" s="551">
        <v>675</v>
      </c>
      <c r="D74" s="468"/>
      <c r="E74" s="468"/>
      <c r="F74" s="468"/>
      <c r="G74" s="468"/>
      <c r="H74" s="468"/>
      <c r="I74" s="468"/>
      <c r="J74" s="468"/>
      <c r="K74" s="468"/>
    </row>
    <row r="75" spans="1:11" ht="12.75" customHeight="1" thickBot="1" x14ac:dyDescent="0.25">
      <c r="A75" s="1707" t="s">
        <v>548</v>
      </c>
      <c r="B75" s="1708"/>
      <c r="C75" s="1687">
        <f>SUM(C69:C74)</f>
        <v>29535</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8752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3725</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12477</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11736</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11736</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v>7520</v>
      </c>
      <c r="E95" s="521"/>
      <c r="F95" s="521"/>
      <c r="G95" s="521"/>
      <c r="H95" s="521"/>
      <c r="I95" s="521"/>
      <c r="J95" s="521"/>
      <c r="K95" s="521"/>
    </row>
    <row r="96" spans="1:11" ht="12.75" customHeight="1" x14ac:dyDescent="0.2">
      <c r="A96" s="463" t="s">
        <v>391</v>
      </c>
      <c r="B96" s="470">
        <v>1920</v>
      </c>
      <c r="C96" s="551">
        <v>3539</v>
      </c>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v>18917</v>
      </c>
      <c r="D98" s="466"/>
      <c r="E98" s="512"/>
      <c r="F98" s="466"/>
      <c r="G98" s="512"/>
      <c r="H98" s="512"/>
      <c r="I98" s="510"/>
      <c r="J98" s="512"/>
      <c r="K98" s="512"/>
    </row>
    <row r="99" spans="1:12" ht="12.75" customHeight="1" x14ac:dyDescent="0.2">
      <c r="A99" s="463" t="s">
        <v>821</v>
      </c>
      <c r="B99" s="470">
        <v>1950</v>
      </c>
      <c r="C99" s="489">
        <v>5214</v>
      </c>
      <c r="D99" s="466"/>
      <c r="E99" s="466"/>
      <c r="F99" s="466"/>
      <c r="G99" s="466"/>
      <c r="H99" s="466"/>
      <c r="I99" s="468"/>
      <c r="J99" s="467">
        <v>813</v>
      </c>
      <c r="K99" s="466"/>
    </row>
    <row r="100" spans="1:12" ht="12.75" customHeight="1" x14ac:dyDescent="0.2">
      <c r="A100" s="463" t="s">
        <v>245</v>
      </c>
      <c r="B100" s="470">
        <v>1960</v>
      </c>
      <c r="C100" s="489">
        <v>4</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200</v>
      </c>
      <c r="D104" s="466"/>
      <c r="E104" s="481"/>
      <c r="F104" s="467">
        <v>1000</v>
      </c>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634</v>
      </c>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7" t="s">
        <v>487</v>
      </c>
      <c r="B108" s="1711"/>
      <c r="C108" s="1706">
        <f>SUM(C95:C107)</f>
        <v>28508</v>
      </c>
      <c r="D108" s="1706">
        <f t="shared" ref="D108:K108" si="3">SUM(D95:D107)</f>
        <v>7520</v>
      </c>
      <c r="E108" s="1706">
        <f t="shared" si="3"/>
        <v>0</v>
      </c>
      <c r="F108" s="1706">
        <f t="shared" si="3"/>
        <v>1000</v>
      </c>
      <c r="G108" s="1706">
        <f t="shared" si="3"/>
        <v>0</v>
      </c>
      <c r="H108" s="1706">
        <f t="shared" si="3"/>
        <v>0</v>
      </c>
      <c r="I108" s="1706">
        <f t="shared" si="3"/>
        <v>0</v>
      </c>
      <c r="J108" s="1706">
        <f t="shared" si="3"/>
        <v>813</v>
      </c>
      <c r="K108" s="1687">
        <f t="shared" si="3"/>
        <v>0</v>
      </c>
    </row>
    <row r="109" spans="1:12" ht="14.25" thickTop="1" thickBot="1" x14ac:dyDescent="0.25">
      <c r="A109" s="1712" t="s">
        <v>248</v>
      </c>
      <c r="B109" s="1713" t="s">
        <v>570</v>
      </c>
      <c r="C109" s="1714">
        <f t="shared" ref="C109:K109" si="4">SUM(C12,C18,C40,C63,C67,C75,C82,C93,C108,)</f>
        <v>1918052</v>
      </c>
      <c r="D109" s="1714">
        <f t="shared" si="4"/>
        <v>207041</v>
      </c>
      <c r="E109" s="1714">
        <f t="shared" si="4"/>
        <v>120628</v>
      </c>
      <c r="F109" s="1714">
        <f t="shared" si="4"/>
        <v>96101</v>
      </c>
      <c r="G109" s="1714">
        <f t="shared" si="4"/>
        <v>76704</v>
      </c>
      <c r="H109" s="1714">
        <f t="shared" si="4"/>
        <v>0</v>
      </c>
      <c r="I109" s="1714">
        <f t="shared" si="4"/>
        <v>0</v>
      </c>
      <c r="J109" s="1714">
        <f t="shared" si="4"/>
        <v>73966</v>
      </c>
      <c r="K109" s="1701">
        <f t="shared" si="4"/>
        <v>15</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247292</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8" t="s">
        <v>1936</v>
      </c>
      <c r="B120" s="562">
        <v>3030</v>
      </c>
      <c r="C120" s="551"/>
      <c r="D120" s="466"/>
      <c r="E120" s="466"/>
      <c r="F120" s="466"/>
      <c r="G120" s="466"/>
      <c r="H120" s="466"/>
      <c r="I120" s="468"/>
      <c r="J120" s="467"/>
      <c r="K120" s="466"/>
    </row>
    <row r="121" spans="1:11" x14ac:dyDescent="0.2">
      <c r="A121" s="1495"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247292</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55085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37874</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92959</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0</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477</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116602</v>
      </c>
      <c r="G152" s="467"/>
      <c r="H152" s="468"/>
      <c r="I152" s="468"/>
      <c r="J152" s="468"/>
      <c r="K152" s="468"/>
    </row>
    <row r="153" spans="1:11" ht="12.75" customHeight="1" x14ac:dyDescent="0.2">
      <c r="A153" s="463" t="s">
        <v>1057</v>
      </c>
      <c r="B153" s="562">
        <v>3510</v>
      </c>
      <c r="C153" s="551"/>
      <c r="D153" s="466"/>
      <c r="E153" s="561"/>
      <c r="F153" s="466">
        <v>50557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167159</v>
      </c>
      <c r="G155" s="1706">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v>750</v>
      </c>
      <c r="D168" s="580"/>
      <c r="E168" s="580"/>
      <c r="F168" s="580"/>
      <c r="G168" s="581"/>
      <c r="H168" s="582"/>
      <c r="I168" s="581"/>
      <c r="J168" s="581"/>
      <c r="K168" s="582"/>
    </row>
    <row r="169" spans="1:11" ht="12.75" customHeight="1" thickTop="1" thickBot="1" x14ac:dyDescent="0.25">
      <c r="A169" s="2161" t="s">
        <v>398</v>
      </c>
      <c r="B169" s="2162"/>
      <c r="C169" s="1721">
        <f t="shared" ref="C169:K169" si="6">SUM(C132,C141,C145,C146:C150,C155,C156:C167,C168)</f>
        <v>94186</v>
      </c>
      <c r="D169" s="1721">
        <f t="shared" si="6"/>
        <v>0</v>
      </c>
      <c r="E169" s="1721">
        <f t="shared" si="6"/>
        <v>0</v>
      </c>
      <c r="F169" s="1721">
        <f t="shared" si="6"/>
        <v>167159</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341478</v>
      </c>
      <c r="D170" s="1714">
        <f t="shared" si="7"/>
        <v>0</v>
      </c>
      <c r="E170" s="1714">
        <f t="shared" si="7"/>
        <v>0</v>
      </c>
      <c r="F170" s="1714">
        <f t="shared" si="7"/>
        <v>167159</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63" t="s">
        <v>1492</v>
      </c>
      <c r="B172" s="216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v>27599</v>
      </c>
      <c r="D174" s="466"/>
      <c r="E174" s="467"/>
      <c r="F174" s="466"/>
      <c r="G174" s="466"/>
      <c r="H174" s="467"/>
      <c r="I174" s="467"/>
      <c r="J174" s="467"/>
      <c r="K174" s="467"/>
    </row>
    <row r="175" spans="1:11" ht="13.5" thickBot="1" x14ac:dyDescent="0.25">
      <c r="A175" s="2167" t="s">
        <v>1665</v>
      </c>
      <c r="B175" s="2168"/>
      <c r="C175" s="1706">
        <f>SUM(C173:C174)</f>
        <v>27599</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71" t="s">
        <v>1664</v>
      </c>
      <c r="B176" s="217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9" t="s">
        <v>785</v>
      </c>
      <c r="B181" s="2170"/>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65" t="s">
        <v>1803</v>
      </c>
      <c r="B182" s="2166"/>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25585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4480</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30065</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71861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71861</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7469</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7469</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72875</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72875</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9043</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1937</v>
      </c>
      <c r="B261" s="470">
        <v>4981</v>
      </c>
      <c r="C261" s="575"/>
      <c r="D261" s="576"/>
      <c r="E261" s="468"/>
      <c r="F261" s="576"/>
      <c r="G261" s="576"/>
      <c r="H261" s="468"/>
      <c r="I261" s="468"/>
      <c r="J261" s="468"/>
      <c r="K261" s="468"/>
    </row>
    <row r="262" spans="1:11" ht="12.75" customHeight="1" thickTop="1" thickBot="1" x14ac:dyDescent="0.25">
      <c r="A262" s="1929"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2753</v>
      </c>
      <c r="D263" s="576"/>
      <c r="E263" s="468"/>
      <c r="F263" s="576"/>
      <c r="G263" s="576"/>
      <c r="H263" s="468"/>
      <c r="I263" s="468"/>
      <c r="J263" s="468"/>
      <c r="K263" s="468"/>
    </row>
    <row r="264" spans="1:11" ht="12.75" customHeight="1" thickTop="1" thickBot="1" x14ac:dyDescent="0.25">
      <c r="A264" s="463" t="s">
        <v>377</v>
      </c>
      <c r="B264" s="470">
        <v>4992</v>
      </c>
      <c r="C264" s="575">
        <v>7199</v>
      </c>
      <c r="D264" s="576"/>
      <c r="E264" s="468"/>
      <c r="F264" s="576">
        <v>4960</v>
      </c>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201265</v>
      </c>
      <c r="D266" s="1714">
        <f t="shared" si="10"/>
        <v>0</v>
      </c>
      <c r="E266" s="1714">
        <f t="shared" si="10"/>
        <v>0</v>
      </c>
      <c r="F266" s="1714">
        <f t="shared" si="10"/>
        <v>4960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228864</v>
      </c>
      <c r="D267" s="1714">
        <f>SUM(D175,D181,D266)</f>
        <v>0</v>
      </c>
      <c r="E267" s="1714">
        <f>SUM(E175,E266)</f>
        <v>0</v>
      </c>
      <c r="F267" s="1714">
        <f t="shared" ref="F267:K267" si="11">SUM(F175,F181,F266)</f>
        <v>4960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2488394</v>
      </c>
      <c r="D268" s="1714">
        <f t="shared" si="12"/>
        <v>207041</v>
      </c>
      <c r="E268" s="1714">
        <f t="shared" si="12"/>
        <v>120628</v>
      </c>
      <c r="F268" s="1714">
        <f t="shared" si="12"/>
        <v>268220</v>
      </c>
      <c r="G268" s="1714">
        <f t="shared" si="12"/>
        <v>76704</v>
      </c>
      <c r="H268" s="1714">
        <f t="shared" si="12"/>
        <v>0</v>
      </c>
      <c r="I268" s="1714">
        <f t="shared" si="12"/>
        <v>0</v>
      </c>
      <c r="J268" s="1714">
        <f t="shared" si="12"/>
        <v>73966</v>
      </c>
      <c r="K268" s="1701">
        <f t="shared" si="12"/>
        <v>15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Normal="100" workbookViewId="0">
      <pane ySplit="2" topLeftCell="A357" activePane="bottomLeft" state="frozen"/>
      <selection activeCell="C59" sqref="C59"/>
      <selection pane="bottomLeft" activeCell="C59" sqref="C5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9" t="s">
        <v>297</v>
      </c>
      <c r="B3" s="2180"/>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765807</v>
      </c>
      <c r="D5" s="466">
        <v>151329</v>
      </c>
      <c r="E5" s="466">
        <v>8702</v>
      </c>
      <c r="F5" s="466">
        <v>44576</v>
      </c>
      <c r="G5" s="466"/>
      <c r="H5" s="466">
        <v>1560</v>
      </c>
      <c r="I5" s="467"/>
      <c r="J5" s="467"/>
      <c r="K5" s="1670">
        <f>SUM(C5:J5)</f>
        <v>971974</v>
      </c>
      <c r="L5" s="466">
        <v>992519</v>
      </c>
    </row>
    <row r="6" spans="1:14" x14ac:dyDescent="0.2">
      <c r="A6" s="1503" t="s">
        <v>1433</v>
      </c>
      <c r="B6" s="614" t="s">
        <v>1431</v>
      </c>
      <c r="C6" s="477"/>
      <c r="D6" s="477"/>
      <c r="E6" s="466"/>
      <c r="F6" s="477"/>
      <c r="G6" s="477"/>
      <c r="H6" s="477"/>
      <c r="I6" s="477"/>
      <c r="J6" s="477"/>
      <c r="K6" s="1670">
        <f>SUM(C6,E6)</f>
        <v>0</v>
      </c>
      <c r="L6" s="466"/>
    </row>
    <row r="7" spans="1:14" x14ac:dyDescent="0.2">
      <c r="A7" s="1503" t="s">
        <v>163</v>
      </c>
      <c r="B7" s="614" t="s">
        <v>967</v>
      </c>
      <c r="C7" s="467"/>
      <c r="D7" s="467"/>
      <c r="E7" s="467"/>
      <c r="F7" s="467"/>
      <c r="G7" s="467"/>
      <c r="H7" s="467"/>
      <c r="I7" s="467"/>
      <c r="J7" s="467"/>
      <c r="K7" s="1670">
        <f t="shared" ref="K7:K32" si="0">SUM(C7:J7)</f>
        <v>0</v>
      </c>
      <c r="L7" s="466"/>
    </row>
    <row r="8" spans="1:14" x14ac:dyDescent="0.2">
      <c r="A8" s="1503" t="s">
        <v>164</v>
      </c>
      <c r="B8" s="614">
        <v>1200</v>
      </c>
      <c r="C8" s="466">
        <v>154058</v>
      </c>
      <c r="D8" s="466">
        <v>42487</v>
      </c>
      <c r="E8" s="466">
        <v>11800</v>
      </c>
      <c r="F8" s="466">
        <v>1439</v>
      </c>
      <c r="G8" s="466"/>
      <c r="H8" s="466">
        <v>70</v>
      </c>
      <c r="I8" s="467"/>
      <c r="J8" s="467"/>
      <c r="K8" s="1670">
        <f t="shared" si="0"/>
        <v>209854</v>
      </c>
      <c r="L8" s="466">
        <v>228193</v>
      </c>
    </row>
    <row r="9" spans="1:14" x14ac:dyDescent="0.2">
      <c r="A9" s="1503" t="s">
        <v>721</v>
      </c>
      <c r="B9" s="614" t="s">
        <v>968</v>
      </c>
      <c r="C9" s="467"/>
      <c r="D9" s="467"/>
      <c r="E9" s="467"/>
      <c r="F9" s="467"/>
      <c r="G9" s="467"/>
      <c r="H9" s="467"/>
      <c r="I9" s="467"/>
      <c r="J9" s="467"/>
      <c r="K9" s="1670">
        <f t="shared" si="0"/>
        <v>0</v>
      </c>
      <c r="L9" s="466"/>
    </row>
    <row r="10" spans="1:14" x14ac:dyDescent="0.2">
      <c r="A10" s="1503" t="s">
        <v>722</v>
      </c>
      <c r="B10" s="614">
        <v>1250</v>
      </c>
      <c r="C10" s="466">
        <v>74823</v>
      </c>
      <c r="D10" s="466">
        <v>17328</v>
      </c>
      <c r="E10" s="466">
        <v>2416</v>
      </c>
      <c r="F10" s="466">
        <v>212</v>
      </c>
      <c r="G10" s="466"/>
      <c r="H10" s="466"/>
      <c r="I10" s="467"/>
      <c r="J10" s="467"/>
      <c r="K10" s="1670">
        <f t="shared" si="0"/>
        <v>94779</v>
      </c>
      <c r="L10" s="466">
        <v>99211</v>
      </c>
    </row>
    <row r="11" spans="1:14" x14ac:dyDescent="0.2">
      <c r="A11" s="1503" t="s">
        <v>1130</v>
      </c>
      <c r="B11" s="614" t="s">
        <v>161</v>
      </c>
      <c r="C11" s="467"/>
      <c r="D11" s="467"/>
      <c r="E11" s="467"/>
      <c r="F11" s="467"/>
      <c r="G11" s="467"/>
      <c r="H11" s="467"/>
      <c r="I11" s="467"/>
      <c r="J11" s="467"/>
      <c r="K11" s="1670">
        <f t="shared" si="0"/>
        <v>0</v>
      </c>
      <c r="L11" s="466"/>
    </row>
    <row r="12" spans="1:14" x14ac:dyDescent="0.2">
      <c r="A12" s="1503" t="s">
        <v>962</v>
      </c>
      <c r="B12" s="614">
        <v>1300</v>
      </c>
      <c r="C12" s="466"/>
      <c r="D12" s="466"/>
      <c r="E12" s="466"/>
      <c r="F12" s="466"/>
      <c r="G12" s="466"/>
      <c r="H12" s="466"/>
      <c r="I12" s="467"/>
      <c r="J12" s="467"/>
      <c r="K12" s="1670">
        <f t="shared" si="0"/>
        <v>0</v>
      </c>
      <c r="L12" s="466"/>
    </row>
    <row r="13" spans="1:14" x14ac:dyDescent="0.2">
      <c r="A13" s="1503" t="s">
        <v>723</v>
      </c>
      <c r="B13" s="614">
        <v>1400</v>
      </c>
      <c r="C13" s="466"/>
      <c r="D13" s="466"/>
      <c r="E13" s="466"/>
      <c r="F13" s="466"/>
      <c r="G13" s="466"/>
      <c r="H13" s="466"/>
      <c r="I13" s="467"/>
      <c r="J13" s="467"/>
      <c r="K13" s="1670">
        <f t="shared" si="0"/>
        <v>0</v>
      </c>
      <c r="L13" s="466"/>
    </row>
    <row r="14" spans="1:14" x14ac:dyDescent="0.2">
      <c r="A14" s="1503" t="s">
        <v>963</v>
      </c>
      <c r="B14" s="614">
        <v>1500</v>
      </c>
      <c r="C14" s="466">
        <v>12189</v>
      </c>
      <c r="D14" s="466">
        <v>300</v>
      </c>
      <c r="E14" s="466">
        <v>8453</v>
      </c>
      <c r="F14" s="466">
        <v>7092</v>
      </c>
      <c r="G14" s="466"/>
      <c r="H14" s="466">
        <v>1958</v>
      </c>
      <c r="I14" s="467"/>
      <c r="J14" s="467"/>
      <c r="K14" s="1670">
        <f t="shared" si="0"/>
        <v>29992</v>
      </c>
      <c r="L14" s="466">
        <v>35950</v>
      </c>
    </row>
    <row r="15" spans="1:14" x14ac:dyDescent="0.2">
      <c r="A15" s="1503" t="s">
        <v>964</v>
      </c>
      <c r="B15" s="614">
        <v>1600</v>
      </c>
      <c r="C15" s="466"/>
      <c r="D15" s="466"/>
      <c r="E15" s="466"/>
      <c r="F15" s="466"/>
      <c r="G15" s="466"/>
      <c r="H15" s="466"/>
      <c r="I15" s="467"/>
      <c r="J15" s="467"/>
      <c r="K15" s="1670">
        <f t="shared" si="0"/>
        <v>0</v>
      </c>
      <c r="L15" s="466"/>
    </row>
    <row r="16" spans="1:14" x14ac:dyDescent="0.2">
      <c r="A16" s="1503" t="s">
        <v>987</v>
      </c>
      <c r="B16" s="614" t="s">
        <v>424</v>
      </c>
      <c r="C16" s="466"/>
      <c r="D16" s="466"/>
      <c r="E16" s="466"/>
      <c r="F16" s="466"/>
      <c r="G16" s="466"/>
      <c r="H16" s="466"/>
      <c r="I16" s="467"/>
      <c r="J16" s="467"/>
      <c r="K16" s="1670">
        <f t="shared" si="0"/>
        <v>0</v>
      </c>
      <c r="L16" s="466"/>
    </row>
    <row r="17" spans="1:12" x14ac:dyDescent="0.2">
      <c r="A17" s="1503" t="s">
        <v>724</v>
      </c>
      <c r="B17" s="614" t="s">
        <v>162</v>
      </c>
      <c r="C17" s="467"/>
      <c r="D17" s="467"/>
      <c r="E17" s="467"/>
      <c r="F17" s="467"/>
      <c r="G17" s="467"/>
      <c r="H17" s="467"/>
      <c r="I17" s="467"/>
      <c r="J17" s="467"/>
      <c r="K17" s="1670">
        <f t="shared" si="0"/>
        <v>0</v>
      </c>
      <c r="L17" s="466"/>
    </row>
    <row r="18" spans="1:12" x14ac:dyDescent="0.2">
      <c r="A18" s="1503" t="s">
        <v>1087</v>
      </c>
      <c r="B18" s="614">
        <v>1800</v>
      </c>
      <c r="C18" s="466"/>
      <c r="D18" s="466"/>
      <c r="E18" s="466"/>
      <c r="F18" s="466"/>
      <c r="G18" s="466"/>
      <c r="H18" s="466"/>
      <c r="I18" s="467"/>
      <c r="J18" s="467"/>
      <c r="K18" s="1670">
        <f t="shared" si="0"/>
        <v>0</v>
      </c>
      <c r="L18" s="466"/>
    </row>
    <row r="19" spans="1:12" x14ac:dyDescent="0.2">
      <c r="A19" s="1503" t="s">
        <v>134</v>
      </c>
      <c r="B19" s="614">
        <v>1900</v>
      </c>
      <c r="C19" s="466"/>
      <c r="D19" s="466"/>
      <c r="E19" s="466"/>
      <c r="F19" s="466"/>
      <c r="G19" s="466"/>
      <c r="H19" s="466"/>
      <c r="I19" s="467"/>
      <c r="J19" s="467"/>
      <c r="K19" s="1670">
        <f t="shared" si="0"/>
        <v>0</v>
      </c>
      <c r="L19" s="466"/>
    </row>
    <row r="20" spans="1:12" x14ac:dyDescent="0.2">
      <c r="A20" s="1504" t="s">
        <v>738</v>
      </c>
      <c r="B20" s="602" t="s">
        <v>725</v>
      </c>
      <c r="C20" s="477"/>
      <c r="D20" s="477"/>
      <c r="E20" s="477"/>
      <c r="F20" s="477"/>
      <c r="G20" s="477"/>
      <c r="H20" s="474"/>
      <c r="I20" s="616"/>
      <c r="J20" s="475"/>
      <c r="K20" s="1670">
        <f t="shared" si="0"/>
        <v>0</v>
      </c>
      <c r="L20" s="471"/>
    </row>
    <row r="21" spans="1:12" x14ac:dyDescent="0.2">
      <c r="A21" s="1504" t="s">
        <v>739</v>
      </c>
      <c r="B21" s="602" t="s">
        <v>726</v>
      </c>
      <c r="C21" s="477"/>
      <c r="D21" s="477"/>
      <c r="E21" s="477"/>
      <c r="F21" s="477"/>
      <c r="G21" s="477"/>
      <c r="H21" s="474"/>
      <c r="I21" s="616"/>
      <c r="J21" s="477"/>
      <c r="K21" s="1670">
        <f t="shared" si="0"/>
        <v>0</v>
      </c>
      <c r="L21" s="471"/>
    </row>
    <row r="22" spans="1:12" x14ac:dyDescent="0.2">
      <c r="A22" s="1504" t="s">
        <v>740</v>
      </c>
      <c r="B22" s="602" t="s">
        <v>727</v>
      </c>
      <c r="C22" s="477"/>
      <c r="D22" s="477"/>
      <c r="E22" s="477"/>
      <c r="F22" s="477"/>
      <c r="G22" s="477"/>
      <c r="H22" s="474">
        <v>127645</v>
      </c>
      <c r="I22" s="616"/>
      <c r="J22" s="477"/>
      <c r="K22" s="1670">
        <f t="shared" si="0"/>
        <v>127645</v>
      </c>
      <c r="L22" s="471">
        <v>125000</v>
      </c>
    </row>
    <row r="23" spans="1:12" x14ac:dyDescent="0.2">
      <c r="A23" s="1504" t="s">
        <v>741</v>
      </c>
      <c r="B23" s="602" t="s">
        <v>728</v>
      </c>
      <c r="C23" s="477"/>
      <c r="D23" s="477"/>
      <c r="E23" s="477"/>
      <c r="F23" s="477"/>
      <c r="G23" s="477"/>
      <c r="H23" s="474"/>
      <c r="I23" s="616"/>
      <c r="J23" s="477"/>
      <c r="K23" s="1670">
        <f t="shared" si="0"/>
        <v>0</v>
      </c>
      <c r="L23" s="471"/>
    </row>
    <row r="24" spans="1:12" ht="12.75" customHeight="1" x14ac:dyDescent="0.2">
      <c r="A24" s="1504" t="s">
        <v>742</v>
      </c>
      <c r="B24" s="602" t="s">
        <v>729</v>
      </c>
      <c r="C24" s="477"/>
      <c r="D24" s="477"/>
      <c r="E24" s="477"/>
      <c r="F24" s="477"/>
      <c r="G24" s="477"/>
      <c r="H24" s="474"/>
      <c r="I24" s="616"/>
      <c r="J24" s="477"/>
      <c r="K24" s="1670">
        <f t="shared" si="0"/>
        <v>0</v>
      </c>
      <c r="L24" s="471"/>
    </row>
    <row r="25" spans="1:12" ht="12.75" customHeight="1" x14ac:dyDescent="0.2">
      <c r="A25" s="1504" t="s">
        <v>802</v>
      </c>
      <c r="B25" s="602" t="s">
        <v>730</v>
      </c>
      <c r="C25" s="477"/>
      <c r="D25" s="477"/>
      <c r="E25" s="477"/>
      <c r="F25" s="477"/>
      <c r="G25" s="477"/>
      <c r="H25" s="474"/>
      <c r="I25" s="616"/>
      <c r="J25" s="477"/>
      <c r="K25" s="1670">
        <f t="shared" si="0"/>
        <v>0</v>
      </c>
      <c r="L25" s="471"/>
    </row>
    <row r="26" spans="1:12" x14ac:dyDescent="0.2">
      <c r="A26" s="1504" t="s">
        <v>622</v>
      </c>
      <c r="B26" s="602" t="s">
        <v>731</v>
      </c>
      <c r="C26" s="477"/>
      <c r="D26" s="477"/>
      <c r="E26" s="477"/>
      <c r="F26" s="477"/>
      <c r="G26" s="477"/>
      <c r="H26" s="474"/>
      <c r="I26" s="616"/>
      <c r="J26" s="477"/>
      <c r="K26" s="1670">
        <f t="shared" si="0"/>
        <v>0</v>
      </c>
      <c r="L26" s="471"/>
    </row>
    <row r="27" spans="1:12" x14ac:dyDescent="0.2">
      <c r="A27" s="1504" t="s">
        <v>623</v>
      </c>
      <c r="B27" s="602" t="s">
        <v>732</v>
      </c>
      <c r="C27" s="477"/>
      <c r="D27" s="477"/>
      <c r="E27" s="477"/>
      <c r="F27" s="477"/>
      <c r="G27" s="477"/>
      <c r="H27" s="474"/>
      <c r="I27" s="616"/>
      <c r="J27" s="477"/>
      <c r="K27" s="1670">
        <f t="shared" si="0"/>
        <v>0</v>
      </c>
      <c r="L27" s="471"/>
    </row>
    <row r="28" spans="1:12" x14ac:dyDescent="0.2">
      <c r="A28" s="1504" t="s">
        <v>150</v>
      </c>
      <c r="B28" s="602" t="s">
        <v>733</v>
      </c>
      <c r="C28" s="477"/>
      <c r="D28" s="477"/>
      <c r="E28" s="477"/>
      <c r="F28" s="477"/>
      <c r="G28" s="477"/>
      <c r="H28" s="474"/>
      <c r="I28" s="616"/>
      <c r="J28" s="477"/>
      <c r="K28" s="1670">
        <f t="shared" si="0"/>
        <v>0</v>
      </c>
      <c r="L28" s="471"/>
    </row>
    <row r="29" spans="1:12" x14ac:dyDescent="0.2">
      <c r="A29" s="1504" t="s">
        <v>151</v>
      </c>
      <c r="B29" s="602" t="s">
        <v>734</v>
      </c>
      <c r="C29" s="477"/>
      <c r="D29" s="477"/>
      <c r="E29" s="477"/>
      <c r="F29" s="477"/>
      <c r="G29" s="477"/>
      <c r="H29" s="474"/>
      <c r="I29" s="616"/>
      <c r="J29" s="477"/>
      <c r="K29" s="1670">
        <f t="shared" si="0"/>
        <v>0</v>
      </c>
      <c r="L29" s="471"/>
    </row>
    <row r="30" spans="1:12" x14ac:dyDescent="0.2">
      <c r="A30" s="1504" t="s">
        <v>152</v>
      </c>
      <c r="B30" s="602" t="s">
        <v>735</v>
      </c>
      <c r="C30" s="477"/>
      <c r="D30" s="477"/>
      <c r="E30" s="477"/>
      <c r="F30" s="477"/>
      <c r="G30" s="477"/>
      <c r="H30" s="474"/>
      <c r="I30" s="616"/>
      <c r="J30" s="477"/>
      <c r="K30" s="1670">
        <f t="shared" si="0"/>
        <v>0</v>
      </c>
      <c r="L30" s="471"/>
    </row>
    <row r="31" spans="1:12" x14ac:dyDescent="0.2">
      <c r="A31" s="1504" t="s">
        <v>153</v>
      </c>
      <c r="B31" s="602" t="s">
        <v>736</v>
      </c>
      <c r="C31" s="477"/>
      <c r="D31" s="477"/>
      <c r="E31" s="477"/>
      <c r="F31" s="477"/>
      <c r="G31" s="477"/>
      <c r="H31" s="474"/>
      <c r="I31" s="616"/>
      <c r="J31" s="477"/>
      <c r="K31" s="1670">
        <f t="shared" si="0"/>
        <v>0</v>
      </c>
      <c r="L31" s="471"/>
    </row>
    <row r="32" spans="1:12" x14ac:dyDescent="0.2">
      <c r="A32" s="1505"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1006877</v>
      </c>
      <c r="D33" s="1669">
        <f t="shared" ref="D33:L33" si="1">SUM(D5:D32)</f>
        <v>211444</v>
      </c>
      <c r="E33" s="1669">
        <f t="shared" si="1"/>
        <v>31371</v>
      </c>
      <c r="F33" s="1669">
        <f t="shared" si="1"/>
        <v>53319</v>
      </c>
      <c r="G33" s="1669">
        <f t="shared" si="1"/>
        <v>0</v>
      </c>
      <c r="H33" s="1669">
        <f t="shared" si="1"/>
        <v>131233</v>
      </c>
      <c r="I33" s="1669">
        <f t="shared" si="1"/>
        <v>0</v>
      </c>
      <c r="J33" s="1669">
        <f t="shared" si="1"/>
        <v>0</v>
      </c>
      <c r="K33" s="1669">
        <f t="shared" si="1"/>
        <v>1434244</v>
      </c>
      <c r="L33" s="1669">
        <f t="shared" si="1"/>
        <v>1480873</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v>8501</v>
      </c>
      <c r="D36" s="481">
        <v>1125</v>
      </c>
      <c r="E36" s="481"/>
      <c r="F36" s="481"/>
      <c r="G36" s="481"/>
      <c r="H36" s="481"/>
      <c r="I36" s="467"/>
      <c r="J36" s="467"/>
      <c r="K36" s="1670">
        <f t="shared" ref="K36:K41" si="2">SUM(C36:J36)</f>
        <v>9626</v>
      </c>
      <c r="L36" s="466">
        <v>9627</v>
      </c>
    </row>
    <row r="37" spans="1:14" x14ac:dyDescent="0.2">
      <c r="A37" s="1503" t="s">
        <v>1090</v>
      </c>
      <c r="B37" s="614">
        <v>2120</v>
      </c>
      <c r="C37" s="466">
        <v>34844</v>
      </c>
      <c r="D37" s="466">
        <v>11569</v>
      </c>
      <c r="E37" s="466">
        <v>36</v>
      </c>
      <c r="F37" s="466">
        <v>248</v>
      </c>
      <c r="G37" s="466"/>
      <c r="H37" s="466"/>
      <c r="I37" s="467"/>
      <c r="J37" s="467"/>
      <c r="K37" s="1670">
        <f t="shared" si="2"/>
        <v>46697</v>
      </c>
      <c r="L37" s="466">
        <v>48204</v>
      </c>
    </row>
    <row r="38" spans="1:14" x14ac:dyDescent="0.2">
      <c r="A38" s="1503" t="s">
        <v>198</v>
      </c>
      <c r="B38" s="614">
        <v>2130</v>
      </c>
      <c r="C38" s="466">
        <v>8361</v>
      </c>
      <c r="D38" s="466"/>
      <c r="E38" s="466">
        <v>1615</v>
      </c>
      <c r="F38" s="466">
        <v>10</v>
      </c>
      <c r="G38" s="466"/>
      <c r="H38" s="466"/>
      <c r="I38" s="467"/>
      <c r="J38" s="467"/>
      <c r="K38" s="1670">
        <f t="shared" si="2"/>
        <v>9986</v>
      </c>
      <c r="L38" s="466">
        <v>10790</v>
      </c>
    </row>
    <row r="39" spans="1:14" x14ac:dyDescent="0.2">
      <c r="A39" s="1503" t="s">
        <v>199</v>
      </c>
      <c r="B39" s="614">
        <v>2140</v>
      </c>
      <c r="C39" s="466"/>
      <c r="D39" s="466"/>
      <c r="E39" s="466"/>
      <c r="F39" s="466"/>
      <c r="G39" s="466"/>
      <c r="H39" s="466"/>
      <c r="I39" s="467"/>
      <c r="J39" s="467"/>
      <c r="K39" s="1670">
        <f t="shared" si="2"/>
        <v>0</v>
      </c>
      <c r="L39" s="466"/>
    </row>
    <row r="40" spans="1:14" x14ac:dyDescent="0.2">
      <c r="A40" s="1503" t="s">
        <v>200</v>
      </c>
      <c r="B40" s="614">
        <v>2150</v>
      </c>
      <c r="C40" s="466">
        <v>48118</v>
      </c>
      <c r="D40" s="466">
        <v>12746</v>
      </c>
      <c r="E40" s="466">
        <v>690</v>
      </c>
      <c r="F40" s="466">
        <v>1422</v>
      </c>
      <c r="G40" s="466"/>
      <c r="H40" s="466">
        <v>36</v>
      </c>
      <c r="I40" s="467"/>
      <c r="J40" s="467"/>
      <c r="K40" s="1670">
        <f t="shared" si="2"/>
        <v>63012</v>
      </c>
      <c r="L40" s="466">
        <v>72927</v>
      </c>
    </row>
    <row r="41" spans="1:14" x14ac:dyDescent="0.2">
      <c r="A41" s="1503" t="s">
        <v>1669</v>
      </c>
      <c r="B41" s="614">
        <v>2190</v>
      </c>
      <c r="C41" s="466">
        <v>11327</v>
      </c>
      <c r="D41" s="466">
        <v>656</v>
      </c>
      <c r="E41" s="466">
        <v>4218</v>
      </c>
      <c r="F41" s="466">
        <v>7829</v>
      </c>
      <c r="G41" s="466"/>
      <c r="H41" s="466"/>
      <c r="I41" s="467"/>
      <c r="J41" s="467"/>
      <c r="K41" s="1670">
        <f t="shared" si="2"/>
        <v>24030</v>
      </c>
      <c r="L41" s="466">
        <v>21725</v>
      </c>
    </row>
    <row r="42" spans="1:14" ht="12.75" customHeight="1" thickBot="1" x14ac:dyDescent="0.25">
      <c r="A42" s="1667" t="s">
        <v>560</v>
      </c>
      <c r="B42" s="1668" t="s">
        <v>716</v>
      </c>
      <c r="C42" s="1669">
        <f>SUM(C36:C41)</f>
        <v>111151</v>
      </c>
      <c r="D42" s="1669">
        <f t="shared" ref="D42:L42" si="3">SUM(D36:D41)</f>
        <v>26096</v>
      </c>
      <c r="E42" s="1669">
        <f t="shared" si="3"/>
        <v>6559</v>
      </c>
      <c r="F42" s="1669">
        <f t="shared" si="3"/>
        <v>9509</v>
      </c>
      <c r="G42" s="1669">
        <f t="shared" si="3"/>
        <v>0</v>
      </c>
      <c r="H42" s="1669">
        <f t="shared" si="3"/>
        <v>36</v>
      </c>
      <c r="I42" s="1669">
        <f t="shared" si="3"/>
        <v>0</v>
      </c>
      <c r="J42" s="1669">
        <f t="shared" si="3"/>
        <v>0</v>
      </c>
      <c r="K42" s="1669">
        <f t="shared" si="3"/>
        <v>153351</v>
      </c>
      <c r="L42" s="1669">
        <f t="shared" si="3"/>
        <v>163273</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c r="D44" s="481"/>
      <c r="E44" s="481">
        <v>17265</v>
      </c>
      <c r="F44" s="481"/>
      <c r="G44" s="481"/>
      <c r="H44" s="481"/>
      <c r="I44" s="467"/>
      <c r="J44" s="467"/>
      <c r="K44" s="1671">
        <f>SUM(C44:J44)</f>
        <v>17265</v>
      </c>
      <c r="L44" s="481">
        <v>15516</v>
      </c>
    </row>
    <row r="45" spans="1:14" x14ac:dyDescent="0.2">
      <c r="A45" s="1503" t="s">
        <v>815</v>
      </c>
      <c r="B45" s="614">
        <v>2220</v>
      </c>
      <c r="C45" s="466">
        <v>23375</v>
      </c>
      <c r="D45" s="466">
        <v>6098</v>
      </c>
      <c r="E45" s="466">
        <v>14889</v>
      </c>
      <c r="F45" s="466">
        <v>4822</v>
      </c>
      <c r="G45" s="466">
        <v>25227</v>
      </c>
      <c r="H45" s="466">
        <v>32029</v>
      </c>
      <c r="I45" s="467"/>
      <c r="J45" s="467"/>
      <c r="K45" s="1671">
        <f>SUM(C45:J45)</f>
        <v>106440</v>
      </c>
      <c r="L45" s="466">
        <v>115238</v>
      </c>
    </row>
    <row r="46" spans="1:14" x14ac:dyDescent="0.2">
      <c r="A46" s="1503" t="s">
        <v>816</v>
      </c>
      <c r="B46" s="614">
        <v>2230</v>
      </c>
      <c r="C46" s="466"/>
      <c r="D46" s="466"/>
      <c r="E46" s="466">
        <v>1333</v>
      </c>
      <c r="F46" s="466"/>
      <c r="G46" s="466"/>
      <c r="H46" s="466"/>
      <c r="I46" s="467"/>
      <c r="J46" s="467"/>
      <c r="K46" s="1671">
        <f>SUM(C46:J46)</f>
        <v>1333</v>
      </c>
      <c r="L46" s="466">
        <v>1500</v>
      </c>
    </row>
    <row r="47" spans="1:14" ht="12.75" customHeight="1" thickBot="1" x14ac:dyDescent="0.25">
      <c r="A47" s="1667" t="s">
        <v>561</v>
      </c>
      <c r="B47" s="1668" t="s">
        <v>32</v>
      </c>
      <c r="C47" s="1669">
        <f>SUM(C44:C46)</f>
        <v>23375</v>
      </c>
      <c r="D47" s="1669">
        <f t="shared" ref="D47:K47" si="4">SUM(D44:D46)</f>
        <v>6098</v>
      </c>
      <c r="E47" s="1669">
        <f t="shared" si="4"/>
        <v>33487</v>
      </c>
      <c r="F47" s="1669">
        <f t="shared" si="4"/>
        <v>4822</v>
      </c>
      <c r="G47" s="1669">
        <f t="shared" si="4"/>
        <v>25227</v>
      </c>
      <c r="H47" s="1669">
        <f t="shared" si="4"/>
        <v>32029</v>
      </c>
      <c r="I47" s="1669">
        <f t="shared" si="4"/>
        <v>0</v>
      </c>
      <c r="J47" s="1669">
        <f t="shared" si="4"/>
        <v>0</v>
      </c>
      <c r="K47" s="1669">
        <f t="shared" si="4"/>
        <v>125038</v>
      </c>
      <c r="L47" s="1669">
        <f>SUM(L44:L46)</f>
        <v>132254</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2000</v>
      </c>
      <c r="D49" s="481"/>
      <c r="E49" s="481">
        <v>29378</v>
      </c>
      <c r="F49" s="481">
        <v>3319</v>
      </c>
      <c r="G49" s="481"/>
      <c r="H49" s="481">
        <v>2171</v>
      </c>
      <c r="I49" s="467"/>
      <c r="J49" s="467"/>
      <c r="K49" s="1671">
        <f>SUM(C49:J49)</f>
        <v>36868</v>
      </c>
      <c r="L49" s="481">
        <v>39000</v>
      </c>
    </row>
    <row r="50" spans="1:14" x14ac:dyDescent="0.2">
      <c r="A50" s="1503" t="s">
        <v>818</v>
      </c>
      <c r="B50" s="614">
        <v>2320</v>
      </c>
      <c r="C50" s="466">
        <v>106403</v>
      </c>
      <c r="D50" s="466">
        <v>40752</v>
      </c>
      <c r="E50" s="466">
        <v>4385</v>
      </c>
      <c r="F50" s="466">
        <v>1076</v>
      </c>
      <c r="G50" s="466"/>
      <c r="H50" s="466">
        <v>1725</v>
      </c>
      <c r="I50" s="467"/>
      <c r="J50" s="467"/>
      <c r="K50" s="1671">
        <f>SUM(C50:J50)</f>
        <v>154341</v>
      </c>
      <c r="L50" s="466">
        <v>154288</v>
      </c>
    </row>
    <row r="51" spans="1:14" x14ac:dyDescent="0.2">
      <c r="A51" s="1503" t="s">
        <v>42</v>
      </c>
      <c r="B51" s="614">
        <v>2330</v>
      </c>
      <c r="C51" s="466"/>
      <c r="D51" s="466"/>
      <c r="E51" s="466"/>
      <c r="F51" s="466"/>
      <c r="G51" s="466"/>
      <c r="H51" s="466"/>
      <c r="I51" s="467"/>
      <c r="J51" s="467"/>
      <c r="K51" s="1671">
        <f>SUM(C51:J51)</f>
        <v>0</v>
      </c>
      <c r="L51" s="466"/>
    </row>
    <row r="52" spans="1:14" ht="22.5" x14ac:dyDescent="0.2">
      <c r="A52" s="1504" t="s">
        <v>298</v>
      </c>
      <c r="B52" s="627" t="s">
        <v>366</v>
      </c>
      <c r="C52" s="474"/>
      <c r="D52" s="474"/>
      <c r="E52" s="474"/>
      <c r="F52" s="474"/>
      <c r="G52" s="474"/>
      <c r="H52" s="474"/>
      <c r="I52" s="474"/>
      <c r="J52" s="474"/>
      <c r="K52" s="1671">
        <f>SUM(C52:J52)</f>
        <v>0</v>
      </c>
      <c r="L52" s="474"/>
    </row>
    <row r="53" spans="1:14" ht="12.75" customHeight="1" thickBot="1" x14ac:dyDescent="0.25">
      <c r="A53" s="1667" t="s">
        <v>717</v>
      </c>
      <c r="B53" s="1668" t="s">
        <v>33</v>
      </c>
      <c r="C53" s="1669">
        <f>SUM(C49:C52)</f>
        <v>108403</v>
      </c>
      <c r="D53" s="1669">
        <f t="shared" ref="D53:L53" si="5">SUM(D49:D52)</f>
        <v>40752</v>
      </c>
      <c r="E53" s="1669">
        <f t="shared" si="5"/>
        <v>33763</v>
      </c>
      <c r="F53" s="1669">
        <f t="shared" si="5"/>
        <v>4395</v>
      </c>
      <c r="G53" s="1669">
        <f t="shared" si="5"/>
        <v>0</v>
      </c>
      <c r="H53" s="1669">
        <f t="shared" si="5"/>
        <v>3896</v>
      </c>
      <c r="I53" s="1669">
        <f t="shared" si="5"/>
        <v>0</v>
      </c>
      <c r="J53" s="1669">
        <f t="shared" si="5"/>
        <v>0</v>
      </c>
      <c r="K53" s="1669">
        <f t="shared" si="5"/>
        <v>191209</v>
      </c>
      <c r="L53" s="1669">
        <f t="shared" si="5"/>
        <v>193288</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70723</v>
      </c>
      <c r="D55" s="481">
        <v>8649</v>
      </c>
      <c r="E55" s="481">
        <v>1567</v>
      </c>
      <c r="F55" s="481">
        <v>1147</v>
      </c>
      <c r="G55" s="481"/>
      <c r="H55" s="481">
        <v>4777</v>
      </c>
      <c r="I55" s="467"/>
      <c r="J55" s="467"/>
      <c r="K55" s="1671">
        <f>SUM(C55:J55)</f>
        <v>86863</v>
      </c>
      <c r="L55" s="481">
        <v>88640</v>
      </c>
    </row>
    <row r="56" spans="1:14" ht="12.75" customHeight="1" x14ac:dyDescent="0.2">
      <c r="A56" s="1507"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70723</v>
      </c>
      <c r="D57" s="1673">
        <f t="shared" ref="D57:K57" si="6">SUM(D55:D56)</f>
        <v>8649</v>
      </c>
      <c r="E57" s="1673">
        <f t="shared" si="6"/>
        <v>1567</v>
      </c>
      <c r="F57" s="1673">
        <f t="shared" si="6"/>
        <v>1147</v>
      </c>
      <c r="G57" s="1673">
        <f t="shared" si="6"/>
        <v>0</v>
      </c>
      <c r="H57" s="1673">
        <f t="shared" si="6"/>
        <v>4777</v>
      </c>
      <c r="I57" s="1673">
        <f t="shared" si="6"/>
        <v>0</v>
      </c>
      <c r="J57" s="1673">
        <f t="shared" si="6"/>
        <v>0</v>
      </c>
      <c r="K57" s="1673">
        <f t="shared" si="6"/>
        <v>86863</v>
      </c>
      <c r="L57" s="1669">
        <f>SUM(L55:L56)</f>
        <v>88640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3" t="s">
        <v>463</v>
      </c>
      <c r="B60" s="614">
        <v>2520</v>
      </c>
      <c r="C60" s="466">
        <v>37084</v>
      </c>
      <c r="D60" s="466">
        <v>6396</v>
      </c>
      <c r="E60" s="466">
        <v>5424</v>
      </c>
      <c r="F60" s="466">
        <v>537</v>
      </c>
      <c r="G60" s="466">
        <v>1625</v>
      </c>
      <c r="H60" s="466">
        <v>5644</v>
      </c>
      <c r="I60" s="467"/>
      <c r="J60" s="467"/>
      <c r="K60" s="1671">
        <f t="shared" si="7"/>
        <v>56710</v>
      </c>
      <c r="L60" s="466">
        <v>56113</v>
      </c>
      <c r="M60" s="609"/>
      <c r="N60" s="609"/>
    </row>
    <row r="61" spans="1:14" s="343" customFormat="1" x14ac:dyDescent="0.2">
      <c r="A61" s="1503" t="s">
        <v>197</v>
      </c>
      <c r="B61" s="614">
        <v>2540</v>
      </c>
      <c r="C61" s="466">
        <v>49232</v>
      </c>
      <c r="D61" s="466">
        <v>6391</v>
      </c>
      <c r="E61" s="466"/>
      <c r="F61" s="466"/>
      <c r="G61" s="466"/>
      <c r="H61" s="466"/>
      <c r="I61" s="467"/>
      <c r="J61" s="467"/>
      <c r="K61" s="1671">
        <f t="shared" si="7"/>
        <v>55623</v>
      </c>
      <c r="L61" s="466">
        <v>56544</v>
      </c>
      <c r="M61" s="609"/>
      <c r="N61" s="609"/>
    </row>
    <row r="62" spans="1:14" s="343" customFormat="1" x14ac:dyDescent="0.2">
      <c r="A62" s="1503" t="s">
        <v>953</v>
      </c>
      <c r="B62" s="614">
        <v>2550</v>
      </c>
      <c r="C62" s="466"/>
      <c r="D62" s="466"/>
      <c r="E62" s="466"/>
      <c r="F62" s="466"/>
      <c r="G62" s="466"/>
      <c r="H62" s="466"/>
      <c r="I62" s="467"/>
      <c r="J62" s="467"/>
      <c r="K62" s="1671">
        <f t="shared" si="7"/>
        <v>0</v>
      </c>
      <c r="L62" s="466"/>
      <c r="M62" s="609"/>
      <c r="N62" s="609"/>
    </row>
    <row r="63" spans="1:14" s="609" customFormat="1" x14ac:dyDescent="0.2">
      <c r="A63" s="1503" t="s">
        <v>100</v>
      </c>
      <c r="B63" s="614">
        <v>2560</v>
      </c>
      <c r="C63" s="466">
        <v>42132</v>
      </c>
      <c r="D63" s="466">
        <v>564</v>
      </c>
      <c r="E63" s="466">
        <v>42</v>
      </c>
      <c r="F63" s="466">
        <v>27927</v>
      </c>
      <c r="G63" s="466"/>
      <c r="H63" s="466">
        <v>554</v>
      </c>
      <c r="I63" s="467"/>
      <c r="J63" s="467"/>
      <c r="K63" s="1671">
        <f t="shared" si="7"/>
        <v>71219</v>
      </c>
      <c r="L63" s="466">
        <v>87494</v>
      </c>
    </row>
    <row r="64" spans="1:14" s="609" customFormat="1" x14ac:dyDescent="0.2">
      <c r="A64" s="1508" t="s">
        <v>101</v>
      </c>
      <c r="B64" s="630">
        <v>2570</v>
      </c>
      <c r="C64" s="481"/>
      <c r="D64" s="481"/>
      <c r="E64" s="481">
        <v>9501</v>
      </c>
      <c r="F64" s="481">
        <v>2093</v>
      </c>
      <c r="G64" s="481"/>
      <c r="H64" s="481"/>
      <c r="I64" s="467"/>
      <c r="J64" s="467"/>
      <c r="K64" s="1671">
        <f t="shared" si="7"/>
        <v>11594</v>
      </c>
      <c r="L64" s="481">
        <v>12062</v>
      </c>
    </row>
    <row r="65" spans="1:14" s="343" customFormat="1" ht="12.75" customHeight="1" thickBot="1" x14ac:dyDescent="0.25">
      <c r="A65" s="1667" t="s">
        <v>719</v>
      </c>
      <c r="B65" s="1668" t="s">
        <v>35</v>
      </c>
      <c r="C65" s="1669">
        <f>SUM(C59:C64)</f>
        <v>128448</v>
      </c>
      <c r="D65" s="1669">
        <f t="shared" ref="D65:L65" si="8">SUM(D59:D64)</f>
        <v>13351</v>
      </c>
      <c r="E65" s="1669">
        <f t="shared" si="8"/>
        <v>14967</v>
      </c>
      <c r="F65" s="1669">
        <f t="shared" si="8"/>
        <v>30557</v>
      </c>
      <c r="G65" s="1669">
        <f t="shared" si="8"/>
        <v>1625</v>
      </c>
      <c r="H65" s="1669">
        <f t="shared" si="8"/>
        <v>6198</v>
      </c>
      <c r="I65" s="1669">
        <f t="shared" si="8"/>
        <v>0</v>
      </c>
      <c r="J65" s="1669">
        <f t="shared" si="8"/>
        <v>0</v>
      </c>
      <c r="K65" s="1669">
        <f t="shared" si="8"/>
        <v>195146</v>
      </c>
      <c r="L65" s="1669">
        <f t="shared" si="8"/>
        <v>212213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71">
        <f>SUM(C67:J67)</f>
        <v>0</v>
      </c>
      <c r="L67" s="481"/>
      <c r="M67" s="609"/>
      <c r="N67" s="609"/>
    </row>
    <row r="68" spans="1:14" s="343" customFormat="1" x14ac:dyDescent="0.2">
      <c r="A68" s="1503" t="s">
        <v>607</v>
      </c>
      <c r="B68" s="614">
        <v>2620</v>
      </c>
      <c r="C68" s="466"/>
      <c r="D68" s="466"/>
      <c r="E68" s="466"/>
      <c r="F68" s="466"/>
      <c r="G68" s="466"/>
      <c r="H68" s="466"/>
      <c r="I68" s="467"/>
      <c r="J68" s="467"/>
      <c r="K68" s="1671">
        <f>SUM(C68:J68)</f>
        <v>0</v>
      </c>
      <c r="L68" s="466"/>
      <c r="M68" s="609"/>
      <c r="N68" s="609"/>
    </row>
    <row r="69" spans="1:14" s="343" customFormat="1" x14ac:dyDescent="0.2">
      <c r="A69" s="1503" t="s">
        <v>1061</v>
      </c>
      <c r="B69" s="614">
        <v>2630</v>
      </c>
      <c r="C69" s="466"/>
      <c r="D69" s="466"/>
      <c r="E69" s="466"/>
      <c r="F69" s="466"/>
      <c r="G69" s="466"/>
      <c r="H69" s="466"/>
      <c r="I69" s="467"/>
      <c r="J69" s="467"/>
      <c r="K69" s="1671">
        <f>SUM(C69:J69)</f>
        <v>0</v>
      </c>
      <c r="L69" s="466"/>
      <c r="M69" s="609"/>
      <c r="N69" s="609"/>
    </row>
    <row r="70" spans="1:14" s="343" customFormat="1" x14ac:dyDescent="0.2">
      <c r="A70" s="1503" t="s">
        <v>403</v>
      </c>
      <c r="B70" s="614">
        <v>2640</v>
      </c>
      <c r="C70" s="466"/>
      <c r="D70" s="466"/>
      <c r="E70" s="466">
        <v>20</v>
      </c>
      <c r="F70" s="466"/>
      <c r="G70" s="466"/>
      <c r="H70" s="466"/>
      <c r="I70" s="467"/>
      <c r="J70" s="467"/>
      <c r="K70" s="1671">
        <f>SUM(C70:J70)</f>
        <v>20</v>
      </c>
      <c r="L70" s="466">
        <v>100</v>
      </c>
      <c r="M70" s="609"/>
      <c r="N70" s="609"/>
    </row>
    <row r="71" spans="1:14" s="343" customFormat="1" x14ac:dyDescent="0.2">
      <c r="A71" s="1503" t="s">
        <v>404</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0</v>
      </c>
      <c r="D72" s="1669">
        <f t="shared" ref="D72:K72" si="9">SUM(D67:D71)</f>
        <v>0</v>
      </c>
      <c r="E72" s="1669">
        <f t="shared" si="9"/>
        <v>20</v>
      </c>
      <c r="F72" s="1669">
        <f t="shared" si="9"/>
        <v>0</v>
      </c>
      <c r="G72" s="1669">
        <f t="shared" si="9"/>
        <v>0</v>
      </c>
      <c r="H72" s="1669">
        <f t="shared" si="9"/>
        <v>0</v>
      </c>
      <c r="I72" s="1669">
        <f t="shared" si="9"/>
        <v>0</v>
      </c>
      <c r="J72" s="1669">
        <f t="shared" si="9"/>
        <v>0</v>
      </c>
      <c r="K72" s="1669">
        <f t="shared" si="9"/>
        <v>20</v>
      </c>
      <c r="L72" s="1669">
        <f>SUM(L67:L71)</f>
        <v>100</v>
      </c>
      <c r="M72" s="609"/>
      <c r="N72" s="609"/>
    </row>
    <row r="73" spans="1:14" s="343" customFormat="1" ht="14.25" thickTop="1" thickBot="1" x14ac:dyDescent="0.25">
      <c r="A73" s="1509" t="s">
        <v>980</v>
      </c>
      <c r="B73" s="632" t="s">
        <v>574</v>
      </c>
      <c r="C73" s="573"/>
      <c r="D73" s="573"/>
      <c r="E73" s="573"/>
      <c r="F73" s="573"/>
      <c r="G73" s="573"/>
      <c r="H73" s="573"/>
      <c r="I73" s="531"/>
      <c r="J73" s="531"/>
      <c r="K73" s="1669">
        <f>SUM(C73:J73)</f>
        <v>0</v>
      </c>
      <c r="L73" s="576"/>
      <c r="M73" s="609"/>
      <c r="N73" s="609"/>
    </row>
    <row r="74" spans="1:14" ht="12.75" customHeight="1" thickTop="1" thickBot="1" x14ac:dyDescent="0.25">
      <c r="A74" s="1667" t="s">
        <v>811</v>
      </c>
      <c r="B74" s="1675">
        <v>2000</v>
      </c>
      <c r="C74" s="1676">
        <f>SUM(C42,C47,C53,C57,C65,C72,C73)</f>
        <v>442100</v>
      </c>
      <c r="D74" s="1676">
        <f t="shared" ref="D74:K74" si="10">SUM(D42,D47,D53,D57,D65,D72,D73)</f>
        <v>94946</v>
      </c>
      <c r="E74" s="1676">
        <f t="shared" si="10"/>
        <v>90363</v>
      </c>
      <c r="F74" s="1676">
        <f t="shared" si="10"/>
        <v>50430</v>
      </c>
      <c r="G74" s="1676">
        <f t="shared" si="10"/>
        <v>26852</v>
      </c>
      <c r="H74" s="1676">
        <f t="shared" si="10"/>
        <v>46936</v>
      </c>
      <c r="I74" s="1676">
        <f t="shared" si="10"/>
        <v>0</v>
      </c>
      <c r="J74" s="1676">
        <f t="shared" si="10"/>
        <v>0</v>
      </c>
      <c r="K74" s="1676">
        <f t="shared" si="10"/>
        <v>751627</v>
      </c>
      <c r="L74" s="1676">
        <f>SUM(L42,L47,L53,L57,L65,L72,L73)</f>
        <v>789768</v>
      </c>
    </row>
    <row r="75" spans="1:14" s="259" customFormat="1" ht="15.75" customHeight="1" thickTop="1" thickBot="1" x14ac:dyDescent="0.25">
      <c r="A75" s="1609" t="s">
        <v>47</v>
      </c>
      <c r="B75" s="1610" t="s">
        <v>575</v>
      </c>
      <c r="C75" s="573"/>
      <c r="D75" s="573"/>
      <c r="E75" s="573"/>
      <c r="F75" s="573"/>
      <c r="G75" s="573"/>
      <c r="H75" s="573"/>
      <c r="I75" s="531"/>
      <c r="J75" s="531"/>
      <c r="K75" s="1669">
        <f>SUM(C75:J75)</f>
        <v>0</v>
      </c>
      <c r="L75" s="576"/>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70">
        <f t="shared" ref="K78:K83" si="11">SUM(C78:J78)</f>
        <v>0</v>
      </c>
      <c r="L78" s="481"/>
    </row>
    <row r="79" spans="1:14" x14ac:dyDescent="0.2">
      <c r="A79" s="1503" t="s">
        <v>304</v>
      </c>
      <c r="B79" s="614">
        <v>4120</v>
      </c>
      <c r="C79" s="616"/>
      <c r="D79" s="616"/>
      <c r="E79" s="466">
        <v>67681</v>
      </c>
      <c r="F79" s="616"/>
      <c r="G79" s="616"/>
      <c r="H79" s="466"/>
      <c r="I79" s="477"/>
      <c r="J79" s="477"/>
      <c r="K79" s="1670">
        <f t="shared" si="11"/>
        <v>67681</v>
      </c>
      <c r="L79" s="466">
        <v>65000</v>
      </c>
    </row>
    <row r="80" spans="1:14" x14ac:dyDescent="0.2">
      <c r="A80" s="1503" t="s">
        <v>305</v>
      </c>
      <c r="B80" s="614">
        <v>4130</v>
      </c>
      <c r="C80" s="616"/>
      <c r="D80" s="616"/>
      <c r="E80" s="466"/>
      <c r="F80" s="616"/>
      <c r="G80" s="616"/>
      <c r="H80" s="466"/>
      <c r="I80" s="477"/>
      <c r="J80" s="477"/>
      <c r="K80" s="1670">
        <f t="shared" si="11"/>
        <v>0</v>
      </c>
      <c r="L80" s="466"/>
    </row>
    <row r="81" spans="1:12" x14ac:dyDescent="0.2">
      <c r="A81" s="1503" t="s">
        <v>697</v>
      </c>
      <c r="B81" s="614">
        <v>4140</v>
      </c>
      <c r="C81" s="616"/>
      <c r="D81" s="616"/>
      <c r="E81" s="466"/>
      <c r="F81" s="616"/>
      <c r="G81" s="616"/>
      <c r="H81" s="466"/>
      <c r="I81" s="477"/>
      <c r="J81" s="477"/>
      <c r="K81" s="1670">
        <f t="shared" si="11"/>
        <v>0</v>
      </c>
      <c r="L81" s="466"/>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698</v>
      </c>
      <c r="B83" s="628">
        <v>4190</v>
      </c>
      <c r="C83" s="616"/>
      <c r="D83" s="616"/>
      <c r="E83" s="466"/>
      <c r="F83" s="616"/>
      <c r="G83" s="616"/>
      <c r="H83" s="466">
        <v>2405</v>
      </c>
      <c r="I83" s="477"/>
      <c r="J83" s="477"/>
      <c r="K83" s="1670">
        <f t="shared" si="11"/>
        <v>2405</v>
      </c>
      <c r="L83" s="466">
        <v>4000</v>
      </c>
    </row>
    <row r="84" spans="1:12" ht="13.5" thickBot="1" x14ac:dyDescent="0.25">
      <c r="A84" s="1667" t="s">
        <v>1485</v>
      </c>
      <c r="B84" s="1677">
        <v>4100</v>
      </c>
      <c r="C84" s="616"/>
      <c r="D84" s="616"/>
      <c r="E84" s="1669">
        <f>SUM(E78:E83)</f>
        <v>67681</v>
      </c>
      <c r="F84" s="616"/>
      <c r="G84" s="616"/>
      <c r="H84" s="1669">
        <f>SUM(H78:H83)</f>
        <v>2405</v>
      </c>
      <c r="I84" s="477"/>
      <c r="J84" s="477"/>
      <c r="K84" s="1669">
        <f>SUM(K78:K83)</f>
        <v>70086</v>
      </c>
      <c r="L84" s="1669">
        <f>SUM(L78:L83)</f>
        <v>69000</v>
      </c>
    </row>
    <row r="85" spans="1:12" ht="12.75" customHeight="1" thickTop="1" thickBot="1" x14ac:dyDescent="0.25">
      <c r="A85" s="1510" t="s">
        <v>255</v>
      </c>
      <c r="B85" s="635">
        <v>4210</v>
      </c>
      <c r="C85" s="616"/>
      <c r="D85" s="616"/>
      <c r="E85" s="636"/>
      <c r="F85" s="616"/>
      <c r="G85" s="616"/>
      <c r="H85" s="535"/>
      <c r="I85" s="477"/>
      <c r="J85" s="477"/>
      <c r="K85" s="1676">
        <f>H85</f>
        <v>0</v>
      </c>
      <c r="L85" s="530"/>
    </row>
    <row r="86" spans="1:12" ht="12.75" customHeight="1" thickTop="1" thickBot="1" x14ac:dyDescent="0.25">
      <c r="A86" s="1511" t="s">
        <v>699</v>
      </c>
      <c r="B86" s="637">
        <v>4220</v>
      </c>
      <c r="C86" s="616"/>
      <c r="D86" s="616"/>
      <c r="E86" s="638"/>
      <c r="F86" s="616"/>
      <c r="G86" s="616"/>
      <c r="H86" s="467">
        <v>19162</v>
      </c>
      <c r="I86" s="477"/>
      <c r="J86" s="477"/>
      <c r="K86" s="1676">
        <f t="shared" ref="K86:K98" si="12">H86</f>
        <v>19162</v>
      </c>
      <c r="L86" s="530">
        <v>25000</v>
      </c>
    </row>
    <row r="87" spans="1:12" ht="14.25" thickTop="1" thickBot="1" x14ac:dyDescent="0.25">
      <c r="A87" s="1512" t="s">
        <v>700</v>
      </c>
      <c r="B87" s="639">
        <v>4230</v>
      </c>
      <c r="C87" s="616"/>
      <c r="D87" s="616"/>
      <c r="E87" s="638"/>
      <c r="F87" s="616"/>
      <c r="G87" s="616"/>
      <c r="H87" s="467"/>
      <c r="I87" s="477"/>
      <c r="J87" s="477"/>
      <c r="K87" s="1676">
        <f t="shared" si="12"/>
        <v>0</v>
      </c>
      <c r="L87" s="530"/>
    </row>
    <row r="88" spans="1:12" ht="12.75" customHeight="1" thickTop="1" thickBot="1" x14ac:dyDescent="0.25">
      <c r="A88" s="1512" t="s">
        <v>765</v>
      </c>
      <c r="B88" s="639">
        <v>4240</v>
      </c>
      <c r="C88" s="616"/>
      <c r="D88" s="616"/>
      <c r="E88" s="638"/>
      <c r="F88" s="616"/>
      <c r="G88" s="616"/>
      <c r="H88" s="467"/>
      <c r="I88" s="477"/>
      <c r="J88" s="477"/>
      <c r="K88" s="1676">
        <f t="shared" si="12"/>
        <v>0</v>
      </c>
      <c r="L88" s="530"/>
    </row>
    <row r="89" spans="1:12" ht="12.75" customHeight="1" thickTop="1" thickBot="1" x14ac:dyDescent="0.25">
      <c r="A89" s="1512" t="s">
        <v>701</v>
      </c>
      <c r="B89" s="639">
        <v>4270</v>
      </c>
      <c r="C89" s="616"/>
      <c r="D89" s="616"/>
      <c r="E89" s="638"/>
      <c r="F89" s="616"/>
      <c r="G89" s="616"/>
      <c r="H89" s="467"/>
      <c r="I89" s="477"/>
      <c r="J89" s="477"/>
      <c r="K89" s="1676">
        <f t="shared" si="12"/>
        <v>0</v>
      </c>
      <c r="L89" s="530"/>
    </row>
    <row r="90" spans="1:12" ht="12.75" customHeight="1" thickTop="1" thickBot="1" x14ac:dyDescent="0.25">
      <c r="A90" s="1512" t="s">
        <v>686</v>
      </c>
      <c r="B90" s="639">
        <v>4280</v>
      </c>
      <c r="C90" s="616"/>
      <c r="D90" s="616"/>
      <c r="E90" s="638"/>
      <c r="F90" s="616"/>
      <c r="G90" s="616"/>
      <c r="H90" s="467"/>
      <c r="I90" s="477"/>
      <c r="J90" s="477"/>
      <c r="K90" s="1676">
        <f t="shared" si="12"/>
        <v>0</v>
      </c>
      <c r="L90" s="530"/>
    </row>
    <row r="91" spans="1:12" ht="12.75" customHeight="1" thickTop="1" thickBot="1" x14ac:dyDescent="0.25">
      <c r="A91" s="1512"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19162</v>
      </c>
      <c r="I92" s="477"/>
      <c r="J92" s="477"/>
      <c r="K92" s="1676">
        <f t="shared" si="12"/>
        <v>19162</v>
      </c>
      <c r="L92" s="1669">
        <f>SUM(L85:L91)</f>
        <v>25000</v>
      </c>
    </row>
    <row r="93" spans="1:12" ht="14.25" thickTop="1" thickBot="1" x14ac:dyDescent="0.25">
      <c r="A93" s="1511" t="s">
        <v>688</v>
      </c>
      <c r="B93" s="640">
        <v>4310</v>
      </c>
      <c r="C93" s="616"/>
      <c r="D93" s="616"/>
      <c r="E93" s="638"/>
      <c r="F93" s="616"/>
      <c r="G93" s="616"/>
      <c r="H93" s="641"/>
      <c r="I93" s="477"/>
      <c r="J93" s="477"/>
      <c r="K93" s="1676">
        <f t="shared" si="12"/>
        <v>0</v>
      </c>
      <c r="L93" s="532"/>
    </row>
    <row r="94" spans="1:12" ht="12.75" customHeight="1" thickTop="1" thickBot="1" x14ac:dyDescent="0.25">
      <c r="A94" s="1512" t="s">
        <v>689</v>
      </c>
      <c r="B94" s="639">
        <v>4320</v>
      </c>
      <c r="C94" s="616"/>
      <c r="D94" s="616"/>
      <c r="E94" s="638"/>
      <c r="F94" s="616"/>
      <c r="G94" s="616"/>
      <c r="H94" s="467"/>
      <c r="I94" s="477"/>
      <c r="J94" s="477"/>
      <c r="K94" s="1676">
        <f t="shared" si="12"/>
        <v>0</v>
      </c>
      <c r="L94" s="530"/>
    </row>
    <row r="95" spans="1:12" ht="15" customHeight="1" thickTop="1" thickBot="1" x14ac:dyDescent="0.25">
      <c r="A95" s="1512" t="s">
        <v>1488</v>
      </c>
      <c r="B95" s="639">
        <v>4330</v>
      </c>
      <c r="C95" s="616"/>
      <c r="D95" s="616"/>
      <c r="E95" s="638"/>
      <c r="F95" s="616"/>
      <c r="G95" s="616"/>
      <c r="H95" s="467"/>
      <c r="I95" s="477"/>
      <c r="J95" s="477"/>
      <c r="K95" s="1676">
        <f t="shared" si="12"/>
        <v>0</v>
      </c>
      <c r="L95" s="530"/>
    </row>
    <row r="96" spans="1:12" ht="14.25" thickTop="1" thickBot="1" x14ac:dyDescent="0.25">
      <c r="A96" s="1512" t="s">
        <v>690</v>
      </c>
      <c r="B96" s="639">
        <v>4340</v>
      </c>
      <c r="C96" s="616"/>
      <c r="D96" s="616"/>
      <c r="E96" s="638"/>
      <c r="F96" s="616"/>
      <c r="G96" s="616"/>
      <c r="H96" s="467"/>
      <c r="I96" s="477"/>
      <c r="J96" s="477"/>
      <c r="K96" s="1676">
        <f t="shared" si="12"/>
        <v>0</v>
      </c>
      <c r="L96" s="530"/>
    </row>
    <row r="97" spans="1:14" ht="12.75" customHeight="1" thickTop="1" thickBot="1" x14ac:dyDescent="0.25">
      <c r="A97" s="1512" t="s">
        <v>763</v>
      </c>
      <c r="B97" s="639">
        <v>4370</v>
      </c>
      <c r="C97" s="616"/>
      <c r="D97" s="616"/>
      <c r="E97" s="638"/>
      <c r="F97" s="616"/>
      <c r="G97" s="616"/>
      <c r="H97" s="467"/>
      <c r="I97" s="477"/>
      <c r="J97" s="477"/>
      <c r="K97" s="1676">
        <f t="shared" si="12"/>
        <v>0</v>
      </c>
      <c r="L97" s="530"/>
    </row>
    <row r="98" spans="1:14" ht="14.25" thickTop="1" thickBot="1" x14ac:dyDescent="0.25">
      <c r="A98" s="1512" t="s">
        <v>764</v>
      </c>
      <c r="B98" s="639">
        <v>4380</v>
      </c>
      <c r="C98" s="616"/>
      <c r="D98" s="616"/>
      <c r="E98" s="642"/>
      <c r="F98" s="616"/>
      <c r="G98" s="616"/>
      <c r="H98" s="467"/>
      <c r="I98" s="477"/>
      <c r="J98" s="477"/>
      <c r="K98" s="1676">
        <f t="shared" si="12"/>
        <v>0</v>
      </c>
      <c r="L98" s="530"/>
    </row>
    <row r="99" spans="1:14" ht="14.25" thickTop="1" thickBot="1" x14ac:dyDescent="0.25">
      <c r="A99" s="1512"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67681</v>
      </c>
      <c r="F102" s="616"/>
      <c r="G102" s="616"/>
      <c r="H102" s="1676">
        <f>SUM(H84,H92,H100,H101)</f>
        <v>21567</v>
      </c>
      <c r="I102" s="477"/>
      <c r="J102" s="477"/>
      <c r="K102" s="1676">
        <f>SUM(K84,K92,K100,K101)</f>
        <v>89248</v>
      </c>
      <c r="L102" s="1676">
        <f>SUM(L84,L92,L100,L101)</f>
        <v>94000</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1170</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589</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1448977</v>
      </c>
      <c r="D114" s="1669">
        <f t="shared" ref="D114:K114" si="13">SUM(D33,D74,D75,D102,D112,D113)</f>
        <v>306390</v>
      </c>
      <c r="E114" s="1669">
        <f t="shared" si="13"/>
        <v>189415</v>
      </c>
      <c r="F114" s="1669">
        <f t="shared" si="13"/>
        <v>103749</v>
      </c>
      <c r="G114" s="1669">
        <f t="shared" si="13"/>
        <v>26852</v>
      </c>
      <c r="H114" s="1669">
        <f>SUM(H33,H74,H75,H102,H112,H113)</f>
        <v>199736</v>
      </c>
      <c r="I114" s="1669">
        <f t="shared" si="13"/>
        <v>0</v>
      </c>
      <c r="J114" s="1669">
        <f t="shared" si="13"/>
        <v>0</v>
      </c>
      <c r="K114" s="1669">
        <f t="shared" si="13"/>
        <v>2275119</v>
      </c>
      <c r="L114" s="1669">
        <f>SUM(L33,L74,L75,L102,L112,L113)</f>
        <v>2364641</v>
      </c>
    </row>
    <row r="115" spans="1:14" ht="13.5" thickTop="1" x14ac:dyDescent="0.2">
      <c r="A115" s="2198" t="s">
        <v>996</v>
      </c>
      <c r="B115" s="2199"/>
      <c r="C115" s="618"/>
      <c r="D115" s="618"/>
      <c r="E115" s="618"/>
      <c r="F115" s="618"/>
      <c r="G115" s="618"/>
      <c r="H115" s="618"/>
      <c r="I115" s="618"/>
      <c r="J115" s="618"/>
      <c r="K115" s="1683">
        <f>'Revenues 9-14'!C268-'Expenditures 15-22'!K114</f>
        <v>213275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6" t="s">
        <v>296</v>
      </c>
      <c r="B117" s="2177"/>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2060</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9">
        <f>SUM(C122:J122)</f>
        <v>0</v>
      </c>
      <c r="L122" s="466"/>
    </row>
    <row r="123" spans="1:14" ht="14.25" thickTop="1" thickBot="1" x14ac:dyDescent="0.25">
      <c r="A123" s="1503" t="s">
        <v>4</v>
      </c>
      <c r="B123" s="614">
        <v>2530</v>
      </c>
      <c r="C123" s="466"/>
      <c r="D123" s="466"/>
      <c r="E123" s="466"/>
      <c r="F123" s="466"/>
      <c r="G123" s="466"/>
      <c r="H123" s="466">
        <v>1339</v>
      </c>
      <c r="I123" s="467"/>
      <c r="J123" s="467"/>
      <c r="K123" s="1669">
        <f>SUM(C123:J123)</f>
        <v>1339</v>
      </c>
      <c r="L123" s="466">
        <v>1339</v>
      </c>
    </row>
    <row r="124" spans="1:14" ht="14.25" thickTop="1" thickBot="1" x14ac:dyDescent="0.25">
      <c r="A124" s="1503" t="s">
        <v>197</v>
      </c>
      <c r="B124" s="614">
        <v>2540</v>
      </c>
      <c r="C124" s="466">
        <v>41998</v>
      </c>
      <c r="D124" s="466">
        <v>766</v>
      </c>
      <c r="E124" s="466">
        <v>56361</v>
      </c>
      <c r="F124" s="466">
        <v>79674</v>
      </c>
      <c r="G124" s="466">
        <v>60005</v>
      </c>
      <c r="H124" s="466"/>
      <c r="I124" s="467"/>
      <c r="J124" s="467"/>
      <c r="K124" s="1669">
        <f>SUM(C124:J124)</f>
        <v>238804</v>
      </c>
      <c r="L124" s="466">
        <v>236296</v>
      </c>
    </row>
    <row r="125" spans="1:14" ht="14.25" thickTop="1" thickBot="1" x14ac:dyDescent="0.25">
      <c r="A125" s="1503" t="s">
        <v>953</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41998</v>
      </c>
      <c r="D127" s="1669">
        <f t="shared" ref="D127:L127" si="14">SUM(D122:D126)</f>
        <v>766</v>
      </c>
      <c r="E127" s="1669">
        <f t="shared" si="14"/>
        <v>56361</v>
      </c>
      <c r="F127" s="1669">
        <f t="shared" si="14"/>
        <v>79674</v>
      </c>
      <c r="G127" s="1669">
        <f t="shared" si="14"/>
        <v>60005</v>
      </c>
      <c r="H127" s="1669">
        <f t="shared" si="14"/>
        <v>1339</v>
      </c>
      <c r="I127" s="1669">
        <f t="shared" si="14"/>
        <v>0</v>
      </c>
      <c r="J127" s="1669">
        <f t="shared" si="14"/>
        <v>0</v>
      </c>
      <c r="K127" s="1669">
        <f t="shared" si="14"/>
        <v>240143</v>
      </c>
      <c r="L127" s="1669">
        <f t="shared" si="14"/>
        <v>237635</v>
      </c>
    </row>
    <row r="128" spans="1:14" ht="12.75" customHeight="1" thickTop="1" x14ac:dyDescent="0.2">
      <c r="A128" s="1510"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41998</v>
      </c>
      <c r="D129" s="1676">
        <f t="shared" ref="D129:L129" si="15">SUM(D120,D127,D128)</f>
        <v>766</v>
      </c>
      <c r="E129" s="1676">
        <f t="shared" si="15"/>
        <v>56361</v>
      </c>
      <c r="F129" s="1676">
        <f t="shared" si="15"/>
        <v>79674</v>
      </c>
      <c r="G129" s="1676">
        <f t="shared" si="15"/>
        <v>60005</v>
      </c>
      <c r="H129" s="1676">
        <f t="shared" si="15"/>
        <v>1339</v>
      </c>
      <c r="I129" s="1676">
        <f t="shared" si="15"/>
        <v>0</v>
      </c>
      <c r="J129" s="1676">
        <f t="shared" si="15"/>
        <v>0</v>
      </c>
      <c r="K129" s="1676">
        <f t="shared" si="15"/>
        <v>240143</v>
      </c>
      <c r="L129" s="1676">
        <f t="shared" si="15"/>
        <v>237635</v>
      </c>
    </row>
    <row r="130" spans="1:14" ht="15.75" customHeight="1" thickTop="1" thickBot="1" x14ac:dyDescent="0.25">
      <c r="A130" s="1609" t="s">
        <v>1036</v>
      </c>
      <c r="B130" s="1610" t="s">
        <v>575</v>
      </c>
      <c r="C130" s="576"/>
      <c r="D130" s="576"/>
      <c r="E130" s="576"/>
      <c r="F130" s="576"/>
      <c r="G130" s="576"/>
      <c r="H130" s="576"/>
      <c r="I130" s="531"/>
      <c r="J130" s="531"/>
      <c r="K130" s="1669">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1845</v>
      </c>
      <c r="C133" s="468"/>
      <c r="D133" s="468"/>
      <c r="E133" s="641"/>
      <c r="F133" s="468"/>
      <c r="G133" s="468"/>
      <c r="H133" s="641"/>
      <c r="I133" s="468"/>
      <c r="J133" s="468"/>
      <c r="K133" s="1820">
        <f>SUM(E133,H133)</f>
        <v>0</v>
      </c>
      <c r="L133" s="641"/>
      <c r="M133" s="206"/>
      <c r="N133" s="206"/>
    </row>
    <row r="134" spans="1:14" x14ac:dyDescent="0.2">
      <c r="A134" s="1503" t="s">
        <v>304</v>
      </c>
      <c r="B134" s="614">
        <v>4120</v>
      </c>
      <c r="C134" s="616"/>
      <c r="D134" s="616"/>
      <c r="E134" s="478"/>
      <c r="F134" s="616"/>
      <c r="G134" s="616"/>
      <c r="H134" s="481"/>
      <c r="I134" s="477"/>
      <c r="J134" s="616"/>
      <c r="K134" s="1671">
        <f>SUM(E134,H134)</f>
        <v>0</v>
      </c>
      <c r="L134" s="481"/>
    </row>
    <row r="135" spans="1:14" x14ac:dyDescent="0.2">
      <c r="A135" s="1503" t="s">
        <v>697</v>
      </c>
      <c r="B135" s="614">
        <v>4140</v>
      </c>
      <c r="C135" s="616"/>
      <c r="D135" s="616"/>
      <c r="E135" s="467"/>
      <c r="F135" s="616"/>
      <c r="G135" s="616"/>
      <c r="H135" s="466"/>
      <c r="I135" s="477"/>
      <c r="J135" s="616"/>
      <c r="K135" s="1671">
        <f>SUM(E135,H135)</f>
        <v>0</v>
      </c>
      <c r="L135" s="466"/>
    </row>
    <row r="136" spans="1:14" x14ac:dyDescent="0.2">
      <c r="A136" s="1507"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1170</v>
      </c>
      <c r="B144" s="628" t="s">
        <v>617</v>
      </c>
      <c r="C144" s="616"/>
      <c r="D144" s="616"/>
      <c r="E144" s="616"/>
      <c r="F144" s="616"/>
      <c r="G144" s="616"/>
      <c r="H144" s="466"/>
      <c r="I144" s="468"/>
      <c r="J144" s="616"/>
      <c r="K144" s="1671">
        <f>SUM(H144)</f>
        <v>0</v>
      </c>
      <c r="L144" s="466"/>
    </row>
    <row r="145" spans="1:14" x14ac:dyDescent="0.2">
      <c r="A145" s="1503" t="s">
        <v>89</v>
      </c>
      <c r="B145" s="614" t="s">
        <v>589</v>
      </c>
      <c r="C145" s="616"/>
      <c r="D145" s="616"/>
      <c r="E145" s="616"/>
      <c r="F145" s="616"/>
      <c r="G145" s="616"/>
      <c r="H145" s="466"/>
      <c r="I145" s="468"/>
      <c r="J145" s="616"/>
      <c r="K145" s="1671">
        <f>SUM(H145)</f>
        <v>0</v>
      </c>
      <c r="L145" s="466"/>
    </row>
    <row r="146" spans="1:14" ht="12.75" customHeight="1" x14ac:dyDescent="0.2">
      <c r="A146" s="1503" t="s">
        <v>619</v>
      </c>
      <c r="B146" s="614" t="s">
        <v>618</v>
      </c>
      <c r="C146" s="616"/>
      <c r="D146" s="616"/>
      <c r="E146" s="616"/>
      <c r="F146" s="616"/>
      <c r="G146" s="616"/>
      <c r="H146" s="466"/>
      <c r="I146" s="468"/>
      <c r="J146" s="616"/>
      <c r="K146" s="1671">
        <f>SUM(H146)</f>
        <v>0</v>
      </c>
      <c r="L146" s="466"/>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88" t="s">
        <v>620</v>
      </c>
      <c r="B151" s="2170"/>
      <c r="C151" s="1669">
        <f>SUM(C129,C130,C139,C149,C150)</f>
        <v>41998</v>
      </c>
      <c r="D151" s="1669">
        <f t="shared" ref="D151:K151" si="16">SUM(D129,D130,D139,D149,D150)</f>
        <v>766</v>
      </c>
      <c r="E151" s="1669">
        <f t="shared" si="16"/>
        <v>56361</v>
      </c>
      <c r="F151" s="1669">
        <f t="shared" si="16"/>
        <v>79674</v>
      </c>
      <c r="G151" s="1669">
        <f t="shared" si="16"/>
        <v>60005</v>
      </c>
      <c r="H151" s="1669">
        <f t="shared" si="16"/>
        <v>1339</v>
      </c>
      <c r="I151" s="1669">
        <f t="shared" si="16"/>
        <v>0</v>
      </c>
      <c r="J151" s="1669">
        <f t="shared" si="16"/>
        <v>0</v>
      </c>
      <c r="K151" s="1669">
        <f t="shared" si="16"/>
        <v>240143</v>
      </c>
      <c r="L151" s="1669">
        <f>SUM(L129,L130,L139,L149,L150)</f>
        <v>237635</v>
      </c>
    </row>
    <row r="152" spans="1:14" ht="12.75" customHeight="1" thickTop="1" x14ac:dyDescent="0.2">
      <c r="A152" s="2191" t="s">
        <v>1178</v>
      </c>
      <c r="B152" s="2192"/>
      <c r="C152" s="618"/>
      <c r="D152" s="618"/>
      <c r="E152" s="618"/>
      <c r="F152" s="618"/>
      <c r="G152" s="618"/>
      <c r="H152" s="618"/>
      <c r="I152" s="618"/>
      <c r="J152" s="616"/>
      <c r="K152" s="1683">
        <f>'Revenues 9-14'!D268-'Expenditures 15-22'!K151</f>
        <v>-33102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6" t="s">
        <v>621</v>
      </c>
      <c r="B154" s="2178"/>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1846</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1845</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1847</v>
      </c>
      <c r="C158" s="616"/>
      <c r="D158" s="616"/>
      <c r="E158" s="616"/>
      <c r="F158" s="616"/>
      <c r="G158" s="616"/>
      <c r="H158" s="467"/>
      <c r="I158" s="616"/>
      <c r="J158" s="616"/>
      <c r="K158" s="1670">
        <f>H158</f>
        <v>0</v>
      </c>
      <c r="L158" s="467"/>
      <c r="M158" s="619"/>
      <c r="N158" s="619"/>
    </row>
    <row r="159" spans="1:14" s="620" customFormat="1" ht="12" x14ac:dyDescent="0.2">
      <c r="A159" s="1825" t="s">
        <v>1848</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1849</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1170</v>
      </c>
      <c r="B165" s="614" t="s">
        <v>617</v>
      </c>
      <c r="C165" s="616"/>
      <c r="D165" s="616"/>
      <c r="E165" s="616"/>
      <c r="F165" s="616"/>
      <c r="G165" s="616"/>
      <c r="H165" s="466"/>
      <c r="I165" s="616"/>
      <c r="J165" s="616"/>
      <c r="K165" s="1670">
        <f>SUM(C165:J165)</f>
        <v>0</v>
      </c>
      <c r="L165" s="466"/>
    </row>
    <row r="166" spans="1:14" x14ac:dyDescent="0.2">
      <c r="A166" s="1503" t="s">
        <v>89</v>
      </c>
      <c r="B166" s="628" t="s">
        <v>589</v>
      </c>
      <c r="C166" s="616"/>
      <c r="D166" s="616"/>
      <c r="E166" s="616"/>
      <c r="F166" s="616"/>
      <c r="G166" s="616"/>
      <c r="H166" s="466"/>
      <c r="I166" s="616"/>
      <c r="J166" s="616"/>
      <c r="K166" s="1670">
        <f>SUM(C166:J166)</f>
        <v>0</v>
      </c>
      <c r="L166" s="466"/>
    </row>
    <row r="167" spans="1:14" ht="12.75" customHeight="1" x14ac:dyDescent="0.2">
      <c r="A167" s="1503"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62948</v>
      </c>
      <c r="I169" s="616"/>
      <c r="J169" s="616"/>
      <c r="K169" s="1670">
        <f>SUM(C169:H169)</f>
        <v>62948</v>
      </c>
      <c r="L169" s="656">
        <v>62948</v>
      </c>
    </row>
    <row r="170" spans="1:14" ht="33.75" customHeight="1" x14ac:dyDescent="0.2">
      <c r="A170" s="669" t="s">
        <v>1670</v>
      </c>
      <c r="B170" s="671" t="s">
        <v>31</v>
      </c>
      <c r="C170" s="616"/>
      <c r="D170" s="616"/>
      <c r="E170" s="616"/>
      <c r="F170" s="616"/>
      <c r="G170" s="616"/>
      <c r="H170" s="569">
        <v>70000</v>
      </c>
      <c r="I170" s="616"/>
      <c r="J170" s="616"/>
      <c r="K170" s="1670">
        <f>SUM(C170:J170)</f>
        <v>70000</v>
      </c>
      <c r="L170" s="569">
        <v>70000</v>
      </c>
    </row>
    <row r="171" spans="1:14" ht="15.75" customHeight="1" x14ac:dyDescent="0.2">
      <c r="A171" s="621" t="s">
        <v>766</v>
      </c>
      <c r="B171" s="672" t="s">
        <v>84</v>
      </c>
      <c r="C171" s="616"/>
      <c r="D171" s="616"/>
      <c r="E171" s="466"/>
      <c r="F171" s="616"/>
      <c r="G171" s="616"/>
      <c r="H171" s="569">
        <v>900</v>
      </c>
      <c r="I171" s="477"/>
      <c r="J171" s="616"/>
      <c r="K171" s="1670">
        <f>SUM(C171:J171)</f>
        <v>900</v>
      </c>
      <c r="L171" s="569">
        <v>900</v>
      </c>
    </row>
    <row r="172" spans="1:14" ht="12.75" customHeight="1" thickBot="1" x14ac:dyDescent="0.25">
      <c r="A172" s="1667" t="s">
        <v>638</v>
      </c>
      <c r="B172" s="1668" t="s">
        <v>492</v>
      </c>
      <c r="C172" s="616"/>
      <c r="D172" s="616"/>
      <c r="E172" s="1676">
        <f>SUM(E168,E169,E170,E171)</f>
        <v>0</v>
      </c>
      <c r="F172" s="616"/>
      <c r="G172" s="616"/>
      <c r="H172" s="1676">
        <f>SUM(H168,H169,H170,H171)</f>
        <v>133848</v>
      </c>
      <c r="I172" s="638"/>
      <c r="J172" s="616"/>
      <c r="K172" s="1676">
        <f>SUM(K168,K169,K170,K171)</f>
        <v>133848</v>
      </c>
      <c r="L172" s="1676">
        <f>SUM(L168,L169,L170,L171)</f>
        <v>133848</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133848</v>
      </c>
      <c r="I174" s="638"/>
      <c r="J174" s="616"/>
      <c r="K174" s="1676">
        <f>SUM(K160,K172,K173)</f>
        <v>133848</v>
      </c>
      <c r="L174" s="1676">
        <f>SUM(L160,L172,L173)</f>
        <v>133848</v>
      </c>
    </row>
    <row r="175" spans="1:14" ht="13.5" thickTop="1" x14ac:dyDescent="0.2">
      <c r="A175" s="2198" t="s">
        <v>996</v>
      </c>
      <c r="B175" s="2199"/>
      <c r="C175" s="616"/>
      <c r="D175" s="616"/>
      <c r="E175" s="616"/>
      <c r="F175" s="616"/>
      <c r="G175" s="616"/>
      <c r="H175" s="618"/>
      <c r="I175" s="616"/>
      <c r="J175" s="616"/>
      <c r="K175" s="1683">
        <f>'Revenues 9-14'!E268-'Expenditures 15-22'!K174</f>
        <v>-13220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2060</v>
      </c>
      <c r="B180" s="614" t="s">
        <v>716</v>
      </c>
      <c r="C180" s="466"/>
      <c r="D180" s="466"/>
      <c r="E180" s="466">
        <v>15974</v>
      </c>
      <c r="F180" s="466"/>
      <c r="G180" s="466"/>
      <c r="H180" s="466"/>
      <c r="I180" s="467"/>
      <c r="J180" s="467"/>
      <c r="K180" s="1670">
        <f>SUM(C180:J180)</f>
        <v>15974</v>
      </c>
      <c r="L180" s="466">
        <v>16000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5250</v>
      </c>
      <c r="D182" s="466">
        <v>2410</v>
      </c>
      <c r="E182" s="466">
        <v>261395</v>
      </c>
      <c r="F182" s="466">
        <v>21677</v>
      </c>
      <c r="G182" s="466"/>
      <c r="H182" s="466"/>
      <c r="I182" s="467"/>
      <c r="J182" s="467"/>
      <c r="K182" s="1670">
        <f>SUM(C182:J182)</f>
        <v>290732</v>
      </c>
      <c r="L182" s="466">
        <v>302386</v>
      </c>
    </row>
    <row r="183" spans="1:14" ht="12.75" customHeight="1" thickBot="1" x14ac:dyDescent="0.25">
      <c r="A183" s="1508"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5250</v>
      </c>
      <c r="D184" s="1676">
        <f t="shared" ref="D184:J184" si="17">SUM(D180,D182,D183)</f>
        <v>2410</v>
      </c>
      <c r="E184" s="1676">
        <f t="shared" si="17"/>
        <v>277369</v>
      </c>
      <c r="F184" s="1676">
        <f t="shared" si="17"/>
        <v>21677</v>
      </c>
      <c r="G184" s="1676">
        <f t="shared" si="17"/>
        <v>0</v>
      </c>
      <c r="H184" s="1676">
        <f t="shared" si="17"/>
        <v>0</v>
      </c>
      <c r="I184" s="1676">
        <f t="shared" si="17"/>
        <v>0</v>
      </c>
      <c r="J184" s="1676">
        <f t="shared" si="17"/>
        <v>0</v>
      </c>
      <c r="K184" s="1676">
        <f>SUM(K180,K182,K183)</f>
        <v>306706</v>
      </c>
      <c r="L184" s="1676">
        <f>SUM(L180, L182:L183)</f>
        <v>318386</v>
      </c>
    </row>
    <row r="185" spans="1:14" ht="15.75" customHeight="1" thickTop="1" thickBot="1" x14ac:dyDescent="0.25">
      <c r="A185" s="1621" t="s">
        <v>939</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70">
        <f t="shared" ref="K188:K193" si="18">SUM(E188,H188)</f>
        <v>0</v>
      </c>
      <c r="L188" s="466"/>
    </row>
    <row r="189" spans="1:14" x14ac:dyDescent="0.2">
      <c r="A189" s="1503" t="s">
        <v>304</v>
      </c>
      <c r="B189" s="614">
        <v>4120</v>
      </c>
      <c r="C189" s="616"/>
      <c r="D189" s="616"/>
      <c r="E189" s="466"/>
      <c r="F189" s="616"/>
      <c r="G189" s="616"/>
      <c r="H189" s="466"/>
      <c r="I189" s="477"/>
      <c r="J189" s="616"/>
      <c r="K189" s="1670">
        <f t="shared" si="18"/>
        <v>0</v>
      </c>
      <c r="L189" s="466"/>
    </row>
    <row r="190" spans="1:14" x14ac:dyDescent="0.2">
      <c r="A190" s="1503" t="s">
        <v>305</v>
      </c>
      <c r="B190" s="628">
        <v>4130</v>
      </c>
      <c r="C190" s="616"/>
      <c r="D190" s="616"/>
      <c r="E190" s="466"/>
      <c r="F190" s="616"/>
      <c r="G190" s="616"/>
      <c r="H190" s="466"/>
      <c r="I190" s="477"/>
      <c r="J190" s="616"/>
      <c r="K190" s="1670">
        <f t="shared" si="18"/>
        <v>0</v>
      </c>
      <c r="L190" s="466"/>
    </row>
    <row r="191" spans="1:14" x14ac:dyDescent="0.2">
      <c r="A191" s="1503" t="s">
        <v>697</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1170</v>
      </c>
      <c r="B201" s="628" t="s">
        <v>617</v>
      </c>
      <c r="C201" s="616"/>
      <c r="D201" s="616"/>
      <c r="E201" s="616"/>
      <c r="F201" s="616"/>
      <c r="G201" s="616"/>
      <c r="H201" s="466"/>
      <c r="I201" s="616"/>
      <c r="J201" s="616"/>
      <c r="K201" s="1670">
        <f>SUM(H201)</f>
        <v>0</v>
      </c>
      <c r="L201" s="466"/>
    </row>
    <row r="202" spans="1:14" x14ac:dyDescent="0.2">
      <c r="A202" s="1503" t="s">
        <v>89</v>
      </c>
      <c r="B202" s="614" t="s">
        <v>589</v>
      </c>
      <c r="C202" s="616"/>
      <c r="D202" s="616"/>
      <c r="E202" s="616"/>
      <c r="F202" s="616"/>
      <c r="G202" s="616"/>
      <c r="H202" s="466"/>
      <c r="I202" s="616"/>
      <c r="J202" s="616"/>
      <c r="K202" s="1670">
        <f>SUM(H202)</f>
        <v>0</v>
      </c>
      <c r="L202" s="466"/>
    </row>
    <row r="203" spans="1:14" x14ac:dyDescent="0.2">
      <c r="A203" s="1515"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1671</v>
      </c>
      <c r="B206" s="672" t="s">
        <v>31</v>
      </c>
      <c r="C206" s="616"/>
      <c r="D206" s="616"/>
      <c r="E206" s="616"/>
      <c r="F206" s="616"/>
      <c r="G206" s="616"/>
      <c r="H206" s="466"/>
      <c r="I206" s="616"/>
      <c r="J206" s="616"/>
      <c r="K206" s="1670">
        <f>SUM(H206)</f>
        <v>0</v>
      </c>
      <c r="L206" s="466"/>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5250</v>
      </c>
      <c r="D210" s="1669">
        <f>SUM(D184,D185)</f>
        <v>2410</v>
      </c>
      <c r="E210" s="1669">
        <f>SUM(E184,E185,E196)</f>
        <v>277369</v>
      </c>
      <c r="F210" s="1669">
        <f>SUM(F184,F185)</f>
        <v>21677</v>
      </c>
      <c r="G210" s="1669">
        <f>SUM(G184,G185)</f>
        <v>0</v>
      </c>
      <c r="H210" s="1669">
        <f>SUM(H184,H185,H196,H208,H209)</f>
        <v>0</v>
      </c>
      <c r="I210" s="1669">
        <f>SUM(I184,I185)</f>
        <v>0</v>
      </c>
      <c r="J210" s="1669">
        <f>SUM(J184,J185)</f>
        <v>0</v>
      </c>
      <c r="K210" s="1670">
        <f>SUM(K184,K185,K196,K208,K209)</f>
        <v>306706</v>
      </c>
      <c r="L210" s="1669">
        <f>SUM(L184,L185,L196,L208,L209)</f>
        <v>318386</v>
      </c>
    </row>
    <row r="211" spans="1:14" ht="13.5" thickTop="1" x14ac:dyDescent="0.2">
      <c r="A211" s="2198" t="s">
        <v>996</v>
      </c>
      <c r="B211" s="2199"/>
      <c r="C211" s="618"/>
      <c r="D211" s="618"/>
      <c r="E211" s="618"/>
      <c r="F211" s="618"/>
      <c r="G211" s="618"/>
      <c r="H211" s="618"/>
      <c r="I211" s="616"/>
      <c r="J211" s="616"/>
      <c r="K211" s="1683">
        <f>'Revenues 9-14'!F268-'Expenditures 15-22'!K210</f>
        <v>-38486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3" t="s">
        <v>965</v>
      </c>
      <c r="B213" s="2194"/>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12826</v>
      </c>
      <c r="E215" s="616"/>
      <c r="F215" s="616"/>
      <c r="G215" s="616"/>
      <c r="H215" s="616"/>
      <c r="I215" s="616"/>
      <c r="J215" s="616"/>
      <c r="K215" s="1670">
        <f>D215</f>
        <v>12826</v>
      </c>
      <c r="L215" s="466">
        <v>13950</v>
      </c>
    </row>
    <row r="216" spans="1:14" x14ac:dyDescent="0.2">
      <c r="A216" s="1503" t="s">
        <v>163</v>
      </c>
      <c r="B216" s="614" t="s">
        <v>967</v>
      </c>
      <c r="C216" s="616"/>
      <c r="D216" s="467"/>
      <c r="E216" s="616"/>
      <c r="F216" s="616"/>
      <c r="G216" s="616"/>
      <c r="H216" s="616"/>
      <c r="I216" s="616"/>
      <c r="J216" s="616"/>
      <c r="K216" s="1670">
        <f t="shared" ref="K216:K228" si="19">D216</f>
        <v>0</v>
      </c>
      <c r="L216" s="466"/>
    </row>
    <row r="217" spans="1:14" x14ac:dyDescent="0.2">
      <c r="A217" s="1503" t="s">
        <v>164</v>
      </c>
      <c r="B217" s="614">
        <v>1200</v>
      </c>
      <c r="C217" s="616"/>
      <c r="D217" s="466">
        <v>1958</v>
      </c>
      <c r="E217" s="616"/>
      <c r="F217" s="616"/>
      <c r="G217" s="616"/>
      <c r="H217" s="616"/>
      <c r="I217" s="616"/>
      <c r="J217" s="616"/>
      <c r="K217" s="1670">
        <f t="shared" si="19"/>
        <v>1958</v>
      </c>
      <c r="L217" s="466">
        <v>3641</v>
      </c>
    </row>
    <row r="218" spans="1:14" x14ac:dyDescent="0.2">
      <c r="A218" s="1503" t="s">
        <v>278</v>
      </c>
      <c r="B218" s="614" t="s">
        <v>968</v>
      </c>
      <c r="C218" s="616"/>
      <c r="D218" s="467"/>
      <c r="E218" s="616"/>
      <c r="F218" s="616"/>
      <c r="G218" s="616"/>
      <c r="H218" s="616"/>
      <c r="I218" s="616"/>
      <c r="J218" s="616"/>
      <c r="K218" s="1670">
        <f t="shared" si="19"/>
        <v>0</v>
      </c>
      <c r="L218" s="466"/>
    </row>
    <row r="219" spans="1:14" x14ac:dyDescent="0.2">
      <c r="A219" s="1503" t="s">
        <v>279</v>
      </c>
      <c r="B219" s="614">
        <v>1250</v>
      </c>
      <c r="C219" s="616"/>
      <c r="D219" s="466">
        <v>6082</v>
      </c>
      <c r="E219" s="616"/>
      <c r="F219" s="616"/>
      <c r="G219" s="616"/>
      <c r="H219" s="616"/>
      <c r="I219" s="616"/>
      <c r="J219" s="616"/>
      <c r="K219" s="1670">
        <f t="shared" si="19"/>
        <v>6082</v>
      </c>
      <c r="L219" s="466">
        <v>6223</v>
      </c>
    </row>
    <row r="220" spans="1:14" x14ac:dyDescent="0.2">
      <c r="A220" s="1503" t="s">
        <v>280</v>
      </c>
      <c r="B220" s="614" t="s">
        <v>161</v>
      </c>
      <c r="C220" s="616"/>
      <c r="D220" s="467"/>
      <c r="E220" s="616"/>
      <c r="F220" s="616"/>
      <c r="G220" s="616"/>
      <c r="H220" s="616"/>
      <c r="I220" s="616"/>
      <c r="J220" s="616"/>
      <c r="K220" s="1670">
        <f t="shared" si="19"/>
        <v>0</v>
      </c>
      <c r="L220" s="466"/>
    </row>
    <row r="221" spans="1:14" x14ac:dyDescent="0.2">
      <c r="A221" s="1503" t="s">
        <v>962</v>
      </c>
      <c r="B221" s="614">
        <v>1300</v>
      </c>
      <c r="C221" s="616"/>
      <c r="D221" s="466"/>
      <c r="E221" s="616"/>
      <c r="F221" s="616"/>
      <c r="G221" s="616"/>
      <c r="H221" s="616"/>
      <c r="I221" s="616"/>
      <c r="J221" s="616"/>
      <c r="K221" s="1670">
        <f t="shared" si="19"/>
        <v>0</v>
      </c>
      <c r="L221" s="466"/>
    </row>
    <row r="222" spans="1:14" x14ac:dyDescent="0.2">
      <c r="A222" s="1503" t="s">
        <v>723</v>
      </c>
      <c r="B222" s="614">
        <v>1400</v>
      </c>
      <c r="C222" s="616"/>
      <c r="D222" s="466"/>
      <c r="E222" s="616"/>
      <c r="F222" s="616"/>
      <c r="G222" s="616"/>
      <c r="H222" s="616"/>
      <c r="I222" s="616"/>
      <c r="J222" s="616"/>
      <c r="K222" s="1670">
        <f t="shared" si="19"/>
        <v>0</v>
      </c>
      <c r="L222" s="466"/>
    </row>
    <row r="223" spans="1:14" x14ac:dyDescent="0.2">
      <c r="A223" s="1503" t="s">
        <v>963</v>
      </c>
      <c r="B223" s="614">
        <v>1500</v>
      </c>
      <c r="C223" s="616"/>
      <c r="D223" s="466">
        <v>626</v>
      </c>
      <c r="E223" s="616"/>
      <c r="F223" s="616"/>
      <c r="G223" s="616"/>
      <c r="H223" s="616"/>
      <c r="I223" s="616"/>
      <c r="J223" s="616"/>
      <c r="K223" s="1670">
        <f t="shared" si="19"/>
        <v>626</v>
      </c>
      <c r="L223" s="466">
        <v>752</v>
      </c>
    </row>
    <row r="224" spans="1:14" x14ac:dyDescent="0.2">
      <c r="A224" s="1503" t="s">
        <v>964</v>
      </c>
      <c r="B224" s="614">
        <v>1600</v>
      </c>
      <c r="C224" s="616"/>
      <c r="D224" s="466"/>
      <c r="E224" s="616"/>
      <c r="F224" s="616"/>
      <c r="G224" s="616"/>
      <c r="H224" s="616"/>
      <c r="I224" s="616"/>
      <c r="J224" s="616"/>
      <c r="K224" s="1670">
        <f t="shared" si="19"/>
        <v>0</v>
      </c>
      <c r="L224" s="466"/>
    </row>
    <row r="225" spans="1:12" x14ac:dyDescent="0.2">
      <c r="A225" s="1503" t="s">
        <v>987</v>
      </c>
      <c r="B225" s="614">
        <v>1650</v>
      </c>
      <c r="C225" s="616"/>
      <c r="D225" s="466"/>
      <c r="E225" s="616"/>
      <c r="F225" s="616"/>
      <c r="G225" s="616"/>
      <c r="H225" s="616"/>
      <c r="I225" s="616"/>
      <c r="J225" s="616"/>
      <c r="K225" s="1670">
        <f t="shared" si="19"/>
        <v>0</v>
      </c>
      <c r="L225" s="466"/>
    </row>
    <row r="226" spans="1:12" x14ac:dyDescent="0.2">
      <c r="A226" s="1503" t="s">
        <v>724</v>
      </c>
      <c r="B226" s="614" t="s">
        <v>162</v>
      </c>
      <c r="C226" s="616"/>
      <c r="D226" s="467"/>
      <c r="E226" s="616"/>
      <c r="F226" s="616"/>
      <c r="G226" s="616"/>
      <c r="H226" s="616"/>
      <c r="I226" s="616"/>
      <c r="J226" s="616"/>
      <c r="K226" s="1670">
        <f t="shared" si="19"/>
        <v>0</v>
      </c>
      <c r="L226" s="466"/>
    </row>
    <row r="227" spans="1:12" x14ac:dyDescent="0.2">
      <c r="A227" s="1503" t="s">
        <v>1087</v>
      </c>
      <c r="B227" s="614">
        <v>1800</v>
      </c>
      <c r="C227" s="616"/>
      <c r="D227" s="466"/>
      <c r="E227" s="616"/>
      <c r="F227" s="616"/>
      <c r="G227" s="616"/>
      <c r="H227" s="616"/>
      <c r="I227" s="616"/>
      <c r="J227" s="616"/>
      <c r="K227" s="1670">
        <f t="shared" si="19"/>
        <v>0</v>
      </c>
      <c r="L227" s="466"/>
    </row>
    <row r="228" spans="1:12" x14ac:dyDescent="0.2">
      <c r="A228" s="1503"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21492</v>
      </c>
      <c r="E229" s="616"/>
      <c r="F229" s="616"/>
      <c r="G229" s="616"/>
      <c r="H229" s="616"/>
      <c r="I229" s="616"/>
      <c r="J229" s="616"/>
      <c r="K229" s="1669">
        <f>SUM(K215:K228)</f>
        <v>21492</v>
      </c>
      <c r="L229" s="1669">
        <f>SUM(L215:L228)</f>
        <v>24566</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v>123</v>
      </c>
      <c r="E232" s="616"/>
      <c r="F232" s="616"/>
      <c r="G232" s="616"/>
      <c r="H232" s="616"/>
      <c r="I232" s="616"/>
      <c r="J232" s="616"/>
      <c r="K232" s="1670">
        <f t="shared" ref="K232:K237" si="20">D232</f>
        <v>123</v>
      </c>
      <c r="L232" s="466">
        <v>123</v>
      </c>
    </row>
    <row r="233" spans="1:12" x14ac:dyDescent="0.2">
      <c r="A233" s="1503" t="s">
        <v>1090</v>
      </c>
      <c r="B233" s="614">
        <v>2120</v>
      </c>
      <c r="C233" s="616"/>
      <c r="D233" s="466">
        <v>505</v>
      </c>
      <c r="E233" s="616"/>
      <c r="F233" s="616"/>
      <c r="G233" s="616"/>
      <c r="H233" s="616"/>
      <c r="I233" s="616"/>
      <c r="J233" s="616"/>
      <c r="K233" s="1670">
        <f t="shared" si="20"/>
        <v>505</v>
      </c>
      <c r="L233" s="466">
        <v>508</v>
      </c>
    </row>
    <row r="234" spans="1:12" x14ac:dyDescent="0.2">
      <c r="A234" s="1503" t="s">
        <v>198</v>
      </c>
      <c r="B234" s="614">
        <v>2130</v>
      </c>
      <c r="C234" s="616"/>
      <c r="D234" s="466">
        <v>640</v>
      </c>
      <c r="E234" s="616"/>
      <c r="F234" s="616"/>
      <c r="G234" s="616"/>
      <c r="H234" s="616"/>
      <c r="I234" s="616"/>
      <c r="J234" s="616"/>
      <c r="K234" s="1670">
        <f t="shared" si="20"/>
        <v>640</v>
      </c>
      <c r="L234" s="466">
        <v>683</v>
      </c>
    </row>
    <row r="235" spans="1:12" x14ac:dyDescent="0.2">
      <c r="A235" s="1503" t="s">
        <v>199</v>
      </c>
      <c r="B235" s="614">
        <v>2140</v>
      </c>
      <c r="C235" s="616"/>
      <c r="D235" s="466"/>
      <c r="E235" s="616"/>
      <c r="F235" s="616"/>
      <c r="G235" s="616"/>
      <c r="H235" s="616"/>
      <c r="I235" s="616"/>
      <c r="J235" s="616"/>
      <c r="K235" s="1670">
        <f t="shared" si="20"/>
        <v>0</v>
      </c>
      <c r="L235" s="466"/>
    </row>
    <row r="236" spans="1:12" x14ac:dyDescent="0.2">
      <c r="A236" s="1503" t="s">
        <v>200</v>
      </c>
      <c r="B236" s="614">
        <v>2150</v>
      </c>
      <c r="C236" s="616"/>
      <c r="D236" s="466">
        <v>698</v>
      </c>
      <c r="E236" s="616"/>
      <c r="F236" s="616"/>
      <c r="G236" s="616"/>
      <c r="H236" s="616"/>
      <c r="I236" s="616"/>
      <c r="J236" s="616"/>
      <c r="K236" s="1670">
        <f t="shared" si="20"/>
        <v>698</v>
      </c>
      <c r="L236" s="466">
        <v>830</v>
      </c>
    </row>
    <row r="237" spans="1:12" x14ac:dyDescent="0.2">
      <c r="A237" s="1503" t="s">
        <v>165</v>
      </c>
      <c r="B237" s="614">
        <v>2190</v>
      </c>
      <c r="C237" s="616"/>
      <c r="D237" s="466">
        <v>1661</v>
      </c>
      <c r="E237" s="616"/>
      <c r="F237" s="616"/>
      <c r="G237" s="616"/>
      <c r="H237" s="616"/>
      <c r="I237" s="616"/>
      <c r="J237" s="616"/>
      <c r="K237" s="1670">
        <f t="shared" si="20"/>
        <v>1661</v>
      </c>
      <c r="L237" s="466">
        <v>920</v>
      </c>
    </row>
    <row r="238" spans="1:12" ht="12.75" customHeight="1" thickBot="1" x14ac:dyDescent="0.25">
      <c r="A238" s="1667" t="s">
        <v>560</v>
      </c>
      <c r="B238" s="1674" t="s">
        <v>716</v>
      </c>
      <c r="C238" s="616"/>
      <c r="D238" s="1669">
        <f>SUM(D232:D237)</f>
        <v>3627</v>
      </c>
      <c r="E238" s="616"/>
      <c r="F238" s="616"/>
      <c r="G238" s="616"/>
      <c r="H238" s="616"/>
      <c r="I238" s="616"/>
      <c r="J238" s="616"/>
      <c r="K238" s="1669">
        <f>SUM(K232:K237)</f>
        <v>3627</v>
      </c>
      <c r="L238" s="1669">
        <f>SUM(L232:L237)</f>
        <v>3064</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c r="E240" s="616"/>
      <c r="F240" s="616"/>
      <c r="G240" s="616"/>
      <c r="H240" s="616"/>
      <c r="I240" s="616"/>
      <c r="J240" s="616"/>
      <c r="K240" s="1671">
        <f>D240</f>
        <v>0</v>
      </c>
      <c r="L240" s="481"/>
    </row>
    <row r="241" spans="1:12" x14ac:dyDescent="0.2">
      <c r="A241" s="1503" t="s">
        <v>815</v>
      </c>
      <c r="B241" s="614">
        <v>2220</v>
      </c>
      <c r="C241" s="616"/>
      <c r="D241" s="466">
        <v>3431</v>
      </c>
      <c r="E241" s="616"/>
      <c r="F241" s="616"/>
      <c r="G241" s="616"/>
      <c r="H241" s="616"/>
      <c r="I241" s="616"/>
      <c r="J241" s="616"/>
      <c r="K241" s="1671">
        <f>D241</f>
        <v>3431</v>
      </c>
      <c r="L241" s="466">
        <v>3631</v>
      </c>
    </row>
    <row r="242" spans="1:12" x14ac:dyDescent="0.2">
      <c r="A242" s="1503"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3431</v>
      </c>
      <c r="E243" s="616"/>
      <c r="F243" s="616"/>
      <c r="G243" s="616"/>
      <c r="H243" s="616"/>
      <c r="I243" s="616"/>
      <c r="J243" s="616"/>
      <c r="K243" s="1669">
        <f>SUM(K240:K242)</f>
        <v>3431</v>
      </c>
      <c r="L243" s="1669">
        <f>SUM(L240:L242)</f>
        <v>3631</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205</v>
      </c>
      <c r="E245" s="616"/>
      <c r="F245" s="616"/>
      <c r="G245" s="616"/>
      <c r="H245" s="616"/>
      <c r="I245" s="616"/>
      <c r="J245" s="616"/>
      <c r="K245" s="1671">
        <f>D245</f>
        <v>205</v>
      </c>
      <c r="L245" s="481">
        <v>220</v>
      </c>
    </row>
    <row r="246" spans="1:12" x14ac:dyDescent="0.2">
      <c r="A246" s="1503" t="s">
        <v>818</v>
      </c>
      <c r="B246" s="614">
        <v>2320</v>
      </c>
      <c r="C246" s="616"/>
      <c r="D246" s="466">
        <v>5463</v>
      </c>
      <c r="E246" s="616"/>
      <c r="F246" s="616"/>
      <c r="G246" s="616"/>
      <c r="H246" s="616"/>
      <c r="I246" s="616"/>
      <c r="J246" s="616"/>
      <c r="K246" s="1671">
        <f t="shared" ref="K246:K256" si="21">D246</f>
        <v>5463</v>
      </c>
      <c r="L246" s="466">
        <v>5637</v>
      </c>
    </row>
    <row r="247" spans="1:12" x14ac:dyDescent="0.2">
      <c r="A247" s="1503" t="s">
        <v>819</v>
      </c>
      <c r="B247" s="614">
        <v>2330</v>
      </c>
      <c r="C247" s="616"/>
      <c r="D247" s="466"/>
      <c r="E247" s="616"/>
      <c r="F247" s="616"/>
      <c r="G247" s="616"/>
      <c r="H247" s="616"/>
      <c r="I247" s="616"/>
      <c r="J247" s="616"/>
      <c r="K247" s="1671">
        <f t="shared" si="21"/>
        <v>0</v>
      </c>
      <c r="L247" s="466"/>
    </row>
    <row r="248" spans="1:12" x14ac:dyDescent="0.2">
      <c r="A248" s="1504" t="s">
        <v>299</v>
      </c>
      <c r="B248" s="602" t="s">
        <v>281</v>
      </c>
      <c r="C248" s="616"/>
      <c r="D248" s="474"/>
      <c r="E248" s="616"/>
      <c r="F248" s="616"/>
      <c r="G248" s="616"/>
      <c r="H248" s="616"/>
      <c r="I248" s="616"/>
      <c r="J248" s="616"/>
      <c r="K248" s="1671">
        <f t="shared" si="21"/>
        <v>0</v>
      </c>
      <c r="L248" s="466"/>
    </row>
    <row r="249" spans="1:12" x14ac:dyDescent="0.2">
      <c r="A249" s="1505" t="s">
        <v>1805</v>
      </c>
      <c r="B249" s="683" t="s">
        <v>282</v>
      </c>
      <c r="C249" s="616"/>
      <c r="D249" s="474"/>
      <c r="E249" s="616"/>
      <c r="F249" s="616"/>
      <c r="G249" s="616"/>
      <c r="H249" s="616"/>
      <c r="I249" s="616"/>
      <c r="J249" s="616"/>
      <c r="K249" s="1671">
        <f t="shared" si="21"/>
        <v>0</v>
      </c>
      <c r="L249" s="466"/>
    </row>
    <row r="250" spans="1:12" x14ac:dyDescent="0.2">
      <c r="A250" s="1504" t="s">
        <v>1806</v>
      </c>
      <c r="B250" s="602" t="s">
        <v>283</v>
      </c>
      <c r="C250" s="616"/>
      <c r="D250" s="474"/>
      <c r="E250" s="616"/>
      <c r="F250" s="616"/>
      <c r="G250" s="616"/>
      <c r="H250" s="616"/>
      <c r="I250" s="616"/>
      <c r="J250" s="616"/>
      <c r="K250" s="1671">
        <f t="shared" si="21"/>
        <v>0</v>
      </c>
      <c r="L250" s="466"/>
    </row>
    <row r="251" spans="1:12" x14ac:dyDescent="0.2">
      <c r="A251" s="1504" t="s">
        <v>238</v>
      </c>
      <c r="B251" s="602" t="s">
        <v>284</v>
      </c>
      <c r="C251" s="616"/>
      <c r="D251" s="474"/>
      <c r="E251" s="616"/>
      <c r="F251" s="616"/>
      <c r="G251" s="616"/>
      <c r="H251" s="616"/>
      <c r="I251" s="616"/>
      <c r="J251" s="616"/>
      <c r="K251" s="1671">
        <f t="shared" si="21"/>
        <v>0</v>
      </c>
      <c r="L251" s="466"/>
    </row>
    <row r="252" spans="1:12" x14ac:dyDescent="0.2">
      <c r="A252" s="1504" t="s">
        <v>702</v>
      </c>
      <c r="B252" s="602" t="s">
        <v>285</v>
      </c>
      <c r="C252" s="616"/>
      <c r="D252" s="474"/>
      <c r="E252" s="616"/>
      <c r="F252" s="616"/>
      <c r="G252" s="616"/>
      <c r="H252" s="616"/>
      <c r="I252" s="616"/>
      <c r="J252" s="616"/>
      <c r="K252" s="1671">
        <f t="shared" si="21"/>
        <v>0</v>
      </c>
      <c r="L252" s="466"/>
    </row>
    <row r="253" spans="1:12" x14ac:dyDescent="0.2">
      <c r="A253" s="1504" t="s">
        <v>239</v>
      </c>
      <c r="B253" s="602" t="s">
        <v>286</v>
      </c>
      <c r="C253" s="616"/>
      <c r="D253" s="474"/>
      <c r="E253" s="616"/>
      <c r="F253" s="616"/>
      <c r="G253" s="616"/>
      <c r="H253" s="616"/>
      <c r="I253" s="616"/>
      <c r="J253" s="616"/>
      <c r="K253" s="1671">
        <f t="shared" si="21"/>
        <v>0</v>
      </c>
      <c r="L253" s="466"/>
    </row>
    <row r="254" spans="1:12" ht="22.5" x14ac:dyDescent="0.2">
      <c r="A254" s="1504" t="s">
        <v>1029</v>
      </c>
      <c r="B254" s="683" t="s">
        <v>287</v>
      </c>
      <c r="C254" s="616"/>
      <c r="D254" s="474"/>
      <c r="E254" s="616"/>
      <c r="F254" s="616"/>
      <c r="G254" s="616"/>
      <c r="H254" s="616"/>
      <c r="I254" s="616"/>
      <c r="J254" s="616"/>
      <c r="K254" s="1671">
        <f t="shared" si="21"/>
        <v>0</v>
      </c>
      <c r="L254" s="466"/>
    </row>
    <row r="255" spans="1:12" x14ac:dyDescent="0.2">
      <c r="A255" s="1504" t="s">
        <v>1030</v>
      </c>
      <c r="B255" s="602" t="s">
        <v>288</v>
      </c>
      <c r="C255" s="616"/>
      <c r="D255" s="474"/>
      <c r="E255" s="616"/>
      <c r="F255" s="616"/>
      <c r="G255" s="616"/>
      <c r="H255" s="616"/>
      <c r="I255" s="616"/>
      <c r="J255" s="616"/>
      <c r="K255" s="1671">
        <f t="shared" si="21"/>
        <v>0</v>
      </c>
      <c r="L255" s="466"/>
    </row>
    <row r="256" spans="1:12" x14ac:dyDescent="0.2">
      <c r="A256" s="1504"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5668</v>
      </c>
      <c r="E257" s="616"/>
      <c r="F257" s="616"/>
      <c r="G257" s="616"/>
      <c r="H257" s="616"/>
      <c r="I257" s="616"/>
      <c r="J257" s="616"/>
      <c r="K257" s="1669">
        <f>SUM(K245:K256)</f>
        <v>5668</v>
      </c>
      <c r="L257" s="1669">
        <f>SUM(L245:L256)</f>
        <v>5857</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3128</v>
      </c>
      <c r="E259" s="616"/>
      <c r="F259" s="616"/>
      <c r="G259" s="616"/>
      <c r="H259" s="616"/>
      <c r="I259" s="616"/>
      <c r="J259" s="616"/>
      <c r="K259" s="1671">
        <f>D259</f>
        <v>3128</v>
      </c>
      <c r="L259" s="481">
        <v>3343</v>
      </c>
    </row>
    <row r="260" spans="1:14" s="597" customFormat="1" x14ac:dyDescent="0.2">
      <c r="A260" s="1521"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3128</v>
      </c>
      <c r="E261" s="616"/>
      <c r="F261" s="616"/>
      <c r="G261" s="616"/>
      <c r="H261" s="616"/>
      <c r="I261" s="616"/>
      <c r="J261" s="616"/>
      <c r="K261" s="1669">
        <f>SUM(K259:K260)</f>
        <v>3128</v>
      </c>
      <c r="L261" s="1669">
        <f>SUM(L259:L260)</f>
        <v>3343</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71">
        <f>D263</f>
        <v>0</v>
      </c>
      <c r="L263" s="481"/>
    </row>
    <row r="264" spans="1:14" x14ac:dyDescent="0.2">
      <c r="A264" s="1503" t="s">
        <v>463</v>
      </c>
      <c r="B264" s="685">
        <v>2520</v>
      </c>
      <c r="C264" s="616"/>
      <c r="D264" s="466">
        <v>6195</v>
      </c>
      <c r="E264" s="616"/>
      <c r="F264" s="616"/>
      <c r="G264" s="616"/>
      <c r="H264" s="616"/>
      <c r="I264" s="616"/>
      <c r="J264" s="616"/>
      <c r="K264" s="1671">
        <f t="shared" ref="K264:K269" si="22">D264</f>
        <v>6195</v>
      </c>
      <c r="L264" s="466">
        <v>6350</v>
      </c>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v>15028</v>
      </c>
      <c r="E266" s="616"/>
      <c r="F266" s="616"/>
      <c r="G266" s="616"/>
      <c r="H266" s="616"/>
      <c r="I266" s="616"/>
      <c r="J266" s="616"/>
      <c r="K266" s="1671">
        <f t="shared" si="22"/>
        <v>15028</v>
      </c>
      <c r="L266" s="466">
        <v>15025</v>
      </c>
    </row>
    <row r="267" spans="1:14" x14ac:dyDescent="0.2">
      <c r="A267" s="1503" t="s">
        <v>953</v>
      </c>
      <c r="B267" s="614">
        <v>2550</v>
      </c>
      <c r="C267" s="616"/>
      <c r="D267" s="466"/>
      <c r="E267" s="616"/>
      <c r="F267" s="616"/>
      <c r="G267" s="616"/>
      <c r="H267" s="616"/>
      <c r="I267" s="616"/>
      <c r="J267" s="616"/>
      <c r="K267" s="1671">
        <f t="shared" si="22"/>
        <v>0</v>
      </c>
      <c r="L267" s="466"/>
    </row>
    <row r="268" spans="1:14" x14ac:dyDescent="0.2">
      <c r="A268" s="1503" t="s">
        <v>100</v>
      </c>
      <c r="B268" s="614">
        <v>2560</v>
      </c>
      <c r="C268" s="616"/>
      <c r="D268" s="466">
        <v>6729</v>
      </c>
      <c r="E268" s="616"/>
      <c r="F268" s="616"/>
      <c r="G268" s="616"/>
      <c r="H268" s="616"/>
      <c r="I268" s="616"/>
      <c r="J268" s="616"/>
      <c r="K268" s="1671">
        <f t="shared" si="22"/>
        <v>6729</v>
      </c>
      <c r="L268" s="466">
        <v>8000</v>
      </c>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27952</v>
      </c>
      <c r="E270" s="616"/>
      <c r="F270" s="616"/>
      <c r="G270" s="616"/>
      <c r="H270" s="616"/>
      <c r="I270" s="616"/>
      <c r="J270" s="616"/>
      <c r="K270" s="1669">
        <f>SUM(K263:K269)</f>
        <v>27952</v>
      </c>
      <c r="L270" s="1669">
        <f>SUM(L263:L269)</f>
        <v>29375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1">
        <f>D272</f>
        <v>0</v>
      </c>
      <c r="L272" s="481"/>
    </row>
    <row r="273" spans="1:12" x14ac:dyDescent="0.2">
      <c r="A273" s="1503" t="s">
        <v>607</v>
      </c>
      <c r="B273" s="628">
        <v>2620</v>
      </c>
      <c r="C273" s="616"/>
      <c r="D273" s="466"/>
      <c r="E273" s="616"/>
      <c r="F273" s="616"/>
      <c r="G273" s="616"/>
      <c r="H273" s="616"/>
      <c r="I273" s="616"/>
      <c r="J273" s="616"/>
      <c r="K273" s="1671">
        <f>D273</f>
        <v>0</v>
      </c>
      <c r="L273" s="466"/>
    </row>
    <row r="274" spans="1:12" ht="12" customHeight="1" x14ac:dyDescent="0.2">
      <c r="A274" s="1503" t="s">
        <v>1061</v>
      </c>
      <c r="B274" s="614">
        <v>2630</v>
      </c>
      <c r="C274" s="616"/>
      <c r="D274" s="466"/>
      <c r="E274" s="616"/>
      <c r="F274" s="616"/>
      <c r="G274" s="616"/>
      <c r="H274" s="616"/>
      <c r="I274" s="616"/>
      <c r="J274" s="616"/>
      <c r="K274" s="1671">
        <f>D274</f>
        <v>0</v>
      </c>
      <c r="L274" s="466"/>
    </row>
    <row r="275" spans="1:12" x14ac:dyDescent="0.2">
      <c r="A275" s="1503" t="s">
        <v>403</v>
      </c>
      <c r="B275" s="614">
        <v>2640</v>
      </c>
      <c r="C275" s="616"/>
      <c r="D275" s="466"/>
      <c r="E275" s="616"/>
      <c r="F275" s="616"/>
      <c r="G275" s="616"/>
      <c r="H275" s="616"/>
      <c r="I275" s="616"/>
      <c r="J275" s="616"/>
      <c r="K275" s="1671">
        <f>D275</f>
        <v>0</v>
      </c>
      <c r="L275" s="466"/>
    </row>
    <row r="276" spans="1:12" x14ac:dyDescent="0.2">
      <c r="A276" s="1503"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43806</v>
      </c>
      <c r="E279" s="616"/>
      <c r="F279" s="616"/>
      <c r="G279" s="616"/>
      <c r="H279" s="616"/>
      <c r="I279" s="616"/>
      <c r="J279" s="616"/>
      <c r="K279" s="1676">
        <f>SUM(K238,K243,K257,K261,K270,K277,K278)</f>
        <v>43806</v>
      </c>
      <c r="L279" s="1676">
        <f>SUM(L238,L243,L257,L261,L270,L277,L278)</f>
        <v>45270</v>
      </c>
    </row>
    <row r="280" spans="1:12" ht="15.75" customHeight="1" thickTop="1" thickBot="1" x14ac:dyDescent="0.25">
      <c r="A280" s="1623" t="s">
        <v>875</v>
      </c>
      <c r="B280" s="1612">
        <v>3000</v>
      </c>
      <c r="C280" s="616"/>
      <c r="D280" s="576"/>
      <c r="E280" s="616"/>
      <c r="F280" s="616"/>
      <c r="G280" s="616"/>
      <c r="H280" s="616"/>
      <c r="I280" s="616"/>
      <c r="J280" s="616"/>
      <c r="K280" s="1678">
        <f>D280</f>
        <v>0</v>
      </c>
      <c r="L280" s="576"/>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1845</v>
      </c>
      <c r="C282" s="616"/>
      <c r="D282" s="467"/>
      <c r="E282" s="616"/>
      <c r="F282" s="616"/>
      <c r="G282" s="616"/>
      <c r="H282" s="616"/>
      <c r="I282" s="616"/>
      <c r="J282" s="616"/>
      <c r="K282" s="1670">
        <f>D282</f>
        <v>0</v>
      </c>
      <c r="L282" s="467"/>
    </row>
    <row r="283" spans="1:12" x14ac:dyDescent="0.2">
      <c r="A283" s="1503" t="s">
        <v>304</v>
      </c>
      <c r="B283" s="614">
        <v>4120</v>
      </c>
      <c r="C283" s="616"/>
      <c r="D283" s="466"/>
      <c r="E283" s="616"/>
      <c r="F283" s="616"/>
      <c r="G283" s="616"/>
      <c r="H283" s="616"/>
      <c r="I283" s="616"/>
      <c r="J283" s="616"/>
      <c r="K283" s="1670">
        <f>D283</f>
        <v>0</v>
      </c>
      <c r="L283" s="466"/>
    </row>
    <row r="284" spans="1:12" x14ac:dyDescent="0.2">
      <c r="A284" s="1503"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1170</v>
      </c>
      <c r="B290" s="628" t="s">
        <v>617</v>
      </c>
      <c r="C290" s="616"/>
      <c r="D290" s="616"/>
      <c r="E290" s="616"/>
      <c r="F290" s="616"/>
      <c r="G290" s="616"/>
      <c r="H290" s="466"/>
      <c r="I290" s="616"/>
      <c r="J290" s="616"/>
      <c r="K290" s="1670">
        <f>H290</f>
        <v>0</v>
      </c>
      <c r="L290" s="466"/>
    </row>
    <row r="291" spans="1:14" x14ac:dyDescent="0.2">
      <c r="A291" s="1503" t="s">
        <v>89</v>
      </c>
      <c r="B291" s="614" t="s">
        <v>589</v>
      </c>
      <c r="C291" s="616"/>
      <c r="D291" s="616"/>
      <c r="E291" s="616"/>
      <c r="F291" s="616"/>
      <c r="G291" s="616"/>
      <c r="H291" s="466"/>
      <c r="I291" s="616"/>
      <c r="J291" s="616"/>
      <c r="K291" s="1670">
        <f>H291</f>
        <v>0</v>
      </c>
      <c r="L291" s="466"/>
    </row>
    <row r="292" spans="1:14" x14ac:dyDescent="0.2">
      <c r="A292" s="1503"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89" t="s">
        <v>505</v>
      </c>
      <c r="B295" s="2190"/>
      <c r="C295" s="616"/>
      <c r="D295" s="1669">
        <f>SUM(D229,D279,D280,D285)</f>
        <v>65298</v>
      </c>
      <c r="E295" s="616"/>
      <c r="F295" s="616"/>
      <c r="G295" s="616"/>
      <c r="H295" s="1669">
        <f>H293</f>
        <v>0</v>
      </c>
      <c r="I295" s="616"/>
      <c r="J295" s="616"/>
      <c r="K295" s="1669">
        <f>SUM(K229,K279,K280,K285,K293,K294)</f>
        <v>65298</v>
      </c>
      <c r="L295" s="1669">
        <f>SUM(L229,L279,L280,L285,L293,L294)</f>
        <v>69836</v>
      </c>
    </row>
    <row r="296" spans="1:14" ht="13.5" thickTop="1" x14ac:dyDescent="0.2">
      <c r="A296" s="2198" t="s">
        <v>996</v>
      </c>
      <c r="B296" s="2199"/>
      <c r="C296" s="616"/>
      <c r="D296" s="618"/>
      <c r="E296" s="616"/>
      <c r="F296" s="616"/>
      <c r="G296" s="616"/>
      <c r="H296" s="687"/>
      <c r="I296" s="616"/>
      <c r="J296" s="616"/>
      <c r="K296" s="1683">
        <f>'Revenues 9-14'!G268-'Expenditures 15-22'!K295</f>
        <v>11406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1" t="s">
        <v>143</v>
      </c>
      <c r="B298" s="2175"/>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c r="F301" s="466"/>
      <c r="G301" s="466"/>
      <c r="H301" s="466"/>
      <c r="I301" s="467"/>
      <c r="J301" s="467"/>
      <c r="K301" s="1670">
        <f>SUM(C301:J301)</f>
        <v>0</v>
      </c>
      <c r="L301" s="467"/>
    </row>
    <row r="302" spans="1:14" ht="13.5" customHeight="1" x14ac:dyDescent="0.2">
      <c r="A302" s="1516"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1850</v>
      </c>
      <c r="B306" s="690" t="s">
        <v>1845</v>
      </c>
      <c r="C306" s="616"/>
      <c r="D306" s="616"/>
      <c r="E306" s="467"/>
      <c r="F306" s="616"/>
      <c r="G306" s="616"/>
      <c r="H306" s="467"/>
      <c r="I306" s="616"/>
      <c r="J306" s="616"/>
      <c r="K306" s="1670">
        <f>SUM(E306,H306)</f>
        <v>0</v>
      </c>
      <c r="L306" s="467"/>
    </row>
    <row r="307" spans="1:14" x14ac:dyDescent="0.2">
      <c r="A307" s="1503" t="s">
        <v>304</v>
      </c>
      <c r="B307" s="614">
        <v>4120</v>
      </c>
      <c r="C307" s="616"/>
      <c r="D307" s="616"/>
      <c r="E307" s="467"/>
      <c r="F307" s="616"/>
      <c r="G307" s="616"/>
      <c r="H307" s="467"/>
      <c r="I307" s="477"/>
      <c r="J307" s="616"/>
      <c r="K307" s="1670">
        <f>SUM(E307,H307)</f>
        <v>0</v>
      </c>
      <c r="L307" s="466"/>
    </row>
    <row r="308" spans="1:14" x14ac:dyDescent="0.2">
      <c r="A308" s="1503" t="s">
        <v>697</v>
      </c>
      <c r="B308" s="614">
        <v>4140</v>
      </c>
      <c r="C308" s="616"/>
      <c r="D308" s="616"/>
      <c r="E308" s="467"/>
      <c r="F308" s="616"/>
      <c r="G308" s="616"/>
      <c r="H308" s="467"/>
      <c r="I308" s="477"/>
      <c r="J308" s="616"/>
      <c r="K308" s="1670">
        <f>SUM(E308,H308)</f>
        <v>0</v>
      </c>
      <c r="L308" s="466"/>
    </row>
    <row r="309" spans="1:14" ht="12.75" customHeight="1" x14ac:dyDescent="0.2">
      <c r="A309" s="1507"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86" t="s">
        <v>277</v>
      </c>
      <c r="B312" s="2187"/>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82" t="s">
        <v>996</v>
      </c>
      <c r="B313" s="2183"/>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5" t="s">
        <v>149</v>
      </c>
      <c r="B315" s="2196"/>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7" t="s">
        <v>898</v>
      </c>
      <c r="B317" s="2196"/>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2" t="s">
        <v>1805</v>
      </c>
      <c r="B320" s="698" t="s">
        <v>282</v>
      </c>
      <c r="C320" s="467"/>
      <c r="D320" s="467"/>
      <c r="E320" s="467">
        <v>9625</v>
      </c>
      <c r="F320" s="467"/>
      <c r="G320" s="467"/>
      <c r="H320" s="467"/>
      <c r="I320" s="467"/>
      <c r="J320" s="467"/>
      <c r="K320" s="1670">
        <f t="shared" ref="K320:K327" si="24">SUM(C320:J320)</f>
        <v>9625</v>
      </c>
      <c r="L320" s="467">
        <v>12000</v>
      </c>
      <c r="M320" s="665"/>
      <c r="N320" s="665"/>
    </row>
    <row r="321" spans="1:14" s="674" customFormat="1" x14ac:dyDescent="0.2">
      <c r="A321" s="1518" t="s">
        <v>300</v>
      </c>
      <c r="B321" s="697" t="s">
        <v>283</v>
      </c>
      <c r="C321" s="467"/>
      <c r="D321" s="467"/>
      <c r="E321" s="467"/>
      <c r="F321" s="467"/>
      <c r="G321" s="467"/>
      <c r="H321" s="467"/>
      <c r="I321" s="467"/>
      <c r="J321" s="467"/>
      <c r="K321" s="1670">
        <f t="shared" si="24"/>
        <v>0</v>
      </c>
      <c r="L321" s="467"/>
      <c r="M321" s="665"/>
      <c r="N321" s="665"/>
    </row>
    <row r="322" spans="1:14" s="674" customFormat="1" x14ac:dyDescent="0.2">
      <c r="A322" s="1518" t="s">
        <v>238</v>
      </c>
      <c r="B322" s="697" t="s">
        <v>284</v>
      </c>
      <c r="C322" s="467"/>
      <c r="D322" s="467"/>
      <c r="E322" s="467">
        <v>20697</v>
      </c>
      <c r="F322" s="467"/>
      <c r="G322" s="467"/>
      <c r="H322" s="467"/>
      <c r="I322" s="467"/>
      <c r="J322" s="467"/>
      <c r="K322" s="1670">
        <f t="shared" si="24"/>
        <v>20697</v>
      </c>
      <c r="L322" s="467">
        <v>20697</v>
      </c>
      <c r="M322" s="665"/>
      <c r="N322" s="665"/>
    </row>
    <row r="323" spans="1:14" s="674" customFormat="1" x14ac:dyDescent="0.2">
      <c r="A323" s="1518" t="s">
        <v>702</v>
      </c>
      <c r="B323" s="697" t="s">
        <v>285</v>
      </c>
      <c r="C323" s="467"/>
      <c r="D323" s="467"/>
      <c r="E323" s="467">
        <v>2077</v>
      </c>
      <c r="F323" s="467"/>
      <c r="G323" s="467"/>
      <c r="H323" s="467"/>
      <c r="I323" s="467"/>
      <c r="J323" s="467"/>
      <c r="K323" s="1670">
        <f t="shared" si="24"/>
        <v>2077</v>
      </c>
      <c r="L323" s="467">
        <v>2077</v>
      </c>
      <c r="M323" s="665"/>
      <c r="N323" s="665"/>
    </row>
    <row r="324" spans="1:14" s="674" customFormat="1" x14ac:dyDescent="0.2">
      <c r="A324" s="1518"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8" t="s">
        <v>1029</v>
      </c>
      <c r="B325" s="698" t="s">
        <v>287</v>
      </c>
      <c r="C325" s="467">
        <v>19207</v>
      </c>
      <c r="D325" s="467"/>
      <c r="E325" s="467">
        <v>23191</v>
      </c>
      <c r="F325" s="467">
        <v>5382</v>
      </c>
      <c r="G325" s="467">
        <v>5695</v>
      </c>
      <c r="H325" s="467"/>
      <c r="I325" s="467"/>
      <c r="J325" s="467"/>
      <c r="K325" s="1670">
        <f t="shared" si="24"/>
        <v>53475</v>
      </c>
      <c r="L325" s="467">
        <v>60695</v>
      </c>
      <c r="M325" s="665"/>
      <c r="N325" s="665"/>
    </row>
    <row r="326" spans="1:14" s="674" customFormat="1" x14ac:dyDescent="0.2">
      <c r="A326" s="1518"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8" t="s">
        <v>971</v>
      </c>
      <c r="B327" s="697" t="s">
        <v>289</v>
      </c>
      <c r="C327" s="467"/>
      <c r="D327" s="467"/>
      <c r="E327" s="467">
        <v>1930</v>
      </c>
      <c r="F327" s="467"/>
      <c r="G327" s="467"/>
      <c r="H327" s="467"/>
      <c r="I327" s="467"/>
      <c r="J327" s="467"/>
      <c r="K327" s="1670">
        <f t="shared" si="24"/>
        <v>1930</v>
      </c>
      <c r="L327" s="467">
        <v>6000</v>
      </c>
      <c r="M327" s="665"/>
      <c r="N327" s="665"/>
    </row>
    <row r="328" spans="1:14" s="674" customFormat="1" x14ac:dyDescent="0.2">
      <c r="A328" s="1519" t="s">
        <v>472</v>
      </c>
      <c r="B328" s="690" t="s">
        <v>1132</v>
      </c>
      <c r="C328" s="474"/>
      <c r="D328" s="474"/>
      <c r="E328" s="474"/>
      <c r="F328" s="474"/>
      <c r="G328" s="474"/>
      <c r="H328" s="474"/>
      <c r="I328" s="474"/>
      <c r="J328" s="474"/>
      <c r="K328" s="1698">
        <f>SUM(C328:J328)</f>
        <v>0</v>
      </c>
      <c r="L328" s="474"/>
      <c r="M328" s="665"/>
      <c r="N328" s="665"/>
    </row>
    <row r="329" spans="1:14" s="674" customFormat="1" x14ac:dyDescent="0.2">
      <c r="A329" s="1519"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19207</v>
      </c>
      <c r="D330" s="1669">
        <f t="shared" ref="D330:J330" si="25">SUM(D319:D329)</f>
        <v>0</v>
      </c>
      <c r="E330" s="1669">
        <f t="shared" si="25"/>
        <v>57520</v>
      </c>
      <c r="F330" s="1669">
        <f t="shared" si="25"/>
        <v>5382</v>
      </c>
      <c r="G330" s="1669">
        <f t="shared" si="25"/>
        <v>5695</v>
      </c>
      <c r="H330" s="1669">
        <f t="shared" si="25"/>
        <v>0</v>
      </c>
      <c r="I330" s="1669">
        <f t="shared" si="25"/>
        <v>0</v>
      </c>
      <c r="J330" s="1669">
        <f t="shared" si="25"/>
        <v>0</v>
      </c>
      <c r="K330" s="1669">
        <f>SUM(K319:K329)</f>
        <v>87804</v>
      </c>
      <c r="L330" s="1669">
        <f>SUM(L319:L329)</f>
        <v>101469</v>
      </c>
      <c r="M330" s="665"/>
      <c r="N330" s="665"/>
    </row>
    <row r="331" spans="1:14" s="674" customFormat="1" ht="12.75" customHeight="1" thickTop="1" x14ac:dyDescent="0.2">
      <c r="A331" s="1830" t="s">
        <v>1851</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1845</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1847</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1852</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70">
        <f>H337</f>
        <v>0</v>
      </c>
      <c r="L337" s="478"/>
    </row>
    <row r="338" spans="1:14" ht="12.75" customHeight="1" x14ac:dyDescent="0.2">
      <c r="A338" s="1517" t="s">
        <v>1170</v>
      </c>
      <c r="B338" s="690" t="s">
        <v>617</v>
      </c>
      <c r="C338" s="638"/>
      <c r="D338" s="638"/>
      <c r="E338" s="638"/>
      <c r="F338" s="638"/>
      <c r="G338" s="638"/>
      <c r="H338" s="478"/>
      <c r="I338" s="638"/>
      <c r="J338" s="638"/>
      <c r="K338" s="1670">
        <f>H338</f>
        <v>0</v>
      </c>
      <c r="L338" s="478"/>
    </row>
    <row r="339" spans="1:14" x14ac:dyDescent="0.2">
      <c r="A339" s="1503"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19207</v>
      </c>
      <c r="D342" s="1669">
        <f>SUM(D330)</f>
        <v>0</v>
      </c>
      <c r="E342" s="1669">
        <f>SUM(E330)</f>
        <v>57520</v>
      </c>
      <c r="F342" s="1669">
        <f>SUM(F330)</f>
        <v>5382</v>
      </c>
      <c r="G342" s="1669">
        <f>SUM(G330)</f>
        <v>5695</v>
      </c>
      <c r="H342" s="1669">
        <f>SUM(H330,H334,H340)</f>
        <v>0</v>
      </c>
      <c r="I342" s="1669">
        <f>SUM(I330)</f>
        <v>0</v>
      </c>
      <c r="J342" s="1669">
        <f>SUM(J330)</f>
        <v>0</v>
      </c>
      <c r="K342" s="1669">
        <f>SUM(K330,K334,K340)</f>
        <v>87804</v>
      </c>
      <c r="L342" s="1676">
        <f>SUM(L330,L340,L341)</f>
        <v>101469</v>
      </c>
    </row>
    <row r="343" spans="1:14" ht="12.75" customHeight="1" thickTop="1" x14ac:dyDescent="0.2">
      <c r="A343" s="2184" t="s">
        <v>996</v>
      </c>
      <c r="B343" s="2185"/>
      <c r="C343" s="616"/>
      <c r="D343" s="616"/>
      <c r="E343" s="616"/>
      <c r="F343" s="616"/>
      <c r="G343" s="616"/>
      <c r="H343" s="616"/>
      <c r="I343" s="616"/>
      <c r="J343" s="616"/>
      <c r="K343" s="1683">
        <f>'Revenues 9-14'!J268-'Expenditures 15-22'!K342</f>
        <v>-13838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4" t="s">
        <v>966</v>
      </c>
      <c r="B345" s="2175"/>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c r="H348" s="466"/>
      <c r="I348" s="467"/>
      <c r="J348" s="467"/>
      <c r="K348" s="1670">
        <f>SUM(C348:J348)</f>
        <v>0</v>
      </c>
      <c r="L348" s="466"/>
    </row>
    <row r="349" spans="1:14" x14ac:dyDescent="0.2">
      <c r="A349" s="1503" t="s">
        <v>197</v>
      </c>
      <c r="B349" s="614">
        <v>2540</v>
      </c>
      <c r="C349" s="466"/>
      <c r="D349" s="466"/>
      <c r="E349" s="466"/>
      <c r="F349" s="466"/>
      <c r="G349" s="466"/>
      <c r="H349" s="466"/>
      <c r="I349" s="467"/>
      <c r="J349" s="467"/>
      <c r="K349" s="1670">
        <f>SUM(C349:J349)</f>
        <v>0</v>
      </c>
      <c r="L349" s="466"/>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1853</v>
      </c>
      <c r="B354" s="683" t="s">
        <v>1845</v>
      </c>
      <c r="C354" s="616"/>
      <c r="D354" s="616"/>
      <c r="E354" s="616"/>
      <c r="F354" s="616"/>
      <c r="G354" s="616"/>
      <c r="H354" s="474"/>
      <c r="I354" s="701"/>
      <c r="J354" s="616"/>
      <c r="K354" s="1698">
        <f>H354</f>
        <v>0</v>
      </c>
      <c r="L354" s="471"/>
    </row>
    <row r="355" spans="1:14" ht="12.75" customHeight="1" x14ac:dyDescent="0.2">
      <c r="A355" s="1512" t="s">
        <v>1854</v>
      </c>
      <c r="B355" s="690" t="s">
        <v>1847</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98" t="s">
        <v>996</v>
      </c>
      <c r="B368" s="2199"/>
      <c r="C368" s="654"/>
      <c r="D368" s="654"/>
      <c r="E368" s="626"/>
      <c r="F368" s="626"/>
      <c r="G368" s="626"/>
      <c r="H368" s="626"/>
      <c r="I368" s="626"/>
      <c r="J368" s="623"/>
      <c r="K368" s="1670">
        <f>'Revenues 9-14'!K268-'Expenditures 15-22'!K367</f>
        <v>15</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4d435f69-8686-490b-bd6d-b153bf22ab50"/>
    <ds:schemaRef ds:uri="http://schemas.microsoft.com/office/2006/documentManagement/types"/>
    <ds:schemaRef ds:uri="http://purl.org/dc/dcmitype/"/>
    <ds:schemaRef ds:uri="http://schemas.microsoft.com/sharepoint/v3"/>
    <ds:schemaRef ds:uri="http://purl.org/dc/elements/1.1/"/>
    <ds:schemaRef ds:uri="http://schemas.openxmlformats.org/package/2006/metadata/core-properties"/>
    <ds:schemaRef ds:uri="http://schemas.microsoft.com/office/infopath/2007/PartnerControls"/>
    <ds:schemaRef ds:uri="http://purl.org/dc/terms/"/>
    <ds:schemaRef ds:uri="http://schemas.microsoft.com/office/2006/metadata/properties"/>
    <ds:schemaRef ds:uri="d21dc803-237d-4c68-8692-8d731fd29118"/>
    <ds:schemaRef ds:uri="6ce3111e-7420-4802-b50a-75d4e9a0b980"/>
    <ds:schemaRef ds:uri="http://www.w3.org/XML/1998/namespac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2019-08-30T13:57:16Z</cp:lastPrinted>
  <dcterms:created xsi:type="dcterms:W3CDTF">2003-10-29T19:06:34Z</dcterms:created>
  <dcterms:modified xsi:type="dcterms:W3CDTF">2019-11-26T16:50:22Z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