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20" yWindow="-120" windowWidth="20730" windowHeight="1131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B7005" i="106" s="1"/>
  <c r="D7005" i="106" s="1"/>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6" i="108"/>
  <c r="G26" i="108"/>
  <c r="D27" i="108"/>
  <c r="E27" i="108"/>
  <c r="G27" i="108"/>
  <c r="F28" i="108"/>
  <c r="F31" i="108"/>
  <c r="F36" i="108"/>
  <c r="G28" i="108"/>
  <c r="D31" i="108"/>
  <c r="D36" i="108"/>
  <c r="E31" i="108"/>
  <c r="G31" i="108"/>
  <c r="E33"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F67" i="34"/>
  <c r="C68" i="34"/>
  <c r="D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J22" i="37"/>
  <c r="L22" i="37"/>
  <c r="D24" i="37"/>
  <c r="B4270" i="106" s="1"/>
  <c r="D4270" i="106" s="1"/>
  <c r="G35" i="108" l="1"/>
  <c r="E35" i="108"/>
  <c r="F68" i="34"/>
  <c r="C342" i="29"/>
  <c r="B7216" i="106" s="1"/>
  <c r="D7216" i="106" s="1"/>
  <c r="B6289" i="106"/>
  <c r="D6289" i="106" s="1"/>
  <c r="J41" i="3"/>
  <c r="K76" i="4"/>
  <c r="B3586" i="106" s="1"/>
  <c r="D3586" i="106" s="1"/>
  <c r="F34" i="34"/>
  <c r="F77" i="4"/>
  <c r="B3255" i="106" s="1"/>
  <c r="D3255" i="106" s="1"/>
  <c r="J210" i="29"/>
  <c r="B7072" i="106" s="1"/>
  <c r="D7072" i="106" s="1"/>
  <c r="H76" i="4"/>
  <c r="B3298" i="106" s="1"/>
  <c r="D3298" i="106" s="1"/>
  <c r="L13" i="11"/>
  <c r="B2060" i="106" s="1"/>
  <c r="D2060" i="106" s="1"/>
  <c r="J129" i="29"/>
  <c r="B7038" i="106" s="1"/>
  <c r="D7038" i="106" s="1"/>
  <c r="H342" i="29"/>
  <c r="I129" i="29"/>
  <c r="B7037" i="106" s="1"/>
  <c r="D7037" i="106" s="1"/>
  <c r="F36" i="34"/>
  <c r="F42" i="34"/>
  <c r="F19" i="7"/>
  <c r="B1807" i="106" s="1"/>
  <c r="D1807" i="106" s="1"/>
  <c r="G29" i="108"/>
  <c r="B6995" i="106"/>
  <c r="D6995" i="106" s="1"/>
  <c r="E38" i="108"/>
  <c r="G30" i="108"/>
  <c r="D54" i="36"/>
  <c r="H33" i="118"/>
  <c r="F50" i="34"/>
  <c r="I210" i="29"/>
  <c r="B7071" i="106" s="1"/>
  <c r="D7071" i="106" s="1"/>
  <c r="J77" i="4"/>
  <c r="B6262" i="106" s="1"/>
  <c r="D6262" i="106" s="1"/>
  <c r="K184" i="29"/>
  <c r="F13" i="4" s="1"/>
  <c r="B2596" i="106" s="1"/>
  <c r="D2596" i="106" s="1"/>
  <c r="G210" i="29"/>
  <c r="C129" i="29"/>
  <c r="B1225" i="106" s="1"/>
  <c r="D1225" i="106" s="1"/>
  <c r="L367" i="29"/>
  <c r="L5" i="11"/>
  <c r="B2056" i="106" s="1"/>
  <c r="D2056" i="106" s="1"/>
  <c r="F46" i="34"/>
  <c r="J352" i="29"/>
  <c r="J367" i="29" s="1"/>
  <c r="B7245" i="106" s="1"/>
  <c r="D7245" i="106" s="1"/>
  <c r="D6103" i="106"/>
  <c r="H365" i="29"/>
  <c r="B7242" i="106" s="1"/>
  <c r="D7242" i="106" s="1"/>
  <c r="E29" i="108"/>
  <c r="B1126" i="106"/>
  <c r="D1126"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B5527" i="106"/>
  <c r="D5527" i="106" s="1"/>
  <c r="L279" i="29"/>
  <c r="L295" i="29" s="1"/>
  <c r="L74" i="29"/>
  <c r="L114" i="29" s="1"/>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H151" i="29" l="1"/>
  <c r="B1273" i="106" s="1"/>
  <c r="D1273" i="106" s="1"/>
  <c r="D7250" i="106"/>
  <c r="D41" i="108"/>
  <c r="E43" i="108" s="1"/>
  <c r="H77" i="4"/>
  <c r="B3299" i="106" s="1"/>
  <c r="D3299" i="106" s="1"/>
  <c r="J16" i="4"/>
  <c r="B6226" i="106" s="1"/>
  <c r="D6226" i="106" s="1"/>
  <c r="B7235" i="106"/>
  <c r="D7235" i="106" s="1"/>
  <c r="D7251" i="106"/>
  <c r="D7254" i="106"/>
  <c r="D7256" i="106"/>
  <c r="L16" i="11"/>
  <c r="B2061" i="106" s="1"/>
  <c r="D2061" i="106" s="1"/>
  <c r="N23" i="3"/>
  <c r="B284" i="106" s="1"/>
  <c r="D284" i="106" s="1"/>
  <c r="C151" i="29"/>
  <c r="B1226" i="106" s="1"/>
  <c r="D1226" i="106" s="1"/>
  <c r="C114" i="29"/>
  <c r="B757" i="106" s="1"/>
  <c r="D757" i="106" s="1"/>
  <c r="B5778" i="106"/>
  <c r="D5778" i="106" s="1"/>
  <c r="G6" i="4"/>
  <c r="B2604" i="106" s="1"/>
  <c r="D2604" i="106" s="1"/>
  <c r="K342" i="29"/>
  <c r="F13" i="34" s="1"/>
  <c r="B5770" i="106"/>
  <c r="D5770" i="106" s="1"/>
  <c r="B1365" i="106"/>
  <c r="D1365" i="106" s="1"/>
  <c r="F65" i="34"/>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1145" i="106"/>
  <c r="D1145" i="106" s="1"/>
  <c r="B7224" i="106"/>
  <c r="D7224" i="106" s="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F8" i="4" l="1"/>
  <c r="F10" i="4" s="1"/>
  <c r="B4125" i="106" s="1"/>
  <c r="D4125" i="106" s="1"/>
  <c r="J20" i="4"/>
  <c r="B6230" i="106" s="1"/>
  <c r="D6230"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6263" i="106" s="1"/>
  <c r="D6263"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F175" i="34" l="1"/>
  <c r="F79" i="34"/>
  <c r="J81" i="4"/>
  <c r="J82" i="4" s="1"/>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B6266" i="106" l="1"/>
  <c r="D6266" i="106"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<sst xmlns="http://schemas.openxmlformats.org/spreadsheetml/2006/main" count="5106" uniqueCount="2110">
  <si>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</si>
  <si>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</si>
  <si>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</si>
  <si>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</si>
  <si>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</si>
  <si>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</si>
  <si>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</si>
  <si>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</si>
  <si>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</si>
  <si>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</si>
  <si>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</si>
  <si>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</si>
  <si>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</si>
  <si>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</si>
  <si>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</si>
  <si>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</si>
  <si>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</si>
  <si>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</si>
  <si>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</si>
  <si>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</si>
  <si>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</si>
  <si>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</si>
  <si>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</si>
  <si>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</si>
  <si>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</si>
  <si>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</si>
  <si>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</si>
  <si>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</si>
  <si>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</si>
  <si>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</si>
  <si>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</si>
  <si>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</si>
  <si>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</si>
  <si>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</si>
  <si>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</si>
  <si>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</si>
  <si>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</si>
  <si>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</si>
  <si>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</si>
  <si>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</si>
  <si>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</si>
  <si>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</si>
  <si>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</si>
  <si>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</si>
  <si>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</si>
  <si>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</si>
  <si>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</si>
  <si>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</si>
  <si>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</si>
  <si>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</si>
  <si>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</si>
  <si>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</si>
  <si>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</si>
  <si>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</si>
  <si>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</si>
  <si>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</si>
  <si>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</si>
  <si>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</si>
  <si>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</si>
  <si>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</si>
  <si>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</si>
  <si>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</si>
  <si>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</si>
  <si>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</si>
  <si>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</si>
  <si>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</si>
  <si>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</si>
  <si>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</si>
  <si>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</si>
  <si>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</si>
  <si>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</si>
  <si>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</si>
  <si>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</si>
  <si>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</si>
  <si>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</si>
  <si>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</si>
  <si>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</si>
  <si>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</si>
  <si>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</si>
  <si>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</si>
  <si>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</si>
  <si>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</si>
  <si>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</si>
  <si>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</si>
  <si>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</si>
  <si>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</si>
  <si>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</si>
  <si>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</si>
  <si>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</si>
  <si>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</si>
  <si>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</si>
  <si>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</si>
  <si>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</si>
  <si>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</si>
  <si>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</si>
  <si>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</si>
  <si>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</si>
  <si>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</si>
  <si>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</si>
  <si>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</si>
  <si>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</si>
  <si>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</si>
  <si>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</si>
  <si>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</si>
  <si>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</si>
  <si>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</si>
  <si>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</si>
  <si>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</si>
  <si>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</si>
  <si>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</si>
  <si>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</si>
  <si>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</si>
  <si>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</si>
  <si>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</si>
  <si>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</si>
  <si>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</si>
  <si>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</si>
  <si>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</si>
  <si>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</si>
  <si>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</si>
  <si>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</si>
  <si>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</si>
  <si>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</si>
  <si>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</si>
  <si>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</si>
  <si>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</si>
  <si>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</si>
  <si>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</si>
  <si>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</si>
  <si>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</si>
  <si>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</si>
  <si>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</si>
  <si>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</si>
  <si>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</si>
  <si>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</si>
  <si>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</si>
  <si>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</si>
  <si>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</si>
  <si>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</si>
  <si>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</si>
  <si>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</si>
  <si>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</si>
  <si>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</si>
  <si>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</si>
  <si>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</si>
  <si>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</si>
  <si>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</si>
  <si>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</si>
  <si>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</si>
  <si>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</si>
  <si>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</si>
  <si>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</si>
  <si>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</si>
  <si>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</si>
  <si>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</si>
  <si>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</si>
  <si>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</si>
  <si>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</si>
  <si>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</si>
  <si>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</si>
  <si>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</si>
  <si>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</si>
  <si>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</si>
  <si>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</si>
  <si>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</si>
  <si>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</si>
  <si>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</si>
  <si>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</si>
  <si>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</si>
  <si>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</si>
  <si>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</si>
  <si>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</si>
  <si>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</si>
  <si>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</si>
  <si>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</si>
  <si>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</si>
  <si>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</si>
  <si>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</si>
  <si>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</si>
  <si>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</si>
  <si>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</si>
  <si>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</si>
  <si>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</si>
  <si>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</si>
  <si>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</si>
  <si>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</si>
  <si>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</si>
  <si>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</si>
  <si>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</si>
  <si>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</si>
  <si>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</si>
  <si>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</si>
  <si>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</si>
  <si>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</si>
  <si>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</si>
  <si>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</si>
  <si>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</si>
  <si>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</si>
  <si>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</si>
  <si>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</si>
  <si>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</si>
  <si>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</si>
  <si>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</si>
  <si>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</si>
  <si>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</si>
  <si>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</si>
  <si>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</si>
  <si>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</si>
  <si>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</si>
  <si>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</si>
  <si>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</si>
  <si>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</si>
  <si>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</si>
  <si>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</si>
  <si>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</si>
  <si>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</si>
  <si>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</si>
  <si>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</si>
  <si>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</si>
  <si>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</si>
  <si>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</si>
  <si>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</si>
  <si>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</si>
  <si>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</si>
  <si>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</si>
  <si>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</si>
  <si>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</si>
  <si>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</si>
  <si>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</si>
  <si>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</si>
  <si>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</si>
  <si>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</si>
  <si>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</si>
  <si>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</si>
  <si>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</si>
  <si>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</si>
  <si>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</si>
  <si>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</si>
  <si>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</si>
  <si>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</si>
  <si>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</si>
  <si>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</si>
  <si>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</si>
  <si>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</si>
  <si>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</si>
  <si>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</si>
  <si>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</si>
  <si>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</si>
  <si>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</si>
  <si>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</si>
  <si>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</si>
  <si>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</si>
  <si>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</si>
  <si>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</si>
  <si>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</si>
  <si>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</si>
  <si>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</si>
  <si>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</si>
  <si>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</si>
  <si>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</si>
  <si>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</si>
  <si>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</si>
  <si>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</si>
  <si>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</si>
  <si>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</si>
  <si>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</si>
  <si>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</si>
  <si>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</si>
  <si>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</si>
  <si>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</si>
  <si>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</si>
  <si>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</si>
  <si>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</si>
  <si>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</si>
  <si>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</si>
  <si>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</si>
  <si>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</si>
  <si>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</si>
  <si>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</si>
  <si>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</si>
  <si>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</si>
  <si>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</si>
  <si>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</si>
  <si>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</si>
  <si>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</si>
  <si>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</si>
  <si>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</si>
  <si>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</si>
  <si>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</si>
  <si>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</si>
  <si>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</si>
  <si>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</si>
  <si>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</si>
  <si>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</si>
  <si>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</si>
  <si>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</si>
  <si>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</si>
  <si>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</si>
  <si>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</si>
  <si>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</si>
  <si>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</si>
  <si>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</si>
  <si>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</si>
  <si>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</si>
  <si>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</si>
  <si>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</si>
  <si>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</si>
  <si>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</si>
  <si>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</si>
  <si>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</si>
  <si>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</si>
  <si>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</si>
  <si>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</si>
  <si>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</si>
  <si>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</si>
  <si>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</si>
  <si>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</si>
  <si>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</si>
  <si>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</si>
  <si>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</si>
  <si>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</si>
  <si>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</si>
  <si>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</si>
  <si>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</si>
  <si>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</si>
  <si>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</si>
  <si>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</si>
  <si>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</si>
  <si>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</si>
  <si>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</si>
  <si>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</si>
  <si>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</si>
  <si>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</si>
  <si>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</si>
  <si>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</si>
  <si>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</si>
  <si>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</si>
  <si>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</si>
  <si>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</si>
  <si>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</si>
  <si>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</si>
  <si>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</si>
  <si>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</si>
  <si>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</si>
  <si>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</si>
  <si>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</si>
  <si>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</si>
  <si>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</si>
  <si>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</si>
  <si>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</si>
  <si>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</si>
  <si>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</si>
  <si>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</si>
  <si>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</si>
  <si>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</si>
  <si>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</si>
  <si>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</si>
  <si>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</si>
  <si>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</si>
  <si>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</si>
  <si>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</si>
  <si>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</si>
  <si>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</si>
  <si>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</si>
  <si>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</si>
  <si>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</si>
  <si>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</si>
  <si>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</si>
  <si>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</si>
  <si>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</si>
  <si>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</si>
  <si>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</si>
  <si>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</si>
  <si>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</si>
  <si>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</si>
  <si>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</si>
  <si>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</si>
  <si>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</si>
  <si>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</si>
  <si>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</si>
  <si>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</si>
  <si>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</si>
  <si>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</si>
  <si>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</si>
  <si>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</si>
  <si>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</si>
  <si>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</si>
  <si>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</si>
  <si>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</si>
  <si>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</si>
  <si>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</si>
  <si>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</si>
  <si>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</si>
  <si>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</si>
  <si>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</si>
  <si>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</si>
  <si>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</si>
  <si>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</si>
  <si>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</si>
  <si>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</si>
  <si>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</si>
  <si>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</si>
  <si>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</si>
  <si>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</si>
  <si>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</si>
  <si>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</si>
  <si>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</si>
  <si>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</si>
  <si>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</si>
  <si>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</si>
  <si>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</si>
  <si>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</si>
  <si>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</si>
  <si>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</si>
  <si>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</si>
  <si>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</si>
  <si>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</si>
  <si>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</si>
  <si>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</si>
  <si>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</si>
  <si>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</si>
  <si>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</si>
  <si>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</si>
  <si>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</si>
  <si>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</si>
  <si>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</si>
  <si>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</si>
  <si>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</si>
  <si>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</si>
  <si>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</si>
  <si>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</si>
  <si>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</si>
  <si>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</si>
  <si>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</si>
  <si>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</si>
  <si>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</si>
  <si>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</si>
  <si>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</si>
  <si>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</si>
  <si>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</si>
  <si>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</si>
  <si>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</si>
  <si>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</si>
  <si>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</si>
  <si>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</si>
  <si>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</si>
  <si>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</si>
  <si>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</si>
  <si>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</si>
  <si>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</si>
  <si>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</si>
  <si>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</si>
  <si>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</si>
  <si>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</si>
  <si>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</si>
  <si>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</si>
  <si>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</si>
  <si>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</si>
  <si>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</si>
  <si>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</si>
  <si>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</si>
  <si>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</si>
  <si>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</si>
  <si>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</si>
  <si>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</si>
  <si>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</si>
  <si>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</si>
  <si>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</si>
  <si>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</si>
  <si>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</si>
  <si>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</si>
  <si>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</si>
  <si>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</si>
  <si>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</si>
  <si>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</si>
  <si>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</si>
  <si>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</si>
  <si>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</si>
  <si>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</si>
  <si>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</si>
  <si>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</si>
  <si>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</si>
  <si>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</si>
  <si>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</si>
  <si>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</si>
  <si>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</si>
  <si>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</si>
  <si>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</si>
  <si>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</si>
  <si>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</si>
  <si>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</si>
  <si>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</si>
  <si>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</si>
  <si>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</si>
  <si>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</si>
  <si>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</si>
  <si>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</si>
  <si>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</si>
  <si>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</si>
  <si>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</si>
  <si>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</si>
  <si>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</si>
  <si>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</si>
  <si>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</si>
  <si>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</si>
  <si>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</si>
  <si>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</si>
  <si>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</si>
  <si>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</si>
  <si>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</si>
  <si>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</si>
  <si>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</si>
  <si>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</si>
  <si>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</si>
  <si>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</si>
  <si>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</si>
  <si>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</si>
  <si>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</si>
  <si>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</si>
  <si>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</si>
  <si>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</si>
  <si>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</si>
  <si>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</si>
  <si>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</si>
  <si>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</si>
  <si>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</si>
  <si>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</si>
  <si>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</si>
  <si>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</si>
  <si>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</si>
  <si>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</si>
  <si>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</si>
  <si>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</si>
  <si>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</si>
  <si>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</si>
  <si>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</si>
  <si>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</si>
  <si>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</si>
  <si>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</si>
  <si>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</si>
  <si>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</si>
  <si>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</si>
  <si>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</si>
  <si>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</si>
  <si>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</si>
  <si>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</si>
  <si>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</si>
  <si>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</si>
  <si>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</si>
  <si>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</si>
  <si>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</si>
  <si>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</si>
  <si>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</si>
  <si>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</si>
  <si>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</si>
  <si>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</si>
  <si>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</si>
  <si>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</si>
  <si>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</si>
  <si>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</si>
  <si>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</si>
  <si>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</si>
  <si>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</si>
  <si>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</si>
  <si>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</si>
  <si>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</si>
  <si>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</si>
  <si>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</si>
  <si>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</si>
  <si>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</si>
  <si>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</si>
  <si>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</si>
  <si>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</si>
  <si>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</si>
  <si>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</si>
  <si>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</si>
  <si>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</si>
  <si>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</si>
  <si>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</si>
  <si>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</si>
  <si>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</si>
  <si>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</si>
  <si>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</si>
  <si>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</si>
  <si>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</si>
  <si>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</si>
  <si>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</si>
  <si>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</si>
  <si>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</si>
  <si>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</si>
  <si>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</si>
  <si>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</si>
  <si>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</si>
  <si>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</si>
  <si>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</si>
  <si>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</si>
  <si>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</si>
  <si>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</si>
  <si>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</si>
  <si>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</si>
  <si>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</si>
  <si>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</si>
  <si>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</si>
  <si>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</si>
  <si>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</si>
  <si>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</si>
  <si>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</si>
  <si>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</si>
  <si>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</si>
  <si>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</si>
  <si>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</si>
  <si>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</si>
  <si>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</si>
  <si>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</si>
  <si>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</si>
  <si>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</si>
  <si>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</si>
  <si>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</si>
  <si>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</si>
  <si>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</si>
  <si>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</si>
  <si>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</si>
  <si>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</si>
  <si>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</si>
  <si>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</si>
  <si>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</si>
  <si>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</si>
  <si>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</si>
  <si>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</si>
  <si>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</si>
  <si>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</si>
  <si>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</si>
  <si>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</si>
  <si>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</si>
  <si>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</si>
  <si>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</si>
  <si>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</si>
  <si>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</si>
  <si>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</si>
  <si>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</si>
  <si>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</si>
  <si>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</si>
  <si>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</si>
  <si>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</si>
  <si>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</si>
  <si>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</si>
  <si>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</si>
  <si>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</si>
  <si>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</si>
  <si>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</si>
  <si>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</si>
  <si>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</si>
  <si>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</si>
  <si>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</si>
  <si>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</si>
  <si>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</si>
  <si>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</si>
  <si>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</si>
  <si>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</si>
  <si>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</si>
  <si>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</si>
  <si>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</si>
  <si>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</si>
  <si>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</si>
  <si>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</si>
  <si>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</si>
  <si>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</si>
  <si>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</si>
  <si>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</si>
  <si>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</si>
  <si>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</si>
  <si>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</si>
  <si>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</si>
  <si>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</si>
  <si>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</si>
  <si>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</si>
  <si>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</si>
  <si>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</si>
  <si>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</si>
  <si>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</si>
  <si>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</si>
  <si>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</si>
  <si>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</si>
  <si>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</si>
  <si>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</si>
  <si>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</si>
  <si>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</si>
  <si>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</si>
  <si>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</si>
  <si>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</si>
  <si>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</si>
  <si>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</si>
  <si>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</si>
  <si>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</si>
  <si>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</si>
  <si>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</si>
  <si>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</si>
  <si>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</si>
  <si>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</si>
  <si>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</si>
  <si>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</si>
  <si>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</si>
  <si>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</si>
  <si>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</si>
  <si>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</si>
  <si>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</si>
  <si>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</si>
  <si>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</si>
  <si>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</si>
  <si>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</si>
  <si>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</si>
  <si>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</si>
  <si>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</si>
  <si>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</si>
  <si>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</si>
  <si>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</si>
  <si>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</si>
  <si>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</si>
  <si>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</si>
  <si>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</si>
  <si>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</si>
  <si>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</si>
  <si>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</si>
  <si>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</si>
  <si>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</si>
  <si>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</si>
  <si>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</si>
  <si>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</si>
  <si>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</si>
  <si>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</si>
  <si>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</si>
  <si>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</si>
  <si>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</si>
  <si>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</si>
  <si>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</si>
  <si>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</si>
  <si>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</si>
  <si>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</si>
  <si>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</si>
  <si>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</si>
  <si>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</si>
  <si>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</si>
  <si>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</si>
  <si>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</si>
  <si>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</si>
  <si>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</si>
  <si>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</si>
  <si>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</si>
  <si>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</si>
  <si>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</si>
  <si>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</si>
  <si>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</si>
  <si>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</si>
  <si>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</si>
  <si>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</si>
  <si>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</si>
  <si>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</si>
  <si>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</si>
  <si>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</si>
  <si>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</si>
  <si>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</si>
  <si>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</si>
  <si>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</si>
  <si>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</si>
  <si>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</si>
  <si>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</si>
  <si>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</si>
  <si>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</si>
  <si>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</si>
  <si>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</si>
  <si>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</si>
  <si>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</si>
  <si>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</si>
  <si>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</si>
  <si>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</si>
  <si>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</si>
  <si>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</si>
  <si>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</si>
  <si>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</si>
  <si>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</si>
  <si>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</si>
  <si>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</si>
  <si>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</si>
  <si>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</si>
  <si>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</si>
  <si>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</si>
  <si>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</si>
  <si>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</si>
  <si>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</si>
  <si>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</si>
  <si>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</si>
  <si>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</si>
  <si>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</si>
  <si>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</si>
  <si>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</si>
  <si>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</si>
  <si>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</si>
  <si>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</si>
  <si>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</si>
  <si>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</si>
  <si>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</si>
  <si>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</si>
  <si>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</si>
  <si>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</si>
  <si>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</si>
  <si>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</si>
  <si>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</si>
  <si>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</si>
  <si>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</si>
  <si>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</si>
  <si>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</si>
  <si>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</si>
  <si>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</si>
  <si>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</si>
  <si>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</si>
  <si>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</si>
  <si>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</si>
  <si>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</si>
  <si>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</si>
  <si>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</si>
  <si>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</si>
  <si>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</si>
  <si>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</si>
  <si>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</si>
  <si>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</si>
  <si>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</si>
  <si>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</si>
  <si>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</si>
  <si>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</si>
  <si>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</si>
  <si>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</si>
  <si>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</si>
  <si>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</si>
  <si>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</si>
  <si>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</si>
  <si>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</si>
  <si>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</si>
  <si>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</si>
  <si>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</si>
  <si>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</si>
  <si>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</si>
  <si>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</si>
  <si>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</si>
  <si>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</si>
  <si>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</si>
  <si>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</si>
  <si>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</si>
  <si>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</si>
  <si>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</si>
  <si>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</si>
  <si>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</si>
  <si>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</si>
  <si>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</si>
  <si>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</si>
  <si>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</si>
  <si>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</si>
  <si>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</si>
  <si>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</si>
  <si>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</si>
  <si>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</si>
  <si>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</si>
  <si>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</si>
  <si>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</si>
  <si>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</si>
  <si>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</si>
  <si>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</si>
  <si>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</si>
  <si>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</si>
  <si>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</si>
  <si>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</si>
  <si>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</si>
  <si>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</si>
  <si>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</si>
  <si>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</si>
  <si>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</si>
  <si>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</si>
  <si>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</si>
  <si>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</si>
  <si>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</si>
  <si>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</si>
  <si>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</si>
  <si>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</si>
  <si>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</si>
  <si>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</si>
  <si>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</si>
  <si>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</si>
  <si>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</si>
  <si>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</si>
  <si>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</si>
  <si>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</si>
  <si>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</si>
  <si>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</si>
  <si>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</si>
  <si>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</si>
  <si>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</si>
  <si>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</si>
  <si>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</si>
  <si>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</si>
  <si>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</si>
  <si>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</si>
  <si>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</si>
  <si>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</si>
  <si>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</si>
  <si>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</si>
  <si>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</si>
  <si>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</si>
  <si>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</si>
  <si>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</si>
  <si>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</si>
  <si>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</si>
  <si>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</si>
  <si>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</si>
  <si>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</si>
  <si>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</si>
  <si>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</si>
  <si>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</si>
  <si>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</si>
  <si>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</si>
  <si>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</si>
  <si>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</si>
  <si>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</si>
  <si>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</si>
  <si>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</si>
  <si>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</si>
  <si>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</si>
  <si>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</si>
  <si>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</si>
  <si>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</si>
  <si>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</si>
  <si>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</si>
  <si>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</si>
  <si>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</si>
  <si>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</si>
  <si>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</si>
  <si>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</si>
  <si>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</si>
  <si>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</si>
  <si>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</si>
  <si>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</si>
  <si>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</si>
  <si>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</si>
  <si>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</si>
  <si>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</si>
  <si>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</si>
  <si>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</si>
  <si>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</si>
  <si>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</si>
  <si>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</si>
  <si>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</si>
  <si>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</si>
  <si>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</si>
  <si>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</si>
  <si>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</si>
  <si>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</si>
  <si>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</si>
  <si>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</si>
  <si>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</si>
  <si>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</si>
  <si>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</si>
  <si>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</si>
  <si>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</si>
  <si>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</si>
  <si>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</si>
  <si>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</si>
  <si>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</si>
  <si>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</si>
  <si>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</si>
  <si>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</si>
  <si>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</si>
  <si>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</si>
  <si>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</si>
  <si>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</si>
  <si>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</si>
  <si>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</si>
  <si>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</si>
  <si>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</si>
  <si>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</si>
  <si>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</si>
  <si>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</si>
  <si>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</si>
  <si>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</si>
  <si>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</si>
  <si>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</si>
  <si>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</si>
  <si>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</si>
  <si>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</si>
  <si>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</si>
  <si>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</si>
  <si>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</si>
  <si>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</si>
  <si>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</si>
  <si>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</si>
  <si>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</si>
  <si>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</si>
  <si>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</si>
  <si>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</si>
  <si>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</si>
  <si>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</si>
  <si>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</si>
  <si>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</si>
  <si>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</si>
  <si>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</si>
  <si>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</si>
  <si>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</si>
  <si>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</si>
  <si>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</si>
  <si>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</si>
  <si>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</si>
  <si>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</si>
  <si>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</si>
  <si>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</si>
  <si>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</si>
  <si>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</si>
  <si>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</si>
  <si>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</si>
  <si>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</si>
  <si>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</si>
  <si>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</si>
  <si>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</si>
  <si>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</si>
  <si>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</si>
  <si>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</si>
  <si>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</si>
  <si>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</si>
  <si>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</si>
  <si>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</si>
  <si>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</si>
  <si>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</si>
  <si>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</si>
  <si>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</si>
  <si>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</si>
  <si>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</si>
  <si>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</si>
  <si>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</si>
  <si>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</si>
  <si>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</si>
  <si>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</si>
  <si>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</si>
  <si>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</si>
  <si>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</si>
  <si>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</si>
  <si>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</si>
  <si>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</si>
  <si>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</si>
  <si>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</si>
  <si>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</si>
  <si>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</si>
  <si>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</si>
  <si>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</si>
  <si>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</si>
  <si>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</si>
  <si>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</si>
  <si>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</si>
  <si>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</si>
  <si>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</si>
  <si>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</si>
  <si>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</si>
  <si>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</si>
  <si>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</si>
  <si>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</si>
  <si>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</si>
  <si>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</si>
  <si>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</si>
  <si>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</si>
  <si>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</si>
  <si>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</si>
  <si>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</si>
  <si>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</si>
  <si>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</si>
  <si>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</si>
  <si>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</si>
  <si>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</si>
  <si>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</si>
  <si>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</si>
  <si>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</si>
  <si>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</si>
  <si>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</si>
  <si>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</si>
  <si>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</si>
  <si>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</si>
  <si>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</si>
  <si>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</si>
  <si>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</si>
  <si>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</si>
  <si>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</si>
  <si>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</si>
  <si>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</si>
  <si>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</si>
  <si>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</si>
  <si>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</si>
  <si>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</si>
  <si>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</si>
  <si>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</si>
  <si>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</si>
  <si>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</si>
  <si>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</si>
  <si>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</si>
  <si>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</si>
  <si>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</si>
  <si>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</si>
  <si>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</si>
  <si>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</si>
  <si>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</si>
  <si>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</si>
  <si>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</si>
  <si>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</si>
  <si>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</si>
  <si>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</si>
  <si>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</si>
  <si>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</si>
  <si>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</si>
  <si>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</si>
  <si>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</si>
  <si>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</si>
  <si>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</si>
  <si>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</si>
  <si>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</si>
  <si>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</si>
  <si>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</si>
  <si>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</si>
  <si>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</si>
  <si>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</si>
  <si>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</si>
  <si>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</si>
  <si>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</si>
  <si>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</si>
  <si>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</si>
  <si>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</si>
  <si>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</si>
  <si>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</si>
  <si>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</si>
  <si>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</si>
  <si>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</si>
  <si>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</si>
  <si>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</si>
  <si>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</si>
  <si>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</si>
  <si>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</si>
  <si>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</si>
  <si>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</si>
  <si>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</si>
  <si>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</si>
  <si>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</si>
  <si>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</si>
  <si>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</si>
  <si>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</si>
  <si>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</si>
  <si>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</si>
  <si>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</si>
  <si>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</si>
  <si>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</si>
  <si>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</si>
  <si>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</si>
  <si>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</si>
  <si>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</si>
  <si>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</si>
  <si>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</si>
  <si>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</si>
  <si>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</si>
  <si>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</si>
  <si>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</si>
  <si>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</si>
  <si>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</si>
  <si>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</si>
  <si>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</si>
  <si>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</si>
  <si>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</si>
  <si>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</si>
  <si>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</si>
  <si>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</si>
  <si>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</si>
  <si>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</si>
  <si>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</si>
  <si>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</si>
  <si>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</si>
  <si>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</si>
  <si>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</si>
  <si>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</si>
  <si>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</si>
  <si>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</si>
  <si>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</si>
  <si>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</si>
  <si>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</si>
  <si>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</si>
  <si>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</si>
  <si>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</si>
  <si>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</si>
  <si>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</si>
  <si>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</si>
  <si>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</si>
  <si>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</si>
  <si>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</si>
  <si>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</si>
  <si>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</si>
  <si>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</si>
  <si>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</si>
  <si>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</si>
  <si>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</si>
  <si>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</si>
  <si>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</si>
  <si>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</si>
  <si>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</si>
  <si>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</si>
  <si>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</si>
  <si>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</si>
  <si>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</si>
  <si>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</si>
  <si>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</si>
  <si>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</si>
  <si>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</si>
  <si>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</si>
  <si>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</si>
  <si>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</si>
  <si>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</si>
  <si>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</si>
  <si>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</si>
  <si>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</si>
  <si>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</si>
  <si>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</si>
  <si>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</si>
  <si>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</si>
  <si>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</si>
  <si>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</si>
  <si>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</si>
  <si>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</si>
  <si>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</si>
  <si>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</si>
  <si>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</si>
  <si>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</si>
  <si>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</si>
  <si>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</si>
  <si>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</si>
  <si>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</si>
  <si>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</si>
  <si>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</si>
  <si>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</si>
  <si>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</si>
  <si>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</si>
  <si>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</si>
  <si>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</si>
  <si>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</si>
  <si>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</si>
  <si>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</si>
  <si>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</si>
  <si>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</si>
  <si>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</si>
  <si>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</si>
  <si>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</si>
  <si>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</si>
  <si>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</si>
  <si>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</si>
  <si>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</si>
  <si>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</si>
  <si>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</si>
  <si>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</si>
  <si>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</si>
  <si>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</si>
  <si>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</si>
  <si>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</si>
  <si>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</si>
  <si>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</si>
  <si>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</si>
  <si>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</si>
  <si>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</si>
  <si>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</si>
  <si>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</si>
  <si>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</si>
  <si>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</si>
  <si>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</si>
  <si>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</si>
  <si>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</si>
  <si>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</si>
  <si>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</si>
  <si>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</si>
  <si>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</si>
  <si>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</si>
  <si>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</si>
  <si>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</si>
  <si>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</si>
  <si>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</si>
  <si>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</si>
  <si>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</si>
  <si>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</si>
  <si>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</si>
  <si>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</si>
  <si>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</si>
  <si>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</si>
  <si>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</si>
  <si>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</si>
  <si>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</si>
  <si>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</si>
  <si>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</si>
  <si>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</si>
  <si>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</si>
  <si>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</si>
  <si>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</si>
  <si>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</si>
  <si>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</si>
  <si>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</si>
  <si>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</si>
  <si>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</si>
  <si>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</si>
  <si>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</si>
  <si>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</si>
  <si>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</si>
  <si>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</si>
  <si>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</si>
  <si>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</si>
  <si>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</si>
  <si>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</si>
  <si>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</si>
  <si>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</si>
  <si>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</si>
  <si>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</si>
  <si>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</si>
  <si>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</si>
  <si>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</si>
  <si>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</si>
  <si>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</si>
  <si>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</si>
  <si>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</si>
  <si>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</si>
  <si>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</si>
  <si>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</si>
  <si>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</si>
  <si>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</si>
  <si>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</si>
  <si>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</si>
  <si>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</si>
  <si>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</si>
  <si>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</si>
  <si>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</si>
  <si>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</si>
  <si>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</si>
  <si>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</si>
  <si>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</si>
  <si>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</si>
  <si>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</si>
  <si>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</si>
  <si>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</si>
  <si>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</si>
  <si>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</si>
  <si>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</si>
  <si>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</si>
  <si>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</si>
  <si>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</si>
  <si>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</si>
  <si>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</si>
  <si>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</si>
  <si>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</si>
  <si>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</si>
  <si>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</si>
  <si>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</si>
  <si>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</si>
  <si>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</si>
  <si>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</si>
  <si>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</si>
  <si>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</si>
  <si>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</si>
  <si>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</si>
  <si>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</si>
  <si>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</si>
  <si>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</si>
  <si>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</si>
  <si>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</si>
  <si>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</si>
  <si>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</si>
  <si>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</si>
  <si>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</si>
  <si>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</si>
  <si>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</si>
  <si>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</si>
  <si>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</si>
  <si>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</si>
  <si>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</si>
  <si>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</si>
  <si>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</si>
  <si>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</si>
  <si>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</si>
  <si>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</si>
  <si>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</si>
  <si>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</si>
  <si>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</si>
  <si>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</si>
  <si>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</si>
  <si>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</si>
  <si>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</si>
  <si>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</si>
  <si>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</si>
  <si>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</si>
  <si>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</si>
  <si>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</si>
  <si>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</si>
  <si>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</si>
  <si>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</si>
  <si>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</si>
  <si>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</si>
  <si>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</si>
  <si>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</si>
  <si>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</si>
  <si>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</si>
  <si>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</si>
  <si>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</si>
  <si>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</si>
  <si>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</si>
  <si>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</si>
  <si>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</si>
  <si>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</si>
  <si>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</si>
  <si>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</si>
  <si>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</si>
  <si>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</si>
  <si>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</si>
  <si>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</si>
  <si>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</si>
  <si>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</si>
  <si>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</si>
  <si>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</si>
  <si>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</si>
  <si>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</si>
  <si>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</si>
  <si>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</si>
  <si>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</si>
  <si>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</si>
  <si>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</si>
  <si>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</si>
  <si>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</si>
  <si>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</si>
  <si>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</si>
  <si>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</si>
  <si>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</si>
  <si>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</si>
  <si>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</si>
  <si>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</si>
  <si>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</si>
  <si>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</si>
  <si>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</si>
  <si>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</si>
  <si>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</si>
  <si>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</si>
  <si>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</si>
  <si>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</si>
  <si>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</si>
  <si>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</si>
  <si>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</si>
  <si>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</si>
  <si>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</si>
  <si>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</si>
  <si>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</si>
  <si>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</si>
  <si>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</si>
  <si>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</si>
  <si>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</si>
  <si>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</si>
  <si>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</si>
  <si>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</si>
  <si>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</si>
  <si>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</si>
  <si>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</si>
  <si>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</si>
  <si>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</si>
  <si>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</si>
  <si>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</si>
  <si>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</si>
  <si>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</si>
  <si>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</si>
  <si>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</si>
  <si>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</si>
  <si>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</si>
  <si>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</si>
  <si>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</si>
  <si>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</si>
  <si>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</si>
  <si>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</si>
  <si>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</si>
  <si>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</si>
  <si>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</si>
  <si>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</si>
  <si>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</si>
  <si>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</si>
  <si>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</si>
  <si>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</si>
  <si>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</si>
  <si>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</si>
  <si>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</si>
  <si>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</si>
  <si>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</si>
  <si>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</si>
  <si>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</si>
  <si>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</si>
  <si>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</si>
  <si>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</si>
  <si>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</si>
  <si>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</si>
  <si>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</si>
  <si>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</si>
  <si>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</si>
  <si>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</si>
  <si>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</si>
  <si>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</si>
  <si>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</si>
  <si>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</si>
  <si>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</si>
  <si>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</si>
  <si>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</si>
  <si>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</si>
  <si>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</si>
  <si>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</si>
  <si>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</si>
  <si>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</si>
  <si>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</si>
  <si>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</si>
  <si>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</si>
  <si>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</si>
  <si>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</si>
  <si>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</si>
  <si>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</si>
  <si>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</si>
  <si>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</si>
  <si>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</si>
  <si>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</si>
  <si>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</si>
  <si>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</si>
  <si>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</si>
  <si>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</si>
  <si>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</si>
  <si>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</si>
  <si>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</si>
  <si>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</si>
  <si>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</si>
  <si>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</si>
  <si>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</si>
  <si>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</si>
  <si>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</si>
  <si>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</si>
  <si>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</si>
  <si>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</si>
  <si>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</si>
  <si>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</si>
  <si>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</si>
  <si>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</si>
  <si>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</si>
  <si>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</si>
  <si>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</si>
  <si>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</si>
  <si>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</si>
  <si>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</si>
  <si>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</si>
  <si>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</si>
  <si>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</si>
  <si>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</si>
  <si>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</si>
  <si>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</si>
  <si>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</si>
  <si>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</si>
  <si>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</si>
  <si>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</si>
  <si>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</si>
  <si>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</si>
  <si>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</si>
  <si>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</si>
  <si>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</si>
  <si>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</si>
  <si>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</si>
  <si>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</si>
  <si>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</si>
  <si>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</si>
  <si>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</si>
  <si>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</si>
  <si>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</si>
  <si>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</si>
  <si>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</si>
  <si>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</si>
  <si>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</si>
  <si>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</si>
  <si>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</si>
  <si>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</si>
  <si>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</si>
  <si>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</si>
  <si>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</si>
  <si>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</si>
  <si>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</si>
  <si>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</si>
  <si>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</si>
  <si>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</si>
  <si>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</si>
  <si>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</si>
  <si>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</si>
  <si>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</si>
  <si>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</si>
  <si>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</si>
  <si>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</si>
  <si>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</si>
  <si>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</si>
  <si>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</si>
  <si>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</si>
  <si>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</si>
  <si>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</si>
  <si>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</si>
  <si>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</si>
  <si>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</si>
  <si>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</si>
  <si>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</si>
  <si>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</si>
  <si>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</si>
  <si>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</si>
  <si>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</si>
  <si>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</si>
  <si>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</si>
  <si>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</si>
  <si>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</si>
  <si>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</si>
  <si>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</si>
  <si>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</si>
  <si>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</si>
  <si>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</si>
  <si>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</si>
  <si>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</si>
  <si>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</si>
  <si>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</si>
  <si>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</si>
  <si>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</si>
  <si>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</si>
  <si>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</si>
  <si>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</si>
  <si>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</si>
  <si>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</si>
  <si>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</si>
  <si>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</si>
  <si>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</si>
  <si>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</si>
  <si>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</si>
  <si>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</si>
  <si>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</si>
  <si>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</si>
  <si>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</si>
  <si>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</si>
  <si>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</si>
  <si>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</si>
  <si>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</si>
  <si>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</si>
  <si>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</si>
  <si>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</si>
  <si>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</si>
  <si>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</si>
  <si>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</si>
  <si>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</si>
  <si>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</si>
  <si>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</si>
  <si>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</si>
  <si>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</si>
  <si>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</si>
  <si>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</si>
  <si>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</si>
  <si>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</si>
  <si>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</si>
  <si>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</si>
  <si>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</si>
  <si>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</si>
  <si>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</si>
  <si>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</si>
  <si>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</si>
  <si>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</si>
  <si>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</si>
  <si>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</si>
  <si>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</si>
  <si>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</si>
  <si>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</si>
  <si>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</si>
  <si>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</si>
  <si>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</si>
  <si>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</si>
  <si>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</si>
  <si>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</si>
  <si>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</si>
  <si>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</si>
  <si>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</si>
  <si>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</si>
  <si>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</si>
  <si>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</si>
  <si>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</si>
  <si>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</si>
  <si>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</si>
  <si>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</si>
  <si>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</si>
  <si>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</si>
  <si>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</si>
  <si>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</si>
  <si>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</si>
  <si>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</si>
  <si>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</si>
  <si>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</si>
  <si>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</si>
  <si>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</si>
  <si>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</si>
  <si>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</si>
  <si>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</si>
  <si>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</si>
  <si>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</si>
  <si>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</si>
  <si>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</si>
  <si>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</si>
  <si>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</si>
  <si>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</si>
  <si>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</si>
  <si>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</si>
  <si>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</si>
  <si>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</si>
  <si>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</si>
  <si>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</si>
  <si>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</si>
  <si>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</si>
  <si>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</si>
  <si>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</si>
  <si>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</si>
  <si>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</si>
  <si>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</si>
  <si>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</si>
  <si>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</si>
  <si>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</si>
  <si>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</si>
  <si>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</si>
  <si>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</si>
  <si>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</si>
  <si>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</si>
  <si>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</si>
  <si>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</si>
  <si>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</si>
  <si>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</si>
  <si>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</si>
  <si>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</si>
  <si>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</si>
  <si>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</si>
  <si>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</si>
  <si>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</si>
  <si>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</si>
  <si>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</si>
  <si>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</si>
  <si>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</si>
  <si>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</si>
  <si>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</si>
  <si>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</si>
  <si>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</si>
  <si>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</si>
  <si>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</si>
  <si>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</si>
  <si>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</si>
  <si>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</si>
  <si>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</si>
  <si>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</si>
  <si>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</si>
  <si>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</si>
  <si>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</si>
  <si>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</si>
  <si>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</si>
  <si>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</si>
  <si>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</si>
  <si>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</si>
  <si>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</si>
  <si>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</si>
  <si>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</si>
  <si>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</si>
  <si>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</si>
  <si>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</si>
  <si>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</si>
  <si>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</si>
  <si>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</si>
  <si>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</si>
  <si>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</si>
  <si>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</si>
  <si>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</si>
  <si>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</si>
  <si>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</si>
  <si>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</si>
  <si>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</si>
  <si>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</si>
  <si>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</si>
  <si>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</si>
  <si>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</si>
  <si>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</si>
  <si>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</si>
  <si>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</si>
  <si>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</si>
  <si>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</si>
  <si>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</si>
  <si>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</si>
  <si>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</si>
  <si>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</si>
  <si>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</si>
  <si>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</si>
  <si>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</si>
  <si>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</si>
  <si>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</si>
  <si>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</si>
  <si>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</si>
  <si>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</si>
  <si>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</si>
  <si>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</si>
  <si>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</si>
  <si>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</si>
  <si>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</si>
  <si>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</si>
  <si>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</si>
  <si>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</si>
  <si>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</si>
  <si>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</si>
  <si>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</si>
  <si>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</si>
  <si>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</si>
  <si>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</si>
  <si>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</si>
  <si>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</si>
  <si>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</si>
  <si>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</si>
  <si>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</si>
  <si>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</si>
  <si>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</si>
  <si>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</si>
  <si>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</si>
  <si>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</si>
  <si>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</si>
  <si>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</si>
  <si>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</si>
  <si>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</si>
  <si>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</si>
  <si>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</si>
  <si>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</si>
  <si>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</si>
  <si>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</si>
  <si>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</si>
  <si>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</si>
  <si>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</si>
  <si>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</si>
  <si>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</si>
  <si>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</si>
  <si>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</si>
  <si>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</si>
  <si>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</si>
  <si>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</si>
  <si>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</si>
  <si>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</si>
  <si>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</si>
  <si>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</si>
  <si>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</si>
  <si>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</si>
  <si>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</si>
  <si>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</si>
  <si>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</si>
  <si>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</si>
  <si>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</si>
  <si>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</si>
  <si>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</si>
  <si>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</si>
  <si>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</si>
  <si>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</si>
  <si>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</si>
  <si>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</si>
  <si>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</si>
  <si>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</si>
  <si>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</si>
  <si>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</si>
  <si>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</si>
  <si>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</si>
  <si>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</si>
  <si>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</si>
  <si>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</si>
  <si>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</si>
  <si>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</si>
  <si>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</si>
  <si>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</si>
  <si>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</si>
  <si>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</si>
  <si>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</si>
  <si>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</si>
  <si>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</si>
  <si>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</si>
  <si>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</si>
  <si>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</si>
  <si>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</si>
  <si>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</si>
  <si>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</si>
  <si>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</si>
  <si>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</si>
  <si>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</si>
  <si>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</si>
  <si>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</si>
  <si>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</si>
  <si>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</si>
  <si>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</si>
  <si>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</si>
  <si>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</si>
  <si>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</si>
  <si>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</si>
  <si>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</si>
  <si>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</si>
  <si>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</si>
  <si>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</si>
  <si>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</si>
  <si>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</si>
  <si>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</si>
  <si>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</si>
  <si>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</si>
  <si>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</si>
  <si>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</si>
  <si>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</si>
  <si>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</si>
  <si>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</si>
  <si>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</si>
  <si>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</si>
  <si>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</si>
  <si>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</si>
  <si>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</si>
  <si>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</si>
  <si>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</si>
  <si>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</si>
  <si>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</si>
  <si>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</si>
  <si>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</si>
  <si>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</si>
  <si>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</si>
  <si>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</si>
  <si>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</si>
  <si>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</si>
  <si>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</si>
  <si>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</si>
  <si>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</si>
  <si>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</si>
  <si>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</si>
  <si>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</si>
  <si>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</si>
  <si>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</si>
  <si>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</si>
  <si>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</si>
  <si>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</si>
  <si>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</si>
  <si>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</si>
  <si>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</si>
  <si>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</si>
  <si>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</si>
  <si>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</si>
  <si>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</si>
  <si>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</si>
  <si>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</si>
  <si>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</si>
  <si>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</si>
  <si>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</si>
  <si>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</si>
  <si>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</si>
  <si>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</si>
  <si>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</si>
  <si>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</si>
  <si>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</si>
  <si>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</si>
  <si>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</si>
  <si>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</si>
  <si>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</si>
  <si>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</si>
  <si>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</si>
  <si>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</si>
  <si>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</si>
  <si>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</si>
  <si>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</si>
  <si>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</si>
  <si>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</si>
  <si>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</si>
  <si>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</si>
  <si>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</si>
  <si>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</si>
  <si>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</si>
  <si>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</si>
  <si>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</si>
  <si>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</si>
  <si>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</si>
  <si>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</si>
  <si>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</si>
  <si>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</si>
  <si>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</si>
  <si>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</si>
  <si>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</si>
  <si>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</si>
  <si>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</si>
  <si>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</si>
  <si>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</si>
  <si>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</si>
  <si>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</si>
  <si>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</si>
  <si>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</si>
  <si>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</si>
  <si>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</si>
  <si>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</si>
  <si>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</si>
  <si>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</si>
  <si>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</si>
  <si>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</si>
  <si>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</si>
  <si>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</si>
  <si>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</si>
  <si>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</si>
  <si>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</si>
  <si>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</si>
  <si>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</si>
  <si>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</si>
  <si>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</si>
  <si>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</si>
  <si>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</si>
  <si>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</si>
  <si>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</si>
  <si>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</si>
  <si>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</si>
  <si>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</si>
  <si>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</si>
  <si>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</si>
  <si>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</si>
  <si>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</si>
  <si>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</si>
  <si>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</si>
  <si>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</si>
  <si>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</si>
  <si>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</si>
  <si>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</si>
  <si>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</si>
  <si>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</si>
  <si>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</si>
  <si>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</si>
  <si>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</si>
  <si>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</si>
  <si>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</si>
  <si>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</si>
  <si>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</si>
  <si>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</si>
  <si>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</si>
  <si>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</si>
  <si>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</si>
  <si>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</si>
  <si>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</si>
  <si>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</si>
  <si>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</si>
  <si>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</si>
  <si>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</si>
  <si>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</si>
  <si>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</si>
  <si>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</si>
  <si>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</si>
  <si>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</si>
  <si>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</si>
  <si>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</si>
  <si>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</si>
  <si>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</si>
  <si>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</si>
  <si>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</si>
  <si>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</si>
  <si>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</si>
  <si>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</si>
  <si>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</si>
  <si>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</si>
  <si>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</si>
  <si>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</si>
  <si>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</si>
  <si>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</si>
  <si>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</si>
  <si>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</si>
  <si>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</si>
  <si>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</si>
  <si>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</si>
  <si>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Mack &amp; Associates, P.C.</t>
  </si>
  <si>
    <t>Tawnya Mack, CPA</t>
  </si>
  <si>
    <t>116 E. Washington St., Suite One</t>
  </si>
  <si>
    <t>Morris</t>
  </si>
  <si>
    <t>IL</t>
  </si>
  <si>
    <t>815-942-3306</t>
  </si>
  <si>
    <t>815-942-9430</t>
  </si>
  <si>
    <t>066-005100</t>
  </si>
  <si>
    <t>tmack@mackcpas.com</t>
  </si>
  <si>
    <t>x</t>
  </si>
  <si>
    <t>LaSalle</t>
  </si>
  <si>
    <t>400 S. Lane Street</t>
  </si>
  <si>
    <t>Ransom</t>
  </si>
  <si>
    <t>mpbaima@ransomgradeschool.net</t>
  </si>
  <si>
    <t>Mary Pat Baima</t>
  </si>
  <si>
    <t>815-586-4611</t>
  </si>
  <si>
    <t>815-586-4306</t>
  </si>
  <si>
    <t>PDF in Opinion Page with signature</t>
  </si>
  <si>
    <t>Page 12, Line 168, Transportation Fund: CTE- Vocational Education</t>
  </si>
  <si>
    <t>Working Cash Bond 2018</t>
  </si>
  <si>
    <t>Shared Professional Development through ROE</t>
  </si>
  <si>
    <t>Fox River Foods through ROE</t>
  </si>
  <si>
    <t>LEASE for Special Education</t>
  </si>
  <si>
    <t>Share Social Working</t>
  </si>
  <si>
    <t>Illinois Central School Bus</t>
  </si>
  <si>
    <t>St. Michael's School-Athletic Program</t>
  </si>
  <si>
    <t>Page 11, Line 107 - Educational Fund - Miscellaneous receipts</t>
  </si>
  <si>
    <t>Paeg 11, Line 107 - Operations and Maintenance - Miscellaneous receipts</t>
  </si>
  <si>
    <t>Page 16, Line 83 - Other Payments to In-State Govt. - Administrative payments to LEASE</t>
  </si>
  <si>
    <t>Page 9, Line 17 - Educational Fund - Livingston County 1% sales tax</t>
  </si>
  <si>
    <t>O&amp;M - O&amp;M PLANT - PURCHASED SERVICES</t>
  </si>
  <si>
    <t>20-2540-300</t>
  </si>
  <si>
    <t>SHERI LEROY</t>
  </si>
  <si>
    <t>WAHL TO WALL CLEANING</t>
  </si>
  <si>
    <t>IFIBER</t>
  </si>
  <si>
    <t>ED-INSTRUCTION-PURCHASED SERVICES</t>
  </si>
  <si>
    <t>10-1000-300</t>
  </si>
  <si>
    <t>MARCO, INC</t>
  </si>
  <si>
    <t>TRANS - PUPIL TRANS - PURCHASED SERVICES</t>
  </si>
  <si>
    <t>40-2550-300</t>
  </si>
  <si>
    <t>T.W.A.P.T., INC.</t>
  </si>
  <si>
    <t>ED - INSTRUCTION - PURCHASED SERVICES</t>
  </si>
  <si>
    <t>LAURA MENTGEN</t>
  </si>
  <si>
    <t>IL CENTRAL SCHOOL BUS</t>
  </si>
  <si>
    <t>Page 18, Line 171 - Bond Agent Fees</t>
  </si>
  <si>
    <t>Allen-Otter Creek CCSD 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</si>
</sst>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9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164" fontId="61" fillId="0" borderId="2" xfId="9" applyNumberFormat="1" applyFont="1" applyBorder="1" applyAlignment="1" applyProtection="1">
      <alignment horizontal="left" vertical="center"/>
      <protection locked="0"/>
    </xf>
    <xf numFmtId="177" fontId="61" fillId="0" borderId="2" xfId="9" applyNumberFormat="1" applyFont="1" applyBorder="1" applyAlignment="1" applyProtection="1">
      <alignment horizontal="right"/>
      <protection locked="0"/>
    </xf>
    <xf numFmtId="38" fontId="54" fillId="0" borderId="2" xfId="9" applyNumberFormat="1" applyFont="1" applyBorder="1" applyAlignment="1" applyProtection="1">
      <alignment horizontal="right"/>
      <protection locked="0"/>
    </xf>
    <xf numFmtId="3" fontId="54" fillId="0" borderId="2" xfId="9" applyNumberFormat="1" applyFont="1" applyBorder="1" applyAlignment="1" applyProtection="1">
      <alignment horizontal="right" vertical="center"/>
      <protection locked="0"/>
    </xf>
    <xf numFmtId="49" fontId="132" fillId="0" borderId="109" xfId="18" applyNumberFormat="1" applyFont="1" applyBorder="1" applyAlignment="1" applyProtection="1">
      <alignment horizontal="center" vertical="center"/>
      <protection locked="0"/>
    </xf>
    <xf numFmtId="49" fontId="132" fillId="0" borderId="107" xfId="18" applyNumberFormat="1" applyFont="1" applyBorder="1" applyAlignment="1" applyProtection="1">
      <alignment horizontal="center" vertic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32" fillId="0" borderId="125" xfId="2" applyBorder="1" applyAlignment="1" applyProtection="1">
      <protection locked="0"/>
    </xf>
    <xf numFmtId="0" fontId="15" fillId="0" borderId="128" xfId="0" applyFont="1" applyBorder="1" applyProtection="1">
      <protection locked="0"/>
    </xf>
    <xf numFmtId="0" fontId="15" fillId="0" borderId="126" xfId="0" applyFont="1" applyBorder="1" applyProtection="1">
      <protection locked="0"/>
    </xf>
    <xf numFmtId="0" fontId="12" fillId="0" borderId="17" xfId="12" applyFont="1" applyBorder="1" applyAlignment="1" applyProtection="1">
      <alignment horizontal="left" vertical="center" indent="1"/>
      <protection locked="0"/>
    </xf>
    <xf numFmtId="0" fontId="12" fillId="0" borderId="0" xfId="0" applyFont="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Font="1" applyBorder="1" applyAlignment="1" applyProtection="1">
      <alignment horizontal="left" vertical="center" indent="1"/>
      <protection locked="0"/>
    </xf>
    <xf numFmtId="0" fontId="12" fillId="0" borderId="126" xfId="12"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25" xfId="12" applyFont="1" applyBorder="1" applyAlignment="1" applyProtection="1">
      <alignment horizontal="left" vertical="center" readingOrder="1"/>
      <protection locked="0"/>
    </xf>
    <xf numFmtId="0" fontId="12" fillId="0" borderId="128" xfId="0" applyFont="1" applyBorder="1" applyAlignment="1" applyProtection="1">
      <alignment horizontal="left" vertical="center" readingOrder="1"/>
      <protection locked="0"/>
    </xf>
    <xf numFmtId="0" fontId="9" fillId="0" borderId="128" xfId="0" applyFont="1" applyBorder="1" applyAlignment="1" applyProtection="1">
      <alignment vertical="center" readingOrder="1"/>
      <protection locked="0"/>
    </xf>
    <xf numFmtId="0" fontId="9" fillId="0" borderId="126" xfId="0" applyFont="1" applyBorder="1" applyAlignment="1" applyProtection="1">
      <alignment vertical="center" readingOrder="1"/>
      <protection locked="0"/>
    </xf>
    <xf numFmtId="0" fontId="12" fillId="0" borderId="125" xfId="12" applyFont="1" applyBorder="1" applyAlignment="1" applyProtection="1">
      <alignment horizontal="left" vertical="center"/>
      <protection locked="0"/>
    </xf>
    <xf numFmtId="0" fontId="12" fillId="0" borderId="128" xfId="0" applyFont="1" applyBorder="1" applyAlignment="1" applyProtection="1">
      <alignment horizontal="left" vertical="center"/>
      <protection locked="0"/>
    </xf>
    <xf numFmtId="0" fontId="9" fillId="0" borderId="128" xfId="0" applyFont="1" applyBorder="1" applyAlignment="1" applyProtection="1">
      <alignment vertical="center"/>
      <protection locked="0"/>
    </xf>
    <xf numFmtId="0" fontId="9" fillId="0" borderId="126"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25" xfId="12"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914400</xdr:colOff>
          <xdr:row>15</xdr:row>
          <xdr:rowOff>38100</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914400</xdr:colOff>
          <xdr:row>20</xdr:row>
          <xdr:rowOff>38100</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B48"/>
  <sheetViews>
    <sheetView showGridLines="0" tabSelected="1" zoomScale="80" zoomScaleNormal="8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23" t="s">
        <v>405</v>
      </c>
      <c r="J1" s="2024"/>
      <c r="K1" s="2024"/>
      <c r="L1" s="2024"/>
      <c r="M1" s="2024"/>
      <c r="N1" s="2024"/>
      <c r="O1" s="2024"/>
      <c r="P1" s="2024"/>
      <c r="Q1" s="2024"/>
      <c r="R1" s="2024"/>
      <c r="S1" s="2024"/>
    </row>
    <row r="2" spans="1:28" ht="12" customHeight="1" x14ac:dyDescent="0.2">
      <c r="A2" s="47" t="s">
        <v>1991</v>
      </c>
      <c r="D2" s="48"/>
      <c r="I2" s="2025" t="s">
        <v>979</v>
      </c>
      <c r="J2" s="2024"/>
      <c r="K2" s="2024"/>
      <c r="L2" s="2024"/>
      <c r="M2" s="2024"/>
      <c r="N2" s="2024"/>
      <c r="O2" s="2024"/>
      <c r="P2" s="2024"/>
      <c r="Q2" s="2024"/>
      <c r="R2" s="2024"/>
      <c r="S2" s="2024"/>
    </row>
    <row r="3" spans="1:28" ht="12" customHeight="1" x14ac:dyDescent="0.2">
      <c r="A3" s="155" t="s">
        <v>1943</v>
      </c>
      <c r="B3" s="156"/>
      <c r="C3" s="156"/>
      <c r="D3" s="157"/>
      <c r="I3" s="2025" t="s">
        <v>52</v>
      </c>
      <c r="J3" s="2024"/>
      <c r="K3" s="2024"/>
      <c r="L3" s="2024"/>
      <c r="M3" s="2024"/>
      <c r="N3" s="2024"/>
      <c r="O3" s="2024"/>
      <c r="P3" s="2024"/>
      <c r="Q3" s="2024"/>
      <c r="R3" s="2024"/>
      <c r="S3" s="2024"/>
    </row>
    <row r="4" spans="1:28" ht="12" customHeight="1" x14ac:dyDescent="0.2">
      <c r="A4" s="37"/>
      <c r="I4" s="2025" t="s">
        <v>524</v>
      </c>
      <c r="J4" s="2024"/>
      <c r="K4" s="2024"/>
      <c r="L4" s="2024"/>
      <c r="M4" s="2024"/>
      <c r="N4" s="2024"/>
      <c r="O4" s="2024"/>
      <c r="P4" s="2024"/>
      <c r="Q4" s="2024"/>
      <c r="R4" s="2024"/>
      <c r="S4" s="2024"/>
    </row>
    <row r="5" spans="1:28" ht="14.1" customHeight="1" x14ac:dyDescent="0.2">
      <c r="B5" s="104" t="s">
        <v>2073</v>
      </c>
      <c r="C5" s="26" t="s">
        <v>910</v>
      </c>
      <c r="D5" s="84"/>
      <c r="E5" s="84"/>
      <c r="H5" s="38"/>
      <c r="I5" s="2032" t="s">
        <v>680</v>
      </c>
      <c r="J5" s="1974"/>
      <c r="K5" s="1974"/>
      <c r="L5" s="1974"/>
      <c r="M5" s="1974"/>
      <c r="N5" s="1974"/>
      <c r="O5" s="1974"/>
      <c r="P5" s="1974"/>
      <c r="Q5" s="1974"/>
      <c r="R5" s="1974"/>
      <c r="S5" s="1974"/>
    </row>
    <row r="6" spans="1:28" ht="14.1" customHeight="1" x14ac:dyDescent="0.2">
      <c r="B6" s="104"/>
      <c r="C6" s="26" t="s">
        <v>911</v>
      </c>
      <c r="D6" s="84"/>
      <c r="E6" s="84"/>
      <c r="I6" s="2031" t="s">
        <v>883</v>
      </c>
      <c r="J6" s="1974"/>
      <c r="K6" s="1974"/>
      <c r="L6" s="1974"/>
      <c r="M6" s="1974"/>
      <c r="N6" s="1974"/>
      <c r="O6" s="1974"/>
      <c r="P6" s="1974"/>
      <c r="Q6" s="1974"/>
      <c r="R6" s="1974"/>
      <c r="S6" s="1974"/>
    </row>
    <row r="7" spans="1:28" ht="12.2" customHeight="1" x14ac:dyDescent="0.2">
      <c r="I7" s="2026">
        <v>43646</v>
      </c>
      <c r="J7" s="2027"/>
      <c r="K7" s="2027"/>
      <c r="L7" s="2027"/>
      <c r="M7" s="2027"/>
      <c r="N7" s="2027"/>
      <c r="O7" s="2027"/>
      <c r="P7" s="2027"/>
      <c r="Q7" s="2027"/>
      <c r="R7" s="2027"/>
      <c r="S7" s="202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8" t="s">
        <v>674</v>
      </c>
      <c r="J9" s="2029"/>
      <c r="K9" s="2029"/>
      <c r="L9" s="2029"/>
      <c r="M9" s="2029"/>
      <c r="N9" s="2029"/>
      <c r="O9" s="2029"/>
      <c r="P9" s="2029"/>
      <c r="Q9" s="2029"/>
      <c r="R9" s="2029"/>
      <c r="S9" s="2030"/>
      <c r="T9" s="1970" t="s">
        <v>533</v>
      </c>
      <c r="U9" s="1971"/>
      <c r="V9" s="1971"/>
      <c r="W9" s="1971"/>
      <c r="X9" s="1971"/>
      <c r="Y9" s="1971"/>
      <c r="Z9" s="1971"/>
      <c r="AA9" s="1972"/>
    </row>
    <row r="10" spans="1:28" ht="13.5" customHeight="1" x14ac:dyDescent="0.2">
      <c r="A10" s="1979" t="s">
        <v>675</v>
      </c>
      <c r="B10" s="1980"/>
      <c r="C10" s="1980"/>
      <c r="D10" s="1980"/>
      <c r="E10" s="1980"/>
      <c r="F10" s="1980"/>
      <c r="G10" s="1980"/>
      <c r="H10" s="1981"/>
      <c r="I10" s="29"/>
      <c r="J10" s="30"/>
      <c r="K10" s="28"/>
      <c r="R10" s="30"/>
      <c r="S10" s="30"/>
      <c r="T10" s="1973"/>
      <c r="U10" s="1974"/>
      <c r="V10" s="1974"/>
      <c r="W10" s="1974"/>
      <c r="X10" s="1974"/>
      <c r="Y10" s="1974"/>
      <c r="Z10" s="1974"/>
      <c r="AA10" s="1975"/>
    </row>
    <row r="11" spans="1:28" ht="14.25" customHeight="1" x14ac:dyDescent="0.2">
      <c r="A11" s="1982" t="s">
        <v>955</v>
      </c>
      <c r="B11" s="1983"/>
      <c r="C11" s="1983"/>
      <c r="D11" s="1983"/>
      <c r="E11" s="1983"/>
      <c r="F11" s="1983"/>
      <c r="G11" s="1983"/>
      <c r="H11" s="1984"/>
      <c r="I11" s="27"/>
      <c r="J11" s="74"/>
      <c r="K11" s="27"/>
      <c r="O11" s="148" t="s">
        <v>2073</v>
      </c>
      <c r="P11" s="100" t="s">
        <v>201</v>
      </c>
      <c r="Q11" s="30"/>
      <c r="R11" s="28"/>
      <c r="S11" s="27"/>
      <c r="T11" s="1976"/>
      <c r="U11" s="1977"/>
      <c r="V11" s="1977"/>
      <c r="W11" s="1977"/>
      <c r="X11" s="1977"/>
      <c r="Y11" s="1977"/>
      <c r="Z11" s="1977"/>
      <c r="AA11" s="197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90">
        <v>35050065004</v>
      </c>
      <c r="B13" s="1991"/>
      <c r="C13" s="1991"/>
      <c r="D13" s="1991"/>
      <c r="E13" s="1991"/>
      <c r="F13" s="1991"/>
      <c r="G13" s="1991"/>
      <c r="H13" s="1992"/>
      <c r="I13" s="31"/>
      <c r="J13" s="30"/>
      <c r="K13" s="28"/>
      <c r="L13" s="30"/>
      <c r="M13" s="30"/>
      <c r="N13" s="30"/>
      <c r="O13" s="30"/>
      <c r="P13" s="30"/>
      <c r="Q13" s="30"/>
      <c r="R13" s="30"/>
      <c r="S13" s="30"/>
      <c r="T13" s="1995" t="s">
        <v>2064</v>
      </c>
      <c r="U13" s="1996"/>
      <c r="V13" s="1996"/>
      <c r="W13" s="1996"/>
      <c r="X13" s="1996"/>
      <c r="Y13" s="1997"/>
      <c r="Z13" s="1997"/>
      <c r="AA13" s="1998"/>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8" t="s">
        <v>2074</v>
      </c>
      <c r="B15" s="1993"/>
      <c r="C15" s="1993"/>
      <c r="D15" s="1993"/>
      <c r="E15" s="1993"/>
      <c r="F15" s="1993"/>
      <c r="G15" s="1993"/>
      <c r="H15" s="1994"/>
      <c r="T15" s="1999" t="s">
        <v>2065</v>
      </c>
      <c r="U15" s="2000"/>
      <c r="V15" s="2000"/>
      <c r="W15" s="2000"/>
      <c r="X15" s="2000"/>
      <c r="Y15" s="2001"/>
      <c r="Z15" s="2001"/>
      <c r="AA15" s="2002"/>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20" t="s">
        <v>2109</v>
      </c>
      <c r="B17" s="2021"/>
      <c r="C17" s="2021"/>
      <c r="D17" s="2021"/>
      <c r="E17" s="2021"/>
      <c r="F17" s="2021"/>
      <c r="G17" s="2021"/>
      <c r="H17" s="2022"/>
      <c r="T17" s="2007" t="s">
        <v>2066</v>
      </c>
      <c r="U17" s="2008"/>
      <c r="V17" s="2008"/>
      <c r="W17" s="2008"/>
      <c r="X17" s="2008"/>
      <c r="Y17" s="2008"/>
      <c r="Z17" s="2008"/>
      <c r="AA17" s="2009"/>
    </row>
    <row r="18" spans="1:27" ht="13.5" customHeight="1" x14ac:dyDescent="0.2">
      <c r="A18" s="85" t="s">
        <v>530</v>
      </c>
      <c r="B18" s="76"/>
      <c r="C18" s="72"/>
      <c r="D18" s="76"/>
      <c r="E18" s="76"/>
      <c r="F18" s="76"/>
      <c r="G18" s="76"/>
      <c r="H18" s="56"/>
      <c r="I18" s="2017" t="s">
        <v>676</v>
      </c>
      <c r="J18" s="2018"/>
      <c r="K18" s="2018"/>
      <c r="L18" s="2018"/>
      <c r="M18" s="2018"/>
      <c r="N18" s="2018"/>
      <c r="O18" s="2018"/>
      <c r="P18" s="2018"/>
      <c r="Q18" s="2018"/>
      <c r="R18" s="2018"/>
      <c r="S18" s="2019"/>
      <c r="T18" s="85" t="s">
        <v>711</v>
      </c>
      <c r="U18" s="51"/>
      <c r="V18" s="72"/>
      <c r="W18" s="50"/>
      <c r="X18" s="85" t="s">
        <v>266</v>
      </c>
      <c r="Y18" s="81"/>
      <c r="Z18" s="159" t="s">
        <v>677</v>
      </c>
      <c r="AA18" s="46"/>
    </row>
    <row r="19" spans="1:27" ht="13.5" customHeight="1" x14ac:dyDescent="0.2">
      <c r="A19" s="1988" t="s">
        <v>2075</v>
      </c>
      <c r="B19" s="1989"/>
      <c r="C19" s="1989"/>
      <c r="D19" s="1989"/>
      <c r="E19" s="1989"/>
      <c r="F19" s="1989"/>
      <c r="G19" s="1989"/>
      <c r="H19" s="1987"/>
      <c r="I19" s="30"/>
      <c r="J19" s="99"/>
      <c r="K19" s="40"/>
      <c r="L19" s="38"/>
      <c r="M19" s="112" t="s">
        <v>315</v>
      </c>
      <c r="P19" s="27"/>
      <c r="Q19" s="27"/>
      <c r="R19" s="27"/>
      <c r="S19" s="31"/>
      <c r="T19" s="1988" t="s">
        <v>2067</v>
      </c>
      <c r="U19" s="1986"/>
      <c r="V19" s="1986"/>
      <c r="W19" s="1987"/>
      <c r="X19" s="2005" t="s">
        <v>2068</v>
      </c>
      <c r="Y19" s="2006"/>
      <c r="Z19" s="2003">
        <v>60450</v>
      </c>
      <c r="AA19" s="2004"/>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5" t="s">
        <v>2076</v>
      </c>
      <c r="B21" s="1986"/>
      <c r="C21" s="1986"/>
      <c r="D21" s="1986"/>
      <c r="E21" s="1986"/>
      <c r="F21" s="1986"/>
      <c r="G21" s="1986"/>
      <c r="H21" s="1987"/>
      <c r="I21" s="2013" t="s">
        <v>678</v>
      </c>
      <c r="J21" s="1974"/>
      <c r="K21" s="1974"/>
      <c r="L21" s="1974"/>
      <c r="M21" s="1974"/>
      <c r="N21" s="1974"/>
      <c r="O21" s="1974"/>
      <c r="P21" s="1974"/>
      <c r="Q21" s="1974"/>
      <c r="R21" s="1974"/>
      <c r="S21" s="1975"/>
      <c r="T21" s="1953" t="s">
        <v>2069</v>
      </c>
      <c r="U21" s="1954"/>
      <c r="V21" s="1954"/>
      <c r="W21" s="1954"/>
      <c r="X21" s="1967" t="s">
        <v>2070</v>
      </c>
      <c r="Y21" s="1968"/>
      <c r="Z21" s="1968"/>
      <c r="AA21" s="1969"/>
    </row>
    <row r="22" spans="1:27" ht="13.5" customHeight="1" x14ac:dyDescent="0.2">
      <c r="A22" s="87" t="s">
        <v>531</v>
      </c>
      <c r="B22" s="59"/>
      <c r="C22" s="59"/>
      <c r="D22" s="59"/>
      <c r="E22" s="59"/>
      <c r="F22" s="59"/>
      <c r="G22" s="59"/>
      <c r="H22" s="60"/>
      <c r="I22" s="2014" t="s">
        <v>1429</v>
      </c>
      <c r="J22" s="2015"/>
      <c r="K22" s="2015"/>
      <c r="L22" s="2015"/>
      <c r="M22" s="2015"/>
      <c r="N22" s="2015"/>
      <c r="O22" s="2015"/>
      <c r="P22" s="2015"/>
      <c r="Q22" s="2015"/>
      <c r="R22" s="2015"/>
      <c r="S22" s="2016"/>
      <c r="T22" s="85" t="s">
        <v>1516</v>
      </c>
      <c r="U22" s="51"/>
      <c r="V22" s="72"/>
      <c r="W22" s="51"/>
      <c r="X22" s="160" t="s">
        <v>1318</v>
      </c>
      <c r="Z22" s="45"/>
      <c r="AA22" s="46"/>
    </row>
    <row r="23" spans="1:27" ht="13.5" customHeight="1" x14ac:dyDescent="0.2">
      <c r="A23" s="2010" t="s">
        <v>2077</v>
      </c>
      <c r="B23" s="2011"/>
      <c r="C23" s="2011"/>
      <c r="D23" s="2011"/>
      <c r="E23" s="2011"/>
      <c r="F23" s="2011"/>
      <c r="G23" s="2011"/>
      <c r="H23" s="2012"/>
      <c r="T23" s="1948" t="s">
        <v>2071</v>
      </c>
      <c r="U23" s="1949"/>
      <c r="V23" s="1949"/>
      <c r="W23" s="1949"/>
      <c r="X23" s="1964">
        <v>44530</v>
      </c>
      <c r="Y23" s="1965"/>
      <c r="Z23" s="1965"/>
      <c r="AA23" s="1966"/>
    </row>
    <row r="24" spans="1:27" ht="14.1" customHeight="1" x14ac:dyDescent="0.2">
      <c r="A24" s="88" t="s">
        <v>677</v>
      </c>
      <c r="B24" s="49"/>
      <c r="C24" s="49"/>
      <c r="D24" s="49"/>
      <c r="E24" s="49"/>
      <c r="F24" s="49"/>
      <c r="G24" s="49"/>
      <c r="H24" s="61"/>
      <c r="J24" s="2053">
        <f>IF(B5="x",IF(AUDITCHECK!D29="AFR form Incomplete.","",IF(AUDITCHECK!D29="Deficit reduction plan is required.","School District must complete a deficit reduction plan in the 2019-2020 Budget",)),"")</f>
        <v>0</v>
      </c>
      <c r="K24" s="2053"/>
      <c r="L24" s="2053"/>
      <c r="M24" s="2053"/>
      <c r="N24" s="2053"/>
      <c r="O24" s="2053"/>
      <c r="P24" s="2053"/>
      <c r="Q24" s="2053"/>
      <c r="R24" s="2053"/>
      <c r="S24" s="2054"/>
      <c r="T24" s="105" t="s">
        <v>531</v>
      </c>
      <c r="U24" s="106"/>
      <c r="V24" s="106"/>
      <c r="W24" s="106"/>
      <c r="X24" s="107"/>
      <c r="Y24" s="107"/>
      <c r="Z24" s="107"/>
      <c r="AA24" s="108"/>
    </row>
    <row r="25" spans="1:27" ht="14.1" customHeight="1" x14ac:dyDescent="0.2">
      <c r="A25" s="1985">
        <v>60470</v>
      </c>
      <c r="B25" s="1986"/>
      <c r="C25" s="1986"/>
      <c r="D25" s="1986"/>
      <c r="E25" s="1986"/>
      <c r="F25" s="1986"/>
      <c r="G25" s="1986"/>
      <c r="H25" s="1987"/>
      <c r="I25" s="113"/>
      <c r="J25" s="2055"/>
      <c r="K25" s="2055"/>
      <c r="L25" s="2055"/>
      <c r="M25" s="2055"/>
      <c r="N25" s="2055"/>
      <c r="O25" s="2055"/>
      <c r="P25" s="2055"/>
      <c r="Q25" s="2055"/>
      <c r="R25" s="2055"/>
      <c r="S25" s="2056"/>
      <c r="T25" s="1945" t="s">
        <v>2072</v>
      </c>
      <c r="U25" s="1946"/>
      <c r="V25" s="1946"/>
      <c r="W25" s="1946"/>
      <c r="X25" s="1946"/>
      <c r="Y25" s="1946"/>
      <c r="Z25" s="1946"/>
      <c r="AA25" s="194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6" t="s">
        <v>1511</v>
      </c>
      <c r="J27" s="2018"/>
      <c r="K27" s="2018"/>
      <c r="L27" s="2018"/>
      <c r="M27" s="2018"/>
      <c r="N27" s="2018"/>
      <c r="O27" s="2018"/>
      <c r="P27" s="2018"/>
      <c r="Q27" s="2018"/>
      <c r="R27" s="2018"/>
      <c r="S27" s="2019"/>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2073</v>
      </c>
      <c r="M29" s="40" t="s">
        <v>99</v>
      </c>
      <c r="N29" s="32" t="s">
        <v>1523</v>
      </c>
      <c r="O29" s="32"/>
      <c r="P29" s="32"/>
      <c r="Q29" s="32"/>
      <c r="R29" s="32"/>
      <c r="S29" s="123"/>
      <c r="T29" s="6"/>
      <c r="U29" s="6"/>
      <c r="V29" s="6"/>
      <c r="W29" s="6"/>
      <c r="X29" s="6"/>
      <c r="Y29" s="6"/>
      <c r="Z29" s="6"/>
      <c r="AA29" s="132"/>
    </row>
    <row r="30" spans="1:27" ht="13.5" customHeight="1" x14ac:dyDescent="0.2">
      <c r="A30" s="153"/>
      <c r="B30" s="136" t="s">
        <v>2073</v>
      </c>
      <c r="C30" s="124" t="s">
        <v>1164</v>
      </c>
      <c r="D30" s="28"/>
      <c r="E30" s="28"/>
      <c r="F30" s="140"/>
      <c r="G30" s="114"/>
      <c r="H30" s="114"/>
      <c r="I30" s="54"/>
      <c r="J30" s="102"/>
      <c r="K30" s="28" t="s">
        <v>576</v>
      </c>
      <c r="L30" s="148" t="s">
        <v>2073</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2073</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2073</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9"/>
      <c r="Q35" s="1986"/>
      <c r="R35" s="198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20" t="s">
        <v>2078</v>
      </c>
      <c r="B38" s="2021"/>
      <c r="C38" s="2021"/>
      <c r="D38" s="2021"/>
      <c r="E38" s="2021"/>
      <c r="F38" s="1986"/>
      <c r="G38" s="1986"/>
      <c r="H38" s="1987"/>
      <c r="I38" s="2040"/>
      <c r="J38" s="1957"/>
      <c r="K38" s="1957"/>
      <c r="L38" s="1957"/>
      <c r="M38" s="1957"/>
      <c r="N38" s="1957"/>
      <c r="O38" s="1957"/>
      <c r="P38" s="1958"/>
      <c r="Q38" s="1958"/>
      <c r="R38" s="1958"/>
      <c r="S38" s="1959"/>
      <c r="T38" s="1956"/>
      <c r="U38" s="1957"/>
      <c r="V38" s="1957"/>
      <c r="W38" s="1957"/>
      <c r="X38" s="1958"/>
      <c r="Y38" s="1958"/>
      <c r="Z38" s="1958"/>
      <c r="AA38" s="1959"/>
    </row>
    <row r="39" spans="1:27" ht="12" customHeight="1" x14ac:dyDescent="0.2">
      <c r="A39" s="2044" t="s">
        <v>531</v>
      </c>
      <c r="B39" s="2045"/>
      <c r="C39" s="72"/>
      <c r="D39" s="69"/>
      <c r="E39" s="69"/>
      <c r="F39" s="79"/>
      <c r="G39" s="69"/>
      <c r="H39" s="56"/>
      <c r="I39" s="2044" t="s">
        <v>531</v>
      </c>
      <c r="J39" s="2045"/>
      <c r="K39" s="2045"/>
      <c r="L39" s="2045"/>
      <c r="M39" s="2045"/>
      <c r="N39" s="67"/>
      <c r="O39" s="72"/>
      <c r="P39" s="72"/>
      <c r="Q39" s="78"/>
      <c r="R39" s="72"/>
      <c r="S39" s="56"/>
      <c r="T39" s="72" t="s">
        <v>531</v>
      </c>
      <c r="U39" s="51"/>
      <c r="V39" s="72"/>
      <c r="W39" s="50"/>
      <c r="X39" s="78"/>
      <c r="Y39" s="45"/>
      <c r="Z39" s="45"/>
      <c r="AA39" s="46"/>
    </row>
    <row r="40" spans="1:27" ht="13.5" customHeight="1" x14ac:dyDescent="0.2">
      <c r="A40" s="2047" t="s">
        <v>2077</v>
      </c>
      <c r="B40" s="2048"/>
      <c r="C40" s="2049"/>
      <c r="D40" s="2049"/>
      <c r="E40" s="2049"/>
      <c r="F40" s="2050"/>
      <c r="G40" s="2050"/>
      <c r="H40" s="2051"/>
      <c r="I40" s="1960"/>
      <c r="J40" s="1962"/>
      <c r="K40" s="1962"/>
      <c r="L40" s="1962"/>
      <c r="M40" s="1962"/>
      <c r="N40" s="1962"/>
      <c r="O40" s="1962"/>
      <c r="P40" s="1962"/>
      <c r="Q40" s="1962"/>
      <c r="R40" s="1962"/>
      <c r="S40" s="1963"/>
      <c r="T40" s="1960"/>
      <c r="U40" s="1961"/>
      <c r="V40" s="1962"/>
      <c r="W40" s="1962"/>
      <c r="X40" s="1962"/>
      <c r="Y40" s="1962"/>
      <c r="Z40" s="1962"/>
      <c r="AA40" s="196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7" t="s">
        <v>2079</v>
      </c>
      <c r="B42" s="2038"/>
      <c r="C42" s="2039"/>
      <c r="D42" s="2052" t="s">
        <v>2080</v>
      </c>
      <c r="E42" s="2038"/>
      <c r="F42" s="2038"/>
      <c r="G42" s="2038"/>
      <c r="H42" s="2039"/>
      <c r="I42" s="1955"/>
      <c r="J42" s="1951"/>
      <c r="K42" s="1951"/>
      <c r="L42" s="1951"/>
      <c r="M42" s="1951"/>
      <c r="N42" s="1951"/>
      <c r="O42" s="1952"/>
      <c r="P42" s="1950"/>
      <c r="Q42" s="1951"/>
      <c r="R42" s="1951"/>
      <c r="S42" s="1952"/>
      <c r="T42" s="1955"/>
      <c r="U42" s="1951"/>
      <c r="V42" s="1951"/>
      <c r="W42" s="1952"/>
      <c r="X42" s="1950"/>
      <c r="Y42" s="1951"/>
      <c r="Z42" s="1951"/>
      <c r="AA42" s="195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41"/>
      <c r="B44" s="2042"/>
      <c r="C44" s="2042"/>
      <c r="D44" s="2042"/>
      <c r="E44" s="2042"/>
      <c r="F44" s="2042"/>
      <c r="G44" s="2042"/>
      <c r="H44" s="2043"/>
      <c r="I44" s="2033"/>
      <c r="J44" s="2035"/>
      <c r="K44" s="2035"/>
      <c r="L44" s="2035"/>
      <c r="M44" s="2035"/>
      <c r="N44" s="2035"/>
      <c r="O44" s="2035"/>
      <c r="P44" s="2035"/>
      <c r="Q44" s="2035"/>
      <c r="R44" s="2035"/>
      <c r="S44" s="2036"/>
      <c r="T44" s="2033"/>
      <c r="U44" s="2034"/>
      <c r="V44" s="2034"/>
      <c r="W44" s="2034"/>
      <c r="X44" s="2034"/>
      <c r="Y44" s="2034"/>
      <c r="Z44" s="2035"/>
      <c r="AA44" s="2036"/>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F36"/>
  <sheetViews>
    <sheetView showGridLines="0" defaultGridColor="0" topLeftCell="A4" colorId="8" zoomScale="110" zoomScaleNormal="110" workbookViewId="0">
      <selection activeCell="E17" sqref="E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2" t="s">
        <v>104</v>
      </c>
    </row>
    <row r="2" spans="1:6" ht="39.75" customHeight="1" x14ac:dyDescent="0.2">
      <c r="A2" s="2190" t="s">
        <v>1802</v>
      </c>
      <c r="B2" s="1528" t="s">
        <v>1949</v>
      </c>
      <c r="C2" s="714" t="s">
        <v>1950</v>
      </c>
      <c r="D2" s="714" t="s">
        <v>1951</v>
      </c>
      <c r="E2" s="714" t="s">
        <v>1952</v>
      </c>
      <c r="F2" s="714" t="s">
        <v>1953</v>
      </c>
    </row>
    <row r="3" spans="1:6" ht="12" customHeight="1" x14ac:dyDescent="0.2">
      <c r="A3" s="2191"/>
      <c r="B3" s="1525"/>
      <c r="C3" s="1526"/>
      <c r="D3" s="1527" t="s">
        <v>256</v>
      </c>
      <c r="E3" s="1526"/>
      <c r="F3" s="1527" t="s">
        <v>257</v>
      </c>
    </row>
    <row r="4" spans="1:6" ht="13.7" customHeight="1" x14ac:dyDescent="0.2">
      <c r="A4" s="715" t="s">
        <v>1155</v>
      </c>
      <c r="B4" s="1749">
        <f>'Revenues 9-14'!C5</f>
        <v>771181</v>
      </c>
      <c r="C4" s="1524"/>
      <c r="D4" s="1752">
        <f>B4-C4</f>
        <v>771181</v>
      </c>
      <c r="E4" s="1524">
        <v>722576</v>
      </c>
      <c r="F4" s="1752">
        <f>E4-C4</f>
        <v>722576</v>
      </c>
    </row>
    <row r="5" spans="1:6" ht="13.7" customHeight="1" x14ac:dyDescent="0.2">
      <c r="A5" s="715" t="s">
        <v>870</v>
      </c>
      <c r="B5" s="1750">
        <f>'Revenues 9-14'!D5</f>
        <v>135828</v>
      </c>
      <c r="C5" s="585"/>
      <c r="D5" s="1753">
        <f t="shared" ref="D5:D18" si="0">B5-C5</f>
        <v>135828</v>
      </c>
      <c r="E5" s="585">
        <v>193905</v>
      </c>
      <c r="F5" s="1753">
        <f>E5-C5</f>
        <v>193905</v>
      </c>
    </row>
    <row r="6" spans="1:6" ht="13.7" customHeight="1" x14ac:dyDescent="0.2">
      <c r="A6" s="715" t="s">
        <v>411</v>
      </c>
      <c r="B6" s="1750">
        <f>'Revenues 9-14'!E5</f>
        <v>104654</v>
      </c>
      <c r="C6" s="585"/>
      <c r="D6" s="1753">
        <f t="shared" si="0"/>
        <v>104654</v>
      </c>
      <c r="E6" s="585">
        <v>37589</v>
      </c>
      <c r="F6" s="1753">
        <f t="shared" ref="F6:F18" si="1">E6-C6</f>
        <v>37589</v>
      </c>
    </row>
    <row r="7" spans="1:6" ht="13.7" customHeight="1" x14ac:dyDescent="0.2">
      <c r="A7" s="715" t="s">
        <v>155</v>
      </c>
      <c r="B7" s="1750">
        <f>'Revenues 9-14'!F5</f>
        <v>65169</v>
      </c>
      <c r="C7" s="585"/>
      <c r="D7" s="1753">
        <f t="shared" si="0"/>
        <v>65169</v>
      </c>
      <c r="E7" s="585">
        <v>61063</v>
      </c>
      <c r="F7" s="1753">
        <f t="shared" si="1"/>
        <v>61063</v>
      </c>
    </row>
    <row r="8" spans="1:6" ht="13.7" customHeight="1" x14ac:dyDescent="0.2">
      <c r="A8" s="715" t="s">
        <v>1179</v>
      </c>
      <c r="B8" s="1750">
        <f>'Revenues 9-14'!G5</f>
        <v>41384</v>
      </c>
      <c r="C8" s="585"/>
      <c r="D8" s="1753">
        <f t="shared" si="0"/>
        <v>41384</v>
      </c>
      <c r="E8" s="585">
        <v>20400</v>
      </c>
      <c r="F8" s="1753">
        <f t="shared" si="1"/>
        <v>20400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27190</v>
      </c>
      <c r="C10" s="585"/>
      <c r="D10" s="1753">
        <f t="shared" si="0"/>
        <v>27190</v>
      </c>
      <c r="E10" s="585">
        <v>25443</v>
      </c>
      <c r="F10" s="1753">
        <f t="shared" si="1"/>
        <v>25443</v>
      </c>
    </row>
    <row r="11" spans="1:6" x14ac:dyDescent="0.2">
      <c r="A11" s="715" t="s">
        <v>409</v>
      </c>
      <c r="B11" s="1750">
        <f>'Revenues 9-14'!J5</f>
        <v>43481</v>
      </c>
      <c r="C11" s="585"/>
      <c r="D11" s="1753">
        <f t="shared" si="0"/>
        <v>43481</v>
      </c>
      <c r="E11" s="585">
        <v>40800</v>
      </c>
      <c r="F11" s="1753">
        <f t="shared" si="1"/>
        <v>40800</v>
      </c>
    </row>
    <row r="12" spans="1:6" ht="13.7" customHeight="1" x14ac:dyDescent="0.2">
      <c r="A12" s="715" t="s">
        <v>157</v>
      </c>
      <c r="B12" s="1750">
        <f>'Revenues 9-14'!K5</f>
        <v>27190</v>
      </c>
      <c r="C12" s="585"/>
      <c r="D12" s="1753">
        <f t="shared" si="0"/>
        <v>27190</v>
      </c>
      <c r="E12" s="585">
        <v>25443</v>
      </c>
      <c r="F12" s="1753">
        <f t="shared" si="1"/>
        <v>25443</v>
      </c>
    </row>
    <row r="13" spans="1:6" ht="13.7" customHeight="1" x14ac:dyDescent="0.2">
      <c r="A13" s="715" t="s">
        <v>936</v>
      </c>
      <c r="B13" s="1750">
        <f>SUM('Revenues 9-14'!C6:D6)</f>
        <v>27190</v>
      </c>
      <c r="C13" s="585"/>
      <c r="D13" s="1753">
        <f t="shared" si="0"/>
        <v>27190</v>
      </c>
      <c r="E13" s="585">
        <v>10203</v>
      </c>
      <c r="F13" s="1753">
        <f t="shared" si="1"/>
        <v>10203</v>
      </c>
    </row>
    <row r="14" spans="1:6" ht="13.7" customHeight="1" x14ac:dyDescent="0.2">
      <c r="A14" s="715" t="s">
        <v>410</v>
      </c>
      <c r="B14" s="1750">
        <f>SUM('Revenues 9-14'!C7:D7,'Revenues 9-14'!F7:H7)</f>
        <v>10899</v>
      </c>
      <c r="C14" s="585"/>
      <c r="D14" s="1753">
        <f t="shared" si="0"/>
        <v>10899</v>
      </c>
      <c r="E14" s="585">
        <v>10177</v>
      </c>
      <c r="F14" s="1753">
        <f t="shared" si="1"/>
        <v>10177</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v>58203</v>
      </c>
      <c r="F16" s="1753">
        <f t="shared" si="1"/>
        <v>58203</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1254166</v>
      </c>
      <c r="C19" s="1751">
        <f>SUM(C4:C18)</f>
        <v>0</v>
      </c>
      <c r="D19" s="1751">
        <f>SUM(D4:D18)</f>
        <v>1254166</v>
      </c>
      <c r="E19" s="1751">
        <f>SUM(E4:E18)</f>
        <v>1205802</v>
      </c>
      <c r="F19" s="1751">
        <f>SUM(F4:F18)</f>
        <v>1205802</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pageSetUpPr fitToPage="1"/>
  </sheetPr>
  <dimension ref="A1:K59"/>
  <sheetViews>
    <sheetView showGridLines="0" defaultGridColor="0" topLeftCell="A27" colorId="8" zoomScaleNormal="100" workbookViewId="0">
      <selection activeCell="J32" sqref="J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6" t="s">
        <v>629</v>
      </c>
      <c r="B1" s="2197"/>
      <c r="C1" s="721"/>
    </row>
    <row r="2" spans="1:7" ht="33.75" x14ac:dyDescent="0.2">
      <c r="A2" s="2205" t="s">
        <v>1802</v>
      </c>
      <c r="B2" s="2206"/>
      <c r="C2" s="1883" t="s">
        <v>1954</v>
      </c>
      <c r="D2" s="723" t="s">
        <v>1955</v>
      </c>
      <c r="E2" s="723" t="s">
        <v>1956</v>
      </c>
      <c r="F2" s="1883" t="s">
        <v>1957</v>
      </c>
    </row>
    <row r="3" spans="1:7" ht="15.75" customHeight="1" x14ac:dyDescent="0.2">
      <c r="A3" s="2209" t="s">
        <v>1114</v>
      </c>
      <c r="B3" s="2210"/>
      <c r="C3" s="2198"/>
      <c r="D3" s="2199"/>
      <c r="E3" s="2199"/>
      <c r="F3" s="2200"/>
    </row>
    <row r="4" spans="1:7" ht="12.75" customHeight="1" thickBot="1" x14ac:dyDescent="0.25">
      <c r="A4" s="2207" t="s">
        <v>630</v>
      </c>
      <c r="B4" s="2208"/>
      <c r="C4" s="581"/>
      <c r="D4" s="581"/>
      <c r="E4" s="581"/>
      <c r="F4" s="1755">
        <f>SUM(C4+D4)-E4</f>
        <v>0</v>
      </c>
    </row>
    <row r="5" spans="1:7" ht="15.75" customHeight="1" thickTop="1" x14ac:dyDescent="0.2">
      <c r="A5" s="2192" t="s">
        <v>1110</v>
      </c>
      <c r="B5" s="2193"/>
      <c r="C5" s="2201"/>
      <c r="D5" s="2202"/>
      <c r="E5" s="2202"/>
      <c r="F5" s="2203"/>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4" t="s">
        <v>631</v>
      </c>
      <c r="B15" s="2195"/>
      <c r="C15" s="1755">
        <f>SUM(C6:C14)</f>
        <v>0</v>
      </c>
      <c r="D15" s="1755">
        <f>SUM(D6:D14)</f>
        <v>0</v>
      </c>
      <c r="E15" s="1755">
        <f>SUM(E6:E14)</f>
        <v>0</v>
      </c>
      <c r="F15" s="1755">
        <f>SUM(F6:F14)</f>
        <v>0</v>
      </c>
      <c r="G15" s="552"/>
    </row>
    <row r="16" spans="1:7" s="202" customFormat="1" ht="15.75" customHeight="1" thickTop="1" x14ac:dyDescent="0.2">
      <c r="A16" s="2204" t="s">
        <v>1111</v>
      </c>
      <c r="B16" s="2193"/>
      <c r="C16" s="2201"/>
      <c r="D16" s="2202"/>
      <c r="E16" s="2202"/>
      <c r="F16" s="2203"/>
    </row>
    <row r="17" spans="1:11" ht="12.75" customHeight="1" thickBot="1" x14ac:dyDescent="0.25">
      <c r="A17" s="2217" t="s">
        <v>64</v>
      </c>
      <c r="B17" s="2218"/>
      <c r="C17" s="726"/>
      <c r="D17" s="585"/>
      <c r="E17" s="726"/>
      <c r="F17" s="1755">
        <f>SUM(C17+D17)-E17</f>
        <v>0</v>
      </c>
    </row>
    <row r="18" spans="1:11" ht="12.75" customHeight="1" thickTop="1" thickBot="1" x14ac:dyDescent="0.25">
      <c r="A18" s="2217" t="s">
        <v>6</v>
      </c>
      <c r="B18" s="2218"/>
      <c r="C18" s="726"/>
      <c r="D18" s="585"/>
      <c r="E18" s="726"/>
      <c r="F18" s="1755">
        <f>SUM(C18+D18)-E18</f>
        <v>0</v>
      </c>
    </row>
    <row r="19" spans="1:11" ht="12.75" customHeight="1" thickTop="1" thickBot="1" x14ac:dyDescent="0.25">
      <c r="A19" s="2217" t="s">
        <v>388</v>
      </c>
      <c r="B19" s="2218"/>
      <c r="C19" s="726"/>
      <c r="D19" s="585"/>
      <c r="E19" s="726"/>
      <c r="F19" s="1755">
        <f>SUM(C19+D19)-E19</f>
        <v>0</v>
      </c>
    </row>
    <row r="20" spans="1:11" ht="12.75" customHeight="1" thickTop="1" thickBot="1" x14ac:dyDescent="0.25">
      <c r="A20" s="2217" t="s">
        <v>448</v>
      </c>
      <c r="B20" s="2218"/>
      <c r="C20" s="726"/>
      <c r="D20" s="585"/>
      <c r="E20" s="726"/>
      <c r="F20" s="1755">
        <f>SUM(C20+D20)-E20</f>
        <v>0</v>
      </c>
    </row>
    <row r="21" spans="1:11" ht="14.25" thickTop="1" thickBot="1" x14ac:dyDescent="0.25">
      <c r="A21" s="2194" t="s">
        <v>632</v>
      </c>
      <c r="B21" s="2195"/>
      <c r="C21" s="1755">
        <f>SUM(C17:C20)</f>
        <v>0</v>
      </c>
      <c r="D21" s="1755">
        <f>SUM(D17:D20)</f>
        <v>0</v>
      </c>
      <c r="E21" s="1755">
        <f>SUM(E17:E20)</f>
        <v>0</v>
      </c>
      <c r="F21" s="1755">
        <f>SUM(F17:F20)</f>
        <v>0</v>
      </c>
      <c r="G21" s="552"/>
    </row>
    <row r="22" spans="1:11" ht="15.75" customHeight="1" thickTop="1" x14ac:dyDescent="0.2">
      <c r="A22" s="2219" t="s">
        <v>1112</v>
      </c>
      <c r="B22" s="2193"/>
      <c r="C22" s="2201"/>
      <c r="D22" s="2202"/>
      <c r="E22" s="2202"/>
      <c r="F22" s="2203"/>
    </row>
    <row r="23" spans="1:11" ht="13.5" thickBot="1" x14ac:dyDescent="0.25">
      <c r="A23" s="2207" t="s">
        <v>633</v>
      </c>
      <c r="B23" s="2208"/>
      <c r="C23" s="581"/>
      <c r="D23" s="581"/>
      <c r="E23" s="581"/>
      <c r="F23" s="1755">
        <f>SUM(C23+D23)-E23</f>
        <v>0</v>
      </c>
      <c r="G23" s="552"/>
    </row>
    <row r="24" spans="1:11" ht="15.75" customHeight="1" thickTop="1" x14ac:dyDescent="0.2">
      <c r="A24" s="2219" t="s">
        <v>1113</v>
      </c>
      <c r="B24" s="2193"/>
      <c r="C24" s="2201"/>
      <c r="D24" s="2202"/>
      <c r="E24" s="2202"/>
      <c r="F24" s="2203"/>
    </row>
    <row r="25" spans="1:11" ht="13.5" thickBot="1" x14ac:dyDescent="0.25">
      <c r="A25" s="2207" t="s">
        <v>634</v>
      </c>
      <c r="B25" s="2208"/>
      <c r="C25" s="581"/>
      <c r="D25" s="581"/>
      <c r="E25" s="581"/>
      <c r="F25" s="1755">
        <f>SUM(C25+D25)-E25</f>
        <v>0</v>
      </c>
      <c r="G25" s="552"/>
    </row>
    <row r="26" spans="1:11" ht="15.75" customHeight="1" thickTop="1" x14ac:dyDescent="0.2">
      <c r="A26" s="2192" t="s">
        <v>657</v>
      </c>
      <c r="B26" s="2193"/>
      <c r="C26" s="727"/>
      <c r="D26" s="727"/>
      <c r="E26" s="727"/>
      <c r="F26" s="728"/>
    </row>
    <row r="27" spans="1:11" ht="13.5" thickBot="1" x14ac:dyDescent="0.25">
      <c r="A27" s="2194" t="s">
        <v>1070</v>
      </c>
      <c r="B27" s="2195"/>
      <c r="C27" s="585"/>
      <c r="D27" s="585"/>
      <c r="E27" s="585"/>
      <c r="F27" s="1755">
        <f>SUM(C27+D27)-E27</f>
        <v>0</v>
      </c>
      <c r="G27" s="552"/>
    </row>
    <row r="28" spans="1:11" ht="7.5" customHeight="1" thickTop="1" x14ac:dyDescent="0.2">
      <c r="A28" s="593"/>
    </row>
    <row r="29" spans="1:11" ht="23.25" customHeight="1" x14ac:dyDescent="0.2">
      <c r="A29" s="2220" t="s">
        <v>582</v>
      </c>
      <c r="B29" s="2197"/>
      <c r="C29" s="729"/>
      <c r="D29" s="729"/>
      <c r="E29" s="729"/>
      <c r="F29" s="729"/>
      <c r="G29" s="729"/>
      <c r="H29" s="729"/>
      <c r="I29" s="729"/>
      <c r="J29" s="729"/>
    </row>
    <row r="30" spans="1:11" ht="33.75" x14ac:dyDescent="0.2">
      <c r="A30" s="1529" t="s">
        <v>1071</v>
      </c>
      <c r="B30" s="730" t="s">
        <v>1124</v>
      </c>
      <c r="C30" s="1884" t="s">
        <v>583</v>
      </c>
      <c r="D30" s="1884" t="s">
        <v>1673</v>
      </c>
      <c r="E30" s="1884" t="s">
        <v>1958</v>
      </c>
      <c r="F30" s="1884" t="s">
        <v>1959</v>
      </c>
      <c r="G30" s="1884" t="s">
        <v>1910</v>
      </c>
      <c r="H30" s="1884" t="s">
        <v>1960</v>
      </c>
      <c r="I30" s="1884" t="s">
        <v>1961</v>
      </c>
      <c r="J30" s="1885" t="s">
        <v>2</v>
      </c>
      <c r="K30" s="731"/>
    </row>
    <row r="31" spans="1:11" ht="12" customHeight="1" x14ac:dyDescent="0.2">
      <c r="A31" s="1936" t="s">
        <v>2083</v>
      </c>
      <c r="B31" s="1937">
        <v>43161</v>
      </c>
      <c r="C31" s="1938">
        <v>300000</v>
      </c>
      <c r="D31" s="1939">
        <v>1</v>
      </c>
      <c r="E31" s="734">
        <v>300000</v>
      </c>
      <c r="F31" s="734"/>
      <c r="G31" s="734"/>
      <c r="H31" s="734">
        <v>95000</v>
      </c>
      <c r="I31" s="1756">
        <f>((E31+F31)-H31)+G31</f>
        <v>205000</v>
      </c>
      <c r="J31" s="734">
        <v>135514</v>
      </c>
      <c r="K31" s="736"/>
    </row>
    <row r="32" spans="1:11" ht="12" customHeight="1" x14ac:dyDescent="0.2">
      <c r="A32" s="1936"/>
      <c r="B32" s="1937"/>
      <c r="C32" s="1938"/>
      <c r="D32" s="1939"/>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300000</v>
      </c>
      <c r="D49" s="745"/>
      <c r="E49" s="1756">
        <f t="shared" ref="E49:J49" si="2">SUM(E31:E48)</f>
        <v>300000</v>
      </c>
      <c r="F49" s="1756">
        <f t="shared" si="2"/>
        <v>0</v>
      </c>
      <c r="G49" s="1756">
        <f t="shared" si="2"/>
        <v>0</v>
      </c>
      <c r="H49" s="1756">
        <f t="shared" si="2"/>
        <v>95000</v>
      </c>
      <c r="I49" s="1756">
        <f t="shared" si="2"/>
        <v>205000</v>
      </c>
      <c r="J49" s="1756">
        <f t="shared" si="2"/>
        <v>135514</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11" t="s">
        <v>584</v>
      </c>
      <c r="C52" s="2212"/>
      <c r="D52" s="2212"/>
      <c r="E52" s="749" t="s">
        <v>845</v>
      </c>
      <c r="F52" s="2213"/>
      <c r="G52" s="2214"/>
      <c r="H52" s="736"/>
      <c r="I52" s="736"/>
      <c r="J52" s="746"/>
    </row>
    <row r="53" spans="1:11" ht="11.25" customHeight="1" x14ac:dyDescent="0.2">
      <c r="A53" s="750" t="s">
        <v>913</v>
      </c>
      <c r="B53" s="751" t="s">
        <v>951</v>
      </c>
      <c r="C53" s="746"/>
      <c r="D53" s="737"/>
      <c r="E53" s="749" t="s">
        <v>497</v>
      </c>
      <c r="F53" s="2215"/>
      <c r="G53" s="2216"/>
      <c r="H53" s="736"/>
      <c r="I53" s="736"/>
      <c r="J53" s="746"/>
    </row>
    <row r="54" spans="1:11" ht="11.25" customHeight="1" x14ac:dyDescent="0.2">
      <c r="A54" s="752" t="s">
        <v>914</v>
      </c>
      <c r="B54" s="747" t="s">
        <v>952</v>
      </c>
      <c r="C54" s="746"/>
      <c r="D54" s="737"/>
      <c r="E54" s="749" t="s">
        <v>498</v>
      </c>
      <c r="F54" s="2215"/>
      <c r="G54" s="221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sheetPr>
  <dimension ref="A1:K48"/>
  <sheetViews>
    <sheetView showGridLines="0" defaultGridColor="0" topLeftCell="A13"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5" t="s">
        <v>856</v>
      </c>
      <c r="B1" s="2246"/>
      <c r="C1" s="2246"/>
      <c r="D1" s="2246"/>
      <c r="E1" s="2246"/>
      <c r="F1" s="2246"/>
      <c r="G1" s="2247"/>
      <c r="H1" s="1530"/>
      <c r="I1" s="760"/>
      <c r="J1" s="433"/>
    </row>
    <row r="2" spans="1:11" ht="26.25" x14ac:dyDescent="0.2">
      <c r="A2" s="2224" t="s">
        <v>1677</v>
      </c>
      <c r="B2" s="2225"/>
      <c r="C2" s="2225"/>
      <c r="D2" s="2225"/>
      <c r="E2" s="2226"/>
      <c r="F2" s="761" t="s">
        <v>904</v>
      </c>
      <c r="G2" s="762" t="s">
        <v>1674</v>
      </c>
      <c r="H2" s="762" t="s">
        <v>410</v>
      </c>
      <c r="I2" s="762" t="s">
        <v>1158</v>
      </c>
      <c r="J2" s="762" t="s">
        <v>1812</v>
      </c>
      <c r="K2" s="762" t="s">
        <v>138</v>
      </c>
    </row>
    <row r="3" spans="1:11" x14ac:dyDescent="0.2">
      <c r="A3" s="2227" t="s">
        <v>1962</v>
      </c>
      <c r="B3" s="2228"/>
      <c r="C3" s="2228"/>
      <c r="D3" s="2228"/>
      <c r="E3" s="2229"/>
      <c r="F3" s="763"/>
      <c r="G3" s="764"/>
      <c r="H3" s="764"/>
      <c r="I3" s="764"/>
      <c r="J3" s="765"/>
      <c r="K3" s="765"/>
    </row>
    <row r="4" spans="1:11" x14ac:dyDescent="0.2">
      <c r="A4" s="2230" t="s">
        <v>369</v>
      </c>
      <c r="B4" s="2231"/>
      <c r="C4" s="2231"/>
      <c r="D4" s="2231"/>
      <c r="E4" s="2212"/>
      <c r="F4" s="766"/>
      <c r="G4" s="767"/>
      <c r="H4" s="768"/>
      <c r="I4" s="767"/>
      <c r="J4" s="769"/>
      <c r="K4" s="769"/>
    </row>
    <row r="5" spans="1:11" x14ac:dyDescent="0.2">
      <c r="A5" s="2248" t="s">
        <v>1069</v>
      </c>
      <c r="B5" s="2221"/>
      <c r="C5" s="2221"/>
      <c r="D5" s="2221"/>
      <c r="E5" s="2249"/>
      <c r="F5" s="770" t="s">
        <v>848</v>
      </c>
      <c r="G5" s="771"/>
      <c r="H5" s="764">
        <v>10899</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8" t="s">
        <v>1813</v>
      </c>
      <c r="B10" s="2221"/>
      <c r="C10" s="2221"/>
      <c r="D10" s="2221"/>
      <c r="E10" s="2250"/>
      <c r="F10" s="783" t="s">
        <v>862</v>
      </c>
      <c r="G10" s="782"/>
      <c r="H10" s="784"/>
      <c r="I10" s="764"/>
      <c r="J10" s="765"/>
      <c r="K10" s="765"/>
    </row>
    <row r="11" spans="1:11" x14ac:dyDescent="0.2">
      <c r="A11" s="2248" t="s">
        <v>160</v>
      </c>
      <c r="B11" s="2221"/>
      <c r="C11" s="2221"/>
      <c r="D11" s="2221"/>
      <c r="E11" s="2249"/>
      <c r="F11" s="770" t="s">
        <v>852</v>
      </c>
      <c r="G11" s="771"/>
      <c r="H11" s="764"/>
      <c r="I11" s="764"/>
      <c r="J11" s="765"/>
      <c r="K11" s="773"/>
    </row>
    <row r="12" spans="1:11" ht="13.5" thickBot="1" x14ac:dyDescent="0.25">
      <c r="A12" s="2238" t="s">
        <v>905</v>
      </c>
      <c r="B12" s="2239"/>
      <c r="C12" s="2239"/>
      <c r="D12" s="2239"/>
      <c r="E12" s="2240"/>
      <c r="F12" s="1757"/>
      <c r="G12" s="1758">
        <f>SUM(G5:G11)</f>
        <v>0</v>
      </c>
      <c r="H12" s="1758">
        <f>SUM(H5:H11)</f>
        <v>10899</v>
      </c>
      <c r="I12" s="1758">
        <f>SUM(I5:I11)</f>
        <v>0</v>
      </c>
      <c r="J12" s="1758">
        <f>SUM(J5:J11)</f>
        <v>0</v>
      </c>
      <c r="K12" s="1758">
        <f>SUM(K5:K11)</f>
        <v>0</v>
      </c>
    </row>
    <row r="13" spans="1:11" ht="13.5" thickTop="1" x14ac:dyDescent="0.2">
      <c r="A13" s="2232" t="s">
        <v>370</v>
      </c>
      <c r="B13" s="2233"/>
      <c r="C13" s="2233"/>
      <c r="D13" s="2233"/>
      <c r="E13" s="2234"/>
      <c r="F13" s="785"/>
      <c r="G13" s="786"/>
      <c r="H13" s="787"/>
      <c r="I13" s="788"/>
      <c r="J13" s="788"/>
      <c r="K13" s="788"/>
    </row>
    <row r="14" spans="1:11" x14ac:dyDescent="0.2">
      <c r="A14" s="2254" t="s">
        <v>456</v>
      </c>
      <c r="B14" s="2254"/>
      <c r="C14" s="2254"/>
      <c r="D14" s="2254"/>
      <c r="E14" s="2255"/>
      <c r="F14" s="789" t="s">
        <v>854</v>
      </c>
      <c r="G14" s="782"/>
      <c r="H14" s="764">
        <v>10899</v>
      </c>
      <c r="I14" s="771"/>
      <c r="J14" s="773"/>
      <c r="K14" s="765"/>
    </row>
    <row r="15" spans="1:11" x14ac:dyDescent="0.2">
      <c r="A15" s="2221" t="s">
        <v>4</v>
      </c>
      <c r="B15" s="2221"/>
      <c r="C15" s="2221"/>
      <c r="D15" s="2221"/>
      <c r="E15" s="2249"/>
      <c r="F15" s="789" t="s">
        <v>855</v>
      </c>
      <c r="G15" s="771"/>
      <c r="H15" s="764"/>
      <c r="I15" s="764"/>
      <c r="J15" s="765"/>
      <c r="K15" s="765"/>
    </row>
    <row r="16" spans="1:11" x14ac:dyDescent="0.2">
      <c r="A16" s="2221" t="s">
        <v>298</v>
      </c>
      <c r="B16" s="2221"/>
      <c r="C16" s="2221"/>
      <c r="D16" s="2221"/>
      <c r="E16" s="2249"/>
      <c r="F16" s="789" t="s">
        <v>923</v>
      </c>
      <c r="G16" s="772"/>
      <c r="H16" s="767"/>
      <c r="I16" s="767"/>
      <c r="J16" s="769"/>
      <c r="K16" s="769"/>
    </row>
    <row r="17" spans="1:11" x14ac:dyDescent="0.2">
      <c r="A17" s="2243" t="s">
        <v>935</v>
      </c>
      <c r="B17" s="2243"/>
      <c r="C17" s="2243"/>
      <c r="D17" s="2243"/>
      <c r="E17" s="2244"/>
      <c r="F17" s="790"/>
      <c r="G17" s="791"/>
      <c r="H17" s="792"/>
      <c r="I17" s="792"/>
      <c r="J17" s="793"/>
      <c r="K17" s="794"/>
    </row>
    <row r="18" spans="1:11" x14ac:dyDescent="0.2">
      <c r="A18" s="2235" t="s">
        <v>368</v>
      </c>
      <c r="B18" s="2236"/>
      <c r="C18" s="2236"/>
      <c r="D18" s="2236"/>
      <c r="E18" s="2237"/>
      <c r="F18" s="789" t="s">
        <v>932</v>
      </c>
      <c r="G18" s="782"/>
      <c r="H18" s="782"/>
      <c r="I18" s="782"/>
      <c r="J18" s="765"/>
      <c r="K18" s="795"/>
    </row>
    <row r="19" spans="1:11" ht="21.75" customHeight="1" x14ac:dyDescent="0.2">
      <c r="A19" s="2256" t="s">
        <v>1809</v>
      </c>
      <c r="B19" s="2256"/>
      <c r="C19" s="2256"/>
      <c r="D19" s="2256"/>
      <c r="E19" s="2257"/>
      <c r="F19" s="789" t="s">
        <v>933</v>
      </c>
      <c r="G19" s="782"/>
      <c r="H19" s="782"/>
      <c r="I19" s="782"/>
      <c r="J19" s="765"/>
      <c r="K19" s="795"/>
    </row>
    <row r="20" spans="1:11" x14ac:dyDescent="0.2">
      <c r="A20" s="2235" t="s">
        <v>1814</v>
      </c>
      <c r="B20" s="2236"/>
      <c r="C20" s="2236"/>
      <c r="D20" s="2236"/>
      <c r="E20" s="2237"/>
      <c r="F20" s="789" t="s">
        <v>934</v>
      </c>
      <c r="G20" s="782"/>
      <c r="H20" s="782"/>
      <c r="I20" s="782"/>
      <c r="J20" s="765"/>
      <c r="K20" s="795"/>
    </row>
    <row r="21" spans="1:11" ht="13.5" thickBot="1" x14ac:dyDescent="0.25">
      <c r="A21" s="2241" t="s">
        <v>638</v>
      </c>
      <c r="B21" s="2241"/>
      <c r="C21" s="2241"/>
      <c r="D21" s="2241"/>
      <c r="E21" s="2241"/>
      <c r="F21" s="1759"/>
      <c r="G21" s="792"/>
      <c r="H21" s="796"/>
      <c r="I21" s="796"/>
      <c r="J21" s="1760">
        <f>SUM(J18:J20)</f>
        <v>0</v>
      </c>
      <c r="K21" s="793"/>
    </row>
    <row r="22" spans="1:11" ht="13.5" thickTop="1" x14ac:dyDescent="0.2">
      <c r="A22" s="2221" t="s">
        <v>1815</v>
      </c>
      <c r="B22" s="2221"/>
      <c r="C22" s="2221"/>
      <c r="D22" s="2221"/>
      <c r="E22" s="2249"/>
      <c r="F22" s="789" t="s">
        <v>862</v>
      </c>
      <c r="G22" s="782"/>
      <c r="H22" s="764"/>
      <c r="I22" s="764"/>
      <c r="J22" s="797"/>
      <c r="K22" s="765"/>
    </row>
    <row r="23" spans="1:11" ht="13.5" thickBot="1" x14ac:dyDescent="0.25">
      <c r="A23" s="2242" t="s">
        <v>906</v>
      </c>
      <c r="B23" s="2241"/>
      <c r="C23" s="2241"/>
      <c r="D23" s="2241"/>
      <c r="E23" s="2241"/>
      <c r="F23" s="1761"/>
      <c r="G23" s="1758">
        <f>SUM(G14:G16,G21,G22)</f>
        <v>0</v>
      </c>
      <c r="H23" s="1758">
        <f>SUM(H14:H16,H21,H22)</f>
        <v>10899</v>
      </c>
      <c r="I23" s="1758">
        <f>SUM(I14:I16,I21,I22)</f>
        <v>0</v>
      </c>
      <c r="J23" s="1758">
        <f>SUM(J14:J16,J21,J22)</f>
        <v>0</v>
      </c>
      <c r="K23" s="1758">
        <f>SUM(K14:K16,K21,K22)</f>
        <v>0</v>
      </c>
    </row>
    <row r="24" spans="1:11" ht="14.25" thickTop="1" thickBot="1" x14ac:dyDescent="0.25">
      <c r="A24" s="2242" t="s">
        <v>1963</v>
      </c>
      <c r="B24" s="2241"/>
      <c r="C24" s="2241"/>
      <c r="D24" s="2241"/>
      <c r="E24" s="2241"/>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79" t="s">
        <v>1909</v>
      </c>
      <c r="B28" s="1880"/>
      <c r="C28" s="1880"/>
      <c r="D28" s="1880"/>
      <c r="E28" s="1881"/>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51"/>
      <c r="I31" s="2252"/>
      <c r="J31" s="2252"/>
      <c r="K31" s="2252"/>
    </row>
    <row r="32" spans="1:11" x14ac:dyDescent="0.2">
      <c r="A32" s="809"/>
      <c r="B32" s="237"/>
      <c r="C32" s="237"/>
      <c r="D32" s="237"/>
      <c r="E32" s="805"/>
      <c r="F32" s="811" t="s">
        <v>540</v>
      </c>
      <c r="G32" s="764"/>
      <c r="H32" s="2253"/>
      <c r="I32" s="2252"/>
      <c r="J32" s="2252"/>
      <c r="K32" s="2252"/>
    </row>
    <row r="33" spans="1:11" ht="1.5" customHeight="1" x14ac:dyDescent="0.2">
      <c r="A33" s="812" t="s">
        <v>1169</v>
      </c>
      <c r="B33" s="364"/>
      <c r="C33" s="364"/>
      <c r="D33" s="364"/>
      <c r="E33" s="364"/>
      <c r="F33" s="364"/>
      <c r="G33" s="813"/>
      <c r="H33" s="2253"/>
      <c r="I33" s="2252"/>
      <c r="J33" s="2252"/>
      <c r="K33" s="2252"/>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1" t="s">
        <v>541</v>
      </c>
      <c r="B41" s="2222"/>
      <c r="C41" s="2222"/>
      <c r="D41" s="2222"/>
      <c r="E41" s="2222"/>
      <c r="F41" s="222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sheetPr>
  <dimension ref="A1:N27"/>
  <sheetViews>
    <sheetView showGridLines="0" defaultGridColor="0" colorId="8" zoomScale="90" zoomScaleNormal="90" workbookViewId="0">
      <selection activeCell="I13" sqref="I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0" t="s">
        <v>1908</v>
      </c>
      <c r="B1" s="2261"/>
      <c r="C1" s="2262"/>
      <c r="D1" s="826"/>
      <c r="E1" s="827"/>
      <c r="F1" s="827"/>
      <c r="G1" s="828"/>
      <c r="H1" s="829"/>
      <c r="I1" s="830"/>
      <c r="J1" s="2258"/>
      <c r="K1" s="2259"/>
      <c r="L1" s="2259"/>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201200</v>
      </c>
      <c r="D5" s="841"/>
      <c r="E5" s="841"/>
      <c r="F5" s="1760">
        <f>(C5+D5)-E5</f>
        <v>201200</v>
      </c>
      <c r="G5" s="837"/>
      <c r="H5" s="842"/>
      <c r="I5" s="842"/>
      <c r="J5" s="842"/>
      <c r="K5" s="793"/>
      <c r="L5" s="1769">
        <f>F5-K5</f>
        <v>201200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1155264</v>
      </c>
      <c r="D8" s="844">
        <v>34180</v>
      </c>
      <c r="E8" s="844"/>
      <c r="F8" s="1760">
        <f>(C8+D8)-E8</f>
        <v>1189444</v>
      </c>
      <c r="G8" s="843">
        <v>50</v>
      </c>
      <c r="H8" s="765">
        <v>468846</v>
      </c>
      <c r="I8" s="765">
        <v>35050</v>
      </c>
      <c r="J8" s="765"/>
      <c r="K8" s="1769">
        <f>(H8+I8)-J8</f>
        <v>503896</v>
      </c>
      <c r="L8" s="1769">
        <f>F8-K8</f>
        <v>685548</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343951</v>
      </c>
      <c r="D10" s="846"/>
      <c r="E10" s="846"/>
      <c r="F10" s="1764">
        <f>(C10+D10)-E10</f>
        <v>343951</v>
      </c>
      <c r="G10" s="843">
        <v>20</v>
      </c>
      <c r="H10" s="847">
        <v>282944</v>
      </c>
      <c r="I10" s="847">
        <v>14802</v>
      </c>
      <c r="J10" s="847"/>
      <c r="K10" s="1769">
        <f>(H10+I10)-J10</f>
        <v>297746</v>
      </c>
      <c r="L10" s="1769">
        <f>F10-K10</f>
        <v>46205</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267420</v>
      </c>
      <c r="D12" s="844"/>
      <c r="E12" s="844"/>
      <c r="F12" s="1760">
        <f>(C12+D12)-E12</f>
        <v>267420</v>
      </c>
      <c r="G12" s="843">
        <v>10</v>
      </c>
      <c r="H12" s="765">
        <v>161200</v>
      </c>
      <c r="I12" s="765">
        <v>26742</v>
      </c>
      <c r="J12" s="765"/>
      <c r="K12" s="1769">
        <f>(H12+I12)-J12</f>
        <v>187942</v>
      </c>
      <c r="L12" s="1769">
        <f>F12-K12</f>
        <v>79478</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1967835</v>
      </c>
      <c r="D16" s="1760">
        <f>SUM(D3,D5:D6,D8:D10,D12:D15)</f>
        <v>34180</v>
      </c>
      <c r="E16" s="1760">
        <f>SUM(E3,E5:E6,E8:E10,E12:E15)</f>
        <v>0</v>
      </c>
      <c r="F16" s="1760">
        <f>SUM(F3,F5:F6,F8:F10,F12:F15)</f>
        <v>2002015</v>
      </c>
      <c r="G16" s="843"/>
      <c r="H16" s="1760">
        <f>SUM(H3,H6,H8:H10,H12:H14,)</f>
        <v>912990</v>
      </c>
      <c r="I16" s="1760">
        <f>SUM(I3,I6,I8:I10,I12:I14,)</f>
        <v>76594</v>
      </c>
      <c r="J16" s="1760">
        <f>SUM(J3,J6,J8:J10,J12:J14,)</f>
        <v>0</v>
      </c>
      <c r="K16" s="1760">
        <f>(H16+I16)-J16</f>
        <v>989584</v>
      </c>
      <c r="L16" s="1760">
        <f>F16-K16</f>
        <v>1012431</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76594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H202"/>
  <sheetViews>
    <sheetView showGridLines="0" defaultGridColor="0" colorId="8" zoomScale="110" zoomScaleNormal="110" workbookViewId="0">
      <pane ySplit="5" topLeftCell="A87"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6" t="s">
        <v>1973</v>
      </c>
      <c r="B1" s="2267"/>
      <c r="C1" s="2267"/>
      <c r="D1" s="2267"/>
      <c r="E1" s="2267"/>
      <c r="F1" s="2268"/>
      <c r="G1" s="855"/>
    </row>
    <row r="2" spans="1:7" ht="15" customHeight="1" thickBot="1" x14ac:dyDescent="0.25">
      <c r="A2" s="2269" t="s">
        <v>477</v>
      </c>
      <c r="B2" s="2270"/>
      <c r="C2" s="2270"/>
      <c r="D2" s="2270"/>
      <c r="E2" s="2270"/>
      <c r="F2" s="2271"/>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2"/>
      <c r="B5" s="2273"/>
      <c r="C5" s="2273"/>
      <c r="D5" s="2273"/>
      <c r="E5" s="2273"/>
      <c r="F5" s="2273"/>
    </row>
    <row r="6" spans="1:7" ht="13.5" customHeight="1" thickBot="1" x14ac:dyDescent="0.25">
      <c r="A6" s="2263" t="s">
        <v>1104</v>
      </c>
      <c r="B6" s="2264"/>
      <c r="C6" s="2264"/>
      <c r="D6" s="2264"/>
      <c r="E6" s="2264"/>
      <c r="F6" s="2265"/>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7">
        <f>'Expenditures 15-22'!K114</f>
        <v>1369544</v>
      </c>
      <c r="G8" s="865"/>
    </row>
    <row r="9" spans="1:7" x14ac:dyDescent="0.2">
      <c r="A9" s="869" t="s">
        <v>460</v>
      </c>
      <c r="B9" s="870" t="s">
        <v>1876</v>
      </c>
      <c r="C9" s="871"/>
      <c r="D9" s="869" t="s">
        <v>501</v>
      </c>
      <c r="E9" s="868"/>
      <c r="F9" s="1908">
        <f>'Expenditures 15-22'!K151</f>
        <v>147907</v>
      </c>
      <c r="G9" s="872"/>
    </row>
    <row r="10" spans="1:7" x14ac:dyDescent="0.2">
      <c r="A10" s="869" t="s">
        <v>499</v>
      </c>
      <c r="B10" s="870" t="s">
        <v>1877</v>
      </c>
      <c r="C10" s="871"/>
      <c r="D10" s="869" t="s">
        <v>501</v>
      </c>
      <c r="E10" s="868"/>
      <c r="F10" s="1908">
        <f>'Expenditures 15-22'!K174</f>
        <v>105208</v>
      </c>
      <c r="G10" s="872"/>
    </row>
    <row r="11" spans="1:7" x14ac:dyDescent="0.2">
      <c r="A11" s="869" t="s">
        <v>461</v>
      </c>
      <c r="B11" s="870" t="s">
        <v>1878</v>
      </c>
      <c r="C11" s="871"/>
      <c r="D11" s="869" t="s">
        <v>501</v>
      </c>
      <c r="E11" s="868"/>
      <c r="F11" s="1908">
        <f>'Expenditures 15-22'!K210</f>
        <v>161466</v>
      </c>
      <c r="G11" s="872"/>
    </row>
    <row r="12" spans="1:7" x14ac:dyDescent="0.2">
      <c r="A12" s="869" t="s">
        <v>462</v>
      </c>
      <c r="B12" s="870" t="s">
        <v>1879</v>
      </c>
      <c r="C12" s="871"/>
      <c r="D12" s="869" t="s">
        <v>501</v>
      </c>
      <c r="E12" s="868"/>
      <c r="F12" s="1908">
        <f>'Expenditures 15-22'!K295</f>
        <v>34075</v>
      </c>
      <c r="G12" s="872"/>
    </row>
    <row r="13" spans="1:7" x14ac:dyDescent="0.2">
      <c r="A13" s="869" t="s">
        <v>106</v>
      </c>
      <c r="B13" s="870" t="s">
        <v>1880</v>
      </c>
      <c r="C13" s="871"/>
      <c r="D13" s="869" t="s">
        <v>501</v>
      </c>
      <c r="E13" s="868"/>
      <c r="F13" s="1908">
        <f>'Expenditures 15-22'!K342</f>
        <v>39442</v>
      </c>
      <c r="G13" s="873"/>
    </row>
    <row r="14" spans="1:7" ht="12" customHeight="1" thickBot="1" x14ac:dyDescent="0.25">
      <c r="A14" s="1770"/>
      <c r="B14" s="1771"/>
      <c r="C14" s="1772"/>
      <c r="D14" s="1773" t="s">
        <v>501</v>
      </c>
      <c r="E14" s="1774" t="s">
        <v>958</v>
      </c>
      <c r="F14" s="1775">
        <f>SUM(F8:F13)</f>
        <v>1857642</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9">
        <f>'Revenues 9-14'!F43</f>
        <v>0</v>
      </c>
      <c r="G18" s="865"/>
    </row>
    <row r="19" spans="1:7" x14ac:dyDescent="0.2">
      <c r="A19" s="869" t="s">
        <v>461</v>
      </c>
      <c r="B19" s="870" t="s">
        <v>1011</v>
      </c>
      <c r="C19" s="877">
        <f>'Revenues 9-14'!B47</f>
        <v>1421</v>
      </c>
      <c r="D19" s="878" t="str">
        <f>'Revenues 9-14'!A47</f>
        <v>Summer Sch - Transp. Fees from Pupils or Parents (In State)</v>
      </c>
      <c r="E19" s="879"/>
      <c r="F19" s="1910">
        <f>'Revenues 9-14'!F47</f>
        <v>0</v>
      </c>
      <c r="G19" s="865"/>
    </row>
    <row r="20" spans="1:7" x14ac:dyDescent="0.2">
      <c r="A20" s="869" t="s">
        <v>461</v>
      </c>
      <c r="B20" s="870" t="s">
        <v>1012</v>
      </c>
      <c r="C20" s="875">
        <f>'Revenues 9-14'!B48</f>
        <v>1422</v>
      </c>
      <c r="D20" s="876" t="str">
        <f>'Revenues 9-14'!A48</f>
        <v>Summer Sch - Transp. Fees from Other Districts (In State)</v>
      </c>
      <c r="E20" s="868"/>
      <c r="F20" s="1911">
        <f>'Revenues 9-14'!F48</f>
        <v>0</v>
      </c>
      <c r="G20" s="865"/>
    </row>
    <row r="21" spans="1:7" x14ac:dyDescent="0.2">
      <c r="A21" s="869" t="s">
        <v>461</v>
      </c>
      <c r="B21" s="870" t="s">
        <v>1013</v>
      </c>
      <c r="C21" s="877">
        <f>'Revenues 9-14'!B49</f>
        <v>1423</v>
      </c>
      <c r="D21" s="876" t="str">
        <f>'Revenues 9-14'!A49</f>
        <v>Summer Sch - Transp. Fees from Other Sources (In State)</v>
      </c>
      <c r="E21" s="868"/>
      <c r="F21" s="1912">
        <f>'Revenues 9-14'!F49</f>
        <v>0</v>
      </c>
      <c r="G21" s="865"/>
    </row>
    <row r="22" spans="1:7" x14ac:dyDescent="0.2">
      <c r="A22" s="869" t="s">
        <v>461</v>
      </c>
      <c r="B22" s="870" t="s">
        <v>1014</v>
      </c>
      <c r="C22" s="877">
        <f>'Revenues 9-14'!B50</f>
        <v>1424</v>
      </c>
      <c r="D22" s="876" t="str">
        <f>'Revenues 9-14'!A50</f>
        <v>Summer Sch - Transp. Fees from Other Sources (Out of State)</v>
      </c>
      <c r="E22" s="868"/>
      <c r="F22" s="1912">
        <f>'Revenues 9-14'!F50</f>
        <v>0</v>
      </c>
      <c r="G22" s="865"/>
    </row>
    <row r="23" spans="1:7" x14ac:dyDescent="0.2">
      <c r="A23" s="869" t="s">
        <v>461</v>
      </c>
      <c r="B23" s="870" t="s">
        <v>1015</v>
      </c>
      <c r="C23" s="875">
        <f>'Revenues 9-14'!B52</f>
        <v>1432</v>
      </c>
      <c r="D23" s="876" t="str">
        <f>'Revenues 9-14'!A52</f>
        <v>CTE - Transp Fees from Other Districts (In State)</v>
      </c>
      <c r="E23" s="868"/>
      <c r="F23" s="1912">
        <f>'Revenues 9-14'!F52</f>
        <v>0</v>
      </c>
      <c r="G23" s="865"/>
    </row>
    <row r="24" spans="1:7" x14ac:dyDescent="0.2">
      <c r="A24" s="869" t="s">
        <v>461</v>
      </c>
      <c r="B24" s="870" t="s">
        <v>1016</v>
      </c>
      <c r="C24" s="875">
        <f>'Revenues 9-14'!B56</f>
        <v>1442</v>
      </c>
      <c r="D24" s="876" t="str">
        <f>'Revenues 9-14'!A56</f>
        <v>Special Ed - Transp Fees from Other Districts (In State)</v>
      </c>
      <c r="E24" s="868"/>
      <c r="F24" s="1912">
        <f>'Revenues 9-14'!F56</f>
        <v>0</v>
      </c>
      <c r="G24" s="865"/>
    </row>
    <row r="25" spans="1:7" x14ac:dyDescent="0.2">
      <c r="A25" s="869" t="s">
        <v>461</v>
      </c>
      <c r="B25" s="870" t="s">
        <v>1017</v>
      </c>
      <c r="C25" s="875">
        <f>'Revenues 9-14'!B59</f>
        <v>1451</v>
      </c>
      <c r="D25" s="876" t="str">
        <f>'Revenues 9-14'!A59</f>
        <v>Adult - Transp Fees from Pupils or Parents (In State)</v>
      </c>
      <c r="E25" s="868"/>
      <c r="F25" s="1912">
        <f>'Revenues 9-14'!F59</f>
        <v>0</v>
      </c>
      <c r="G25" s="865"/>
    </row>
    <row r="26" spans="1:7" x14ac:dyDescent="0.2">
      <c r="A26" s="869" t="s">
        <v>461</v>
      </c>
      <c r="B26" s="870" t="s">
        <v>1018</v>
      </c>
      <c r="C26" s="875">
        <f>'Revenues 9-14'!B60</f>
        <v>1452</v>
      </c>
      <c r="D26" s="876" t="str">
        <f>'Revenues 9-14'!A60</f>
        <v>Adult - Transp Fees from Other Districts (In State)</v>
      </c>
      <c r="E26" s="868"/>
      <c r="F26" s="1912">
        <f>'Revenues 9-14'!F60</f>
        <v>0</v>
      </c>
      <c r="G26" s="865"/>
    </row>
    <row r="27" spans="1:7" x14ac:dyDescent="0.2">
      <c r="A27" s="869" t="s">
        <v>461</v>
      </c>
      <c r="B27" s="870" t="s">
        <v>1019</v>
      </c>
      <c r="C27" s="875">
        <f>'Revenues 9-14'!B61</f>
        <v>1453</v>
      </c>
      <c r="D27" s="876" t="str">
        <f>'Revenues 9-14'!A61</f>
        <v>Adult - Transp Fees from Other Sources (In State)</v>
      </c>
      <c r="E27" s="868"/>
      <c r="F27" s="1912">
        <f>'Revenues 9-14'!F61</f>
        <v>0</v>
      </c>
      <c r="G27" s="865"/>
    </row>
    <row r="28" spans="1:7" x14ac:dyDescent="0.2">
      <c r="A28" s="869" t="s">
        <v>461</v>
      </c>
      <c r="B28" s="870" t="s">
        <v>1020</v>
      </c>
      <c r="C28" s="875">
        <f>'Revenues 9-14'!B62</f>
        <v>1454</v>
      </c>
      <c r="D28" s="876" t="str">
        <f>'Revenues 9-14'!A62</f>
        <v>Adult - Transp Fees from Other Sources (Out of State)</v>
      </c>
      <c r="E28" s="868"/>
      <c r="F28" s="1912">
        <f>'Revenues 9-14'!F62</f>
        <v>0</v>
      </c>
      <c r="G28" s="865"/>
    </row>
    <row r="29" spans="1:7" x14ac:dyDescent="0.2">
      <c r="A29" s="869" t="s">
        <v>1097</v>
      </c>
      <c r="B29" s="870" t="s">
        <v>810</v>
      </c>
      <c r="C29" s="880">
        <f>'Revenues 9-14'!B149</f>
        <v>3410</v>
      </c>
      <c r="D29" s="881" t="str">
        <f>'Revenues 9-14'!A149</f>
        <v>Adult Ed (from ICCB)</v>
      </c>
      <c r="E29" s="868"/>
      <c r="F29" s="1912">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3">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2">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2">
        <f>SUM('Revenues 9-14'!D212,'Revenues 9-14'!F212)</f>
        <v>0</v>
      </c>
      <c r="G32" s="865"/>
    </row>
    <row r="33" spans="1:7" x14ac:dyDescent="0.2">
      <c r="A33" s="869" t="s">
        <v>460</v>
      </c>
      <c r="B33" s="870" t="s">
        <v>2000</v>
      </c>
      <c r="C33" s="875">
        <f>'Revenues 9-14'!B222</f>
        <v>4810</v>
      </c>
      <c r="D33" s="883" t="str">
        <f>'Revenues 9-14'!A222</f>
        <v>Federal - Adult Education</v>
      </c>
      <c r="E33" s="868"/>
      <c r="F33" s="1912">
        <f>'Revenues 9-14'!D222</f>
        <v>0</v>
      </c>
      <c r="G33" s="865"/>
    </row>
    <row r="34" spans="1:7" x14ac:dyDescent="0.2">
      <c r="A34" s="869" t="s">
        <v>459</v>
      </c>
      <c r="B34" s="869" t="s">
        <v>1469</v>
      </c>
      <c r="C34" s="886" t="str">
        <f>'Expenditures 15-22'!B7</f>
        <v>1125</v>
      </c>
      <c r="D34" s="887" t="str">
        <f>'Expenditures 15-22'!A7</f>
        <v>Pre-K Programs</v>
      </c>
      <c r="E34" s="868"/>
      <c r="F34" s="1912">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2">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2">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2">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2">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2">
        <f>'Expenditures 15-22'!K20</f>
        <v>0</v>
      </c>
      <c r="G39" s="865"/>
    </row>
    <row r="40" spans="1:7" x14ac:dyDescent="0.2">
      <c r="A40" s="869" t="s">
        <v>459</v>
      </c>
      <c r="B40" s="869" t="s">
        <v>118</v>
      </c>
      <c r="C40" s="886" t="str">
        <f>'Expenditures 15-22'!B21</f>
        <v>1911</v>
      </c>
      <c r="D40" s="888" t="str">
        <f>'Expenditures 15-22'!A21</f>
        <v>Regular K-12 Programs - Private Tuition</v>
      </c>
      <c r="E40" s="868"/>
      <c r="F40" s="1912">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2">
        <f>'Expenditures 15-22'!K22</f>
        <v>27633</v>
      </c>
      <c r="G41" s="865"/>
    </row>
    <row r="42" spans="1:7" x14ac:dyDescent="0.2">
      <c r="A42" s="869" t="s">
        <v>459</v>
      </c>
      <c r="B42" s="869" t="s">
        <v>120</v>
      </c>
      <c r="C42" s="889" t="str">
        <f>'Expenditures 15-22'!B23</f>
        <v>1913</v>
      </c>
      <c r="D42" s="888" t="str">
        <f>'Expenditures 15-22'!A23</f>
        <v>Special Education Programs Pre-K - Tuition</v>
      </c>
      <c r="E42" s="868"/>
      <c r="F42" s="1912">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2">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2">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2">
        <f>'Expenditures 15-22'!K26</f>
        <v>0</v>
      </c>
      <c r="G45" s="865"/>
    </row>
    <row r="46" spans="1:7" x14ac:dyDescent="0.2">
      <c r="A46" s="869" t="s">
        <v>459</v>
      </c>
      <c r="B46" s="869" t="s">
        <v>124</v>
      </c>
      <c r="C46" s="886" t="str">
        <f>'Expenditures 15-22'!B27</f>
        <v>1917</v>
      </c>
      <c r="D46" s="888" t="str">
        <f>'Expenditures 15-22'!A27</f>
        <v>CTE Programs - Private Tuition</v>
      </c>
      <c r="E46" s="868"/>
      <c r="F46" s="1912">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2">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2">
        <f>'Expenditures 15-22'!K29</f>
        <v>0</v>
      </c>
      <c r="G48" s="865"/>
    </row>
    <row r="49" spans="1:7" x14ac:dyDescent="0.2">
      <c r="A49" s="869" t="s">
        <v>459</v>
      </c>
      <c r="B49" s="869" t="s">
        <v>127</v>
      </c>
      <c r="C49" s="886" t="str">
        <f>'Expenditures 15-22'!B30</f>
        <v>1920</v>
      </c>
      <c r="D49" s="888" t="str">
        <f>'Expenditures 15-22'!A30</f>
        <v>Gifted Programs - Private Tuition</v>
      </c>
      <c r="E49" s="868"/>
      <c r="F49" s="1912">
        <f>'Expenditures 15-22'!K30</f>
        <v>0</v>
      </c>
      <c r="G49" s="865"/>
    </row>
    <row r="50" spans="1:7" x14ac:dyDescent="0.2">
      <c r="A50" s="869" t="s">
        <v>459</v>
      </c>
      <c r="B50" s="869" t="s">
        <v>128</v>
      </c>
      <c r="C50" s="886" t="str">
        <f>'Expenditures 15-22'!B31</f>
        <v>1921</v>
      </c>
      <c r="D50" s="888" t="str">
        <f>'Expenditures 15-22'!A31</f>
        <v>Bilingual Programs - Private Tuition</v>
      </c>
      <c r="E50" s="868"/>
      <c r="F50" s="1912">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2">
        <f>'Expenditures 15-22'!K32</f>
        <v>0</v>
      </c>
      <c r="G51" s="865"/>
    </row>
    <row r="52" spans="1:7" x14ac:dyDescent="0.2">
      <c r="A52" s="869" t="s">
        <v>459</v>
      </c>
      <c r="B52" s="869" t="s">
        <v>1474</v>
      </c>
      <c r="C52" s="889" t="str">
        <f>'Expenditures 15-22'!B75</f>
        <v>3000</v>
      </c>
      <c r="D52" s="888" t="s">
        <v>449</v>
      </c>
      <c r="E52" s="868"/>
      <c r="F52" s="1912">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2">
        <f>'Expenditures 15-22'!K102</f>
        <v>79175</v>
      </c>
      <c r="G53" s="865"/>
    </row>
    <row r="54" spans="1:7" x14ac:dyDescent="0.2">
      <c r="A54" s="869" t="s">
        <v>459</v>
      </c>
      <c r="B54" s="869" t="s">
        <v>1476</v>
      </c>
      <c r="C54" s="889" t="s">
        <v>982</v>
      </c>
      <c r="D54" s="885" t="s">
        <v>1095</v>
      </c>
      <c r="E54" s="868"/>
      <c r="F54" s="1912">
        <f>'Expenditures 15-22'!G114</f>
        <v>5853</v>
      </c>
      <c r="G54" s="865"/>
    </row>
    <row r="55" spans="1:7" x14ac:dyDescent="0.2">
      <c r="A55" s="869" t="s">
        <v>459</v>
      </c>
      <c r="B55" s="869" t="s">
        <v>1477</v>
      </c>
      <c r="C55" s="889" t="s">
        <v>982</v>
      </c>
      <c r="D55" s="885" t="s">
        <v>291</v>
      </c>
      <c r="E55" s="868"/>
      <c r="F55" s="1912">
        <f>'Expenditures 15-22'!I114</f>
        <v>0</v>
      </c>
      <c r="G55" s="865"/>
    </row>
    <row r="56" spans="1:7" x14ac:dyDescent="0.2">
      <c r="A56" s="869" t="s">
        <v>460</v>
      </c>
      <c r="B56" s="869" t="s">
        <v>1478</v>
      </c>
      <c r="C56" s="886" t="str">
        <f>'Expenditures 15-22'!B130</f>
        <v>3000</v>
      </c>
      <c r="D56" s="892" t="s">
        <v>449</v>
      </c>
      <c r="E56" s="868"/>
      <c r="F56" s="1912">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2">
        <f>'Expenditures 15-22'!K139</f>
        <v>0</v>
      </c>
      <c r="G57" s="865"/>
    </row>
    <row r="58" spans="1:7" x14ac:dyDescent="0.2">
      <c r="A58" s="869" t="s">
        <v>460</v>
      </c>
      <c r="B58" s="869" t="s">
        <v>1882</v>
      </c>
      <c r="C58" s="886" t="s">
        <v>982</v>
      </c>
      <c r="D58" s="885" t="s">
        <v>1095</v>
      </c>
      <c r="E58" s="868"/>
      <c r="F58" s="1914">
        <f>'Expenditures 15-22'!G151</f>
        <v>42523</v>
      </c>
      <c r="G58" s="865"/>
    </row>
    <row r="59" spans="1:7" x14ac:dyDescent="0.2">
      <c r="A59" s="893" t="s">
        <v>460</v>
      </c>
      <c r="B59" s="856" t="s">
        <v>1883</v>
      </c>
      <c r="C59" s="894" t="s">
        <v>982</v>
      </c>
      <c r="D59" s="856" t="s">
        <v>291</v>
      </c>
      <c r="F59" s="1915">
        <f>'Expenditures 15-22'!I151</f>
        <v>0</v>
      </c>
      <c r="G59" s="865"/>
    </row>
    <row r="60" spans="1:7" x14ac:dyDescent="0.2">
      <c r="A60" s="893" t="s">
        <v>499</v>
      </c>
      <c r="B60" s="856" t="s">
        <v>1884</v>
      </c>
      <c r="C60" s="894">
        <v>4000</v>
      </c>
      <c r="D60" s="856" t="s">
        <v>312</v>
      </c>
      <c r="F60" s="1913">
        <f>'Expenditures 15-22'!K160</f>
        <v>0</v>
      </c>
      <c r="G60" s="865"/>
    </row>
    <row r="61" spans="1:7" x14ac:dyDescent="0.2">
      <c r="A61" s="895" t="s">
        <v>499</v>
      </c>
      <c r="B61" s="895" t="s">
        <v>1885</v>
      </c>
      <c r="C61" s="896" t="str">
        <f>'Expenditures 15-22'!B170</f>
        <v>5300</v>
      </c>
      <c r="D61" s="897" t="s">
        <v>311</v>
      </c>
      <c r="E61" s="879"/>
      <c r="F61" s="1912">
        <f>'Expenditures 15-22'!K170</f>
        <v>95000</v>
      </c>
      <c r="G61" s="865"/>
    </row>
    <row r="62" spans="1:7" x14ac:dyDescent="0.2">
      <c r="A62" s="869" t="s">
        <v>461</v>
      </c>
      <c r="B62" s="869" t="s">
        <v>1886</v>
      </c>
      <c r="C62" s="886">
        <f>'Expenditures 15-22'!B185</f>
        <v>3000</v>
      </c>
      <c r="D62" s="876" t="s">
        <v>449</v>
      </c>
      <c r="E62" s="868"/>
      <c r="F62" s="1912">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2">
        <f>'Expenditures 15-22'!K196</f>
        <v>0</v>
      </c>
      <c r="G63" s="865"/>
    </row>
    <row r="64" spans="1:7" x14ac:dyDescent="0.2">
      <c r="A64" s="895" t="s">
        <v>461</v>
      </c>
      <c r="B64" s="895" t="s">
        <v>1888</v>
      </c>
      <c r="C64" s="896" t="str">
        <f>'Expenditures 15-22'!B206</f>
        <v>5300</v>
      </c>
      <c r="D64" s="892" t="s">
        <v>311</v>
      </c>
      <c r="E64" s="868"/>
      <c r="F64" s="1912">
        <f>'Expenditures 15-22'!K206</f>
        <v>0</v>
      </c>
      <c r="G64" s="865"/>
    </row>
    <row r="65" spans="1:8" x14ac:dyDescent="0.2">
      <c r="A65" s="869" t="s">
        <v>461</v>
      </c>
      <c r="B65" s="869" t="s">
        <v>1889</v>
      </c>
      <c r="C65" s="886" t="s">
        <v>982</v>
      </c>
      <c r="D65" s="885" t="s">
        <v>1095</v>
      </c>
      <c r="E65" s="868"/>
      <c r="F65" s="1912">
        <f>'Expenditures 15-22'!G210</f>
        <v>0</v>
      </c>
      <c r="G65" s="865"/>
    </row>
    <row r="66" spans="1:8" x14ac:dyDescent="0.2">
      <c r="A66" s="869" t="s">
        <v>461</v>
      </c>
      <c r="B66" s="869" t="s">
        <v>1890</v>
      </c>
      <c r="C66" s="886" t="s">
        <v>982</v>
      </c>
      <c r="D66" s="885" t="s">
        <v>291</v>
      </c>
      <c r="E66" s="868"/>
      <c r="F66" s="1912">
        <f>'Expenditures 15-22'!I210</f>
        <v>0</v>
      </c>
      <c r="G66" s="865"/>
    </row>
    <row r="67" spans="1:8" x14ac:dyDescent="0.2">
      <c r="A67" s="869" t="s">
        <v>462</v>
      </c>
      <c r="B67" s="869" t="s">
        <v>1891</v>
      </c>
      <c r="C67" s="886" t="str">
        <f>'Expenditures 15-22'!B216</f>
        <v>1125</v>
      </c>
      <c r="D67" s="892" t="str">
        <f>'Expenditures 15-22'!A216</f>
        <v>Pre-K Programs</v>
      </c>
      <c r="E67" s="868"/>
      <c r="F67" s="1912">
        <f>'Expenditures 15-22'!K216</f>
        <v>0</v>
      </c>
      <c r="G67" s="865"/>
    </row>
    <row r="68" spans="1:8" x14ac:dyDescent="0.2">
      <c r="A68" s="869" t="s">
        <v>462</v>
      </c>
      <c r="B68" s="869" t="s">
        <v>1479</v>
      </c>
      <c r="C68" s="886" t="str">
        <f>'Expenditures 15-22'!B218</f>
        <v>1225</v>
      </c>
      <c r="D68" s="892" t="str">
        <f>'Expenditures 15-22'!A218</f>
        <v>Special Education Programs - Pre-K</v>
      </c>
      <c r="E68" s="868"/>
      <c r="F68" s="1912">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2">
        <f>'Expenditures 15-22'!K220</f>
        <v>0</v>
      </c>
      <c r="G69" s="865"/>
    </row>
    <row r="70" spans="1:8" x14ac:dyDescent="0.2">
      <c r="A70" s="869" t="s">
        <v>462</v>
      </c>
      <c r="B70" s="869" t="s">
        <v>1893</v>
      </c>
      <c r="C70" s="886">
        <f>'Expenditures 15-22'!B221</f>
        <v>1300</v>
      </c>
      <c r="D70" s="887" t="str">
        <f>'Expenditures 15-22'!A221</f>
        <v>Adult/Continuing Education Programs</v>
      </c>
      <c r="E70" s="868"/>
      <c r="F70" s="1912">
        <f>'Expenditures 15-22'!K221</f>
        <v>0</v>
      </c>
      <c r="G70" s="865"/>
    </row>
    <row r="71" spans="1:8" x14ac:dyDescent="0.2">
      <c r="A71" s="869" t="s">
        <v>462</v>
      </c>
      <c r="B71" s="869" t="s">
        <v>1894</v>
      </c>
      <c r="C71" s="886">
        <f>'Expenditures 15-22'!B224</f>
        <v>1600</v>
      </c>
      <c r="D71" s="887" t="str">
        <f>'Expenditures 15-22'!A224</f>
        <v>Summer School Programs</v>
      </c>
      <c r="E71" s="868"/>
      <c r="F71" s="1912">
        <f>'Expenditures 15-22'!K224</f>
        <v>0</v>
      </c>
      <c r="G71" s="865"/>
    </row>
    <row r="72" spans="1:8" x14ac:dyDescent="0.2">
      <c r="A72" s="869" t="s">
        <v>462</v>
      </c>
      <c r="B72" s="869" t="s">
        <v>1895</v>
      </c>
      <c r="C72" s="886">
        <f>'Expenditures 15-22'!B280</f>
        <v>3000</v>
      </c>
      <c r="D72" s="876" t="s">
        <v>449</v>
      </c>
      <c r="E72" s="868"/>
      <c r="F72" s="1912">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2">
        <f>'Expenditures 15-22'!K285</f>
        <v>0</v>
      </c>
      <c r="G73" s="865"/>
    </row>
    <row r="74" spans="1:8" x14ac:dyDescent="0.2">
      <c r="A74" s="869" t="s">
        <v>436</v>
      </c>
      <c r="B74" s="869" t="s">
        <v>1897</v>
      </c>
      <c r="C74" s="886" t="s">
        <v>860</v>
      </c>
      <c r="D74" s="887" t="s">
        <v>1487</v>
      </c>
      <c r="E74" s="868"/>
      <c r="F74" s="1916">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250184</v>
      </c>
      <c r="G76" s="865"/>
    </row>
    <row r="77" spans="1:8" s="893" customFormat="1" ht="12" customHeight="1" thickTop="1" thickBot="1" x14ac:dyDescent="0.25">
      <c r="A77" s="1779"/>
      <c r="B77" s="1776"/>
      <c r="C77" s="1772"/>
      <c r="D77" s="1777" t="s">
        <v>1899</v>
      </c>
      <c r="E77" s="1774"/>
      <c r="F77" s="1780">
        <f>(F14-F76)</f>
        <v>1607458</v>
      </c>
      <c r="G77" s="869"/>
    </row>
    <row r="78" spans="1:8" s="893" customFormat="1" ht="12" customHeight="1" thickTop="1" x14ac:dyDescent="0.2">
      <c r="A78" s="1781"/>
      <c r="B78" s="1776"/>
      <c r="C78" s="1772"/>
      <c r="D78" s="1777" t="s">
        <v>2060</v>
      </c>
      <c r="E78" s="1774"/>
      <c r="F78" s="898">
        <v>66.113</v>
      </c>
      <c r="G78" s="899"/>
      <c r="H78" s="869"/>
    </row>
    <row r="79" spans="1:8" s="893" customFormat="1" ht="12" customHeight="1" thickBot="1" x14ac:dyDescent="0.25">
      <c r="A79" s="1782"/>
      <c r="B79" s="1776"/>
      <c r="C79" s="1772"/>
      <c r="D79" s="1777" t="s">
        <v>1900</v>
      </c>
      <c r="E79" s="1774" t="s">
        <v>958</v>
      </c>
      <c r="F79" s="1783">
        <f>IF(F78&gt;0,F77/F78," Complete Line 78")</f>
        <v>24313.796076414623</v>
      </c>
      <c r="G79" s="869"/>
    </row>
    <row r="80" spans="1:8" s="893" customFormat="1" ht="8.25" customHeight="1" thickTop="1" x14ac:dyDescent="0.2">
      <c r="A80" s="900"/>
      <c r="B80" s="869"/>
      <c r="C80" s="871"/>
      <c r="D80" s="901"/>
      <c r="E80" s="868"/>
      <c r="F80" s="902"/>
      <c r="G80" s="869"/>
    </row>
    <row r="81" spans="1:7" s="893" customFormat="1" ht="12" thickBot="1" x14ac:dyDescent="0.25">
      <c r="A81" s="2263" t="s">
        <v>1105</v>
      </c>
      <c r="B81" s="2264"/>
      <c r="C81" s="2264"/>
      <c r="D81" s="2264"/>
      <c r="E81" s="2264"/>
      <c r="F81" s="2265"/>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6">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15950</v>
      </c>
      <c r="G94" s="912"/>
    </row>
    <row r="95" spans="1:7" x14ac:dyDescent="0.2">
      <c r="A95" s="908" t="s">
        <v>140</v>
      </c>
      <c r="B95" s="908" t="s">
        <v>175</v>
      </c>
      <c r="C95" s="910">
        <v>1700</v>
      </c>
      <c r="D95" s="918" t="str">
        <f>'Revenues 9-14'!A82</f>
        <v>Total District/School Activity Income</v>
      </c>
      <c r="E95" s="906"/>
      <c r="F95" s="1789">
        <f>SUM('Revenues 9-14'!C82,'Revenues 9-14'!D82)</f>
        <v>3510</v>
      </c>
      <c r="G95" s="912"/>
    </row>
    <row r="96" spans="1:7" x14ac:dyDescent="0.2">
      <c r="A96" s="908" t="s">
        <v>459</v>
      </c>
      <c r="B96" s="908" t="s">
        <v>176</v>
      </c>
      <c r="C96" s="910">
        <f>'Revenues 9-14'!B84</f>
        <v>1811</v>
      </c>
      <c r="D96" s="911" t="str">
        <f>'Revenues 9-14'!A84</f>
        <v>Rentals - Regular Textbooks</v>
      </c>
      <c r="E96" s="906"/>
      <c r="F96" s="1789">
        <f>'Revenues 9-14'!C84</f>
        <v>3006</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24358</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325</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0</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76450</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6">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6">
        <f>SUM('Revenues 9-14'!C163:G163)</f>
        <v>0</v>
      </c>
      <c r="G118" s="912"/>
    </row>
    <row r="119" spans="1:7" x14ac:dyDescent="0.2">
      <c r="A119" s="923" t="s">
        <v>504</v>
      </c>
      <c r="B119" s="923" t="s">
        <v>2015</v>
      </c>
      <c r="C119" s="924">
        <f>'Revenues 9-14'!B164</f>
        <v>3815</v>
      </c>
      <c r="D119" s="925" t="str">
        <f>'Revenues 9-14'!A164</f>
        <v>State Charter Schools</v>
      </c>
      <c r="E119" s="906"/>
      <c r="F119" s="1906">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410</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15189</v>
      </c>
      <c r="G125" s="930"/>
    </row>
    <row r="126" spans="1:7" x14ac:dyDescent="0.2">
      <c r="A126" s="927" t="s">
        <v>668</v>
      </c>
      <c r="B126" s="927" t="s">
        <v>2022</v>
      </c>
      <c r="C126" s="932">
        <v>4300</v>
      </c>
      <c r="D126" s="933" t="str">
        <f>'Revenues 9-14'!A204</f>
        <v>Total Title I</v>
      </c>
      <c r="E126" s="906"/>
      <c r="F126" s="1789">
        <f>SUM('Revenues 9-14'!C204,'Revenues 9-14'!D204,'Revenues 9-14'!F204,'Revenues 9-14'!G204)</f>
        <v>22646</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6281</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14838</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6">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6">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6">
        <f>SUM('Revenues 9-14'!C259,'Revenues 9-14'!D259,'Revenues 9-14'!F259,'Revenues 9-14'!G259)</f>
        <v>7558</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5363</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7" t="s">
        <v>5</v>
      </c>
      <c r="B171" s="1918" t="s">
        <v>1919</v>
      </c>
      <c r="C171" s="1919">
        <v>3100</v>
      </c>
      <c r="D171" s="1920" t="s">
        <v>1921</v>
      </c>
      <c r="E171" s="906"/>
      <c r="F171" s="1905"/>
      <c r="G171" s="927"/>
    </row>
    <row r="172" spans="1:7" x14ac:dyDescent="0.2">
      <c r="A172" s="1917" t="s">
        <v>664</v>
      </c>
      <c r="B172" s="1918" t="s">
        <v>1919</v>
      </c>
      <c r="C172" s="1919">
        <v>3300</v>
      </c>
      <c r="D172" s="1920" t="s">
        <v>1922</v>
      </c>
      <c r="E172" s="906"/>
      <c r="F172" s="1905"/>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195884</v>
      </c>
    </row>
    <row r="175" spans="1:7" ht="12" customHeight="1" x14ac:dyDescent="0.2">
      <c r="A175" s="1770"/>
      <c r="B175" s="1784"/>
      <c r="C175" s="1785"/>
      <c r="D175" s="1786" t="s">
        <v>2055</v>
      </c>
      <c r="E175" s="1787"/>
      <c r="F175" s="1789">
        <f>'PCTC-OEPP 27-28'!F77-F174</f>
        <v>1411574</v>
      </c>
    </row>
    <row r="176" spans="1:7" ht="12" customHeight="1" x14ac:dyDescent="0.2">
      <c r="A176" s="1770"/>
      <c r="B176" s="1784"/>
      <c r="C176" s="1785"/>
      <c r="D176" s="1786" t="s">
        <v>1817</v>
      </c>
      <c r="E176" s="1787"/>
      <c r="F176" s="1789">
        <f>'Cap Outlay Deprec 26'!I18</f>
        <v>76594</v>
      </c>
    </row>
    <row r="177" spans="1:7" ht="12" customHeight="1" x14ac:dyDescent="0.2">
      <c r="A177" s="1770"/>
      <c r="B177" s="1784"/>
      <c r="C177" s="1785"/>
      <c r="D177" s="1786" t="s">
        <v>2056</v>
      </c>
      <c r="E177" s="1787"/>
      <c r="F177" s="1789">
        <f>F175+F176</f>
        <v>1488168</v>
      </c>
    </row>
    <row r="178" spans="1:7" ht="12" customHeight="1" x14ac:dyDescent="0.2">
      <c r="A178" s="1770"/>
      <c r="B178" s="1790"/>
      <c r="C178" s="1785"/>
      <c r="D178" s="1786" t="str">
        <f>D78</f>
        <v>9 Month ADA from District Average Daily Attendance/Prior General State Aid Inquiry 2018-2019</v>
      </c>
      <c r="E178" s="1787"/>
      <c r="F178" s="1791">
        <f>'PCTC-OEPP 27-28'!F78</f>
        <v>66.113</v>
      </c>
      <c r="G178" s="930"/>
    </row>
    <row r="179" spans="1:7" ht="12" customHeight="1" thickBot="1" x14ac:dyDescent="0.25">
      <c r="A179" s="1770"/>
      <c r="B179" s="1790"/>
      <c r="C179" s="1785"/>
      <c r="D179" s="1786" t="s">
        <v>2057</v>
      </c>
      <c r="E179" s="1787" t="s">
        <v>1545</v>
      </c>
      <c r="F179" s="1792">
        <f>F177/F178</f>
        <v>22509.46107422141</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1" customFormat="1" ht="12.2" customHeight="1" x14ac:dyDescent="0.2">
      <c r="A182" s="1921" t="s">
        <v>1992</v>
      </c>
      <c r="B182" s="1922"/>
      <c r="C182" s="1923"/>
      <c r="D182" s="1922"/>
      <c r="E182" s="1923"/>
      <c r="F182" s="1922"/>
      <c r="G182" s="1922"/>
    </row>
    <row r="183" spans="1:7" s="1921" customFormat="1" ht="12.2" customHeight="1" x14ac:dyDescent="0.2">
      <c r="A183" s="1924" t="s">
        <v>1994</v>
      </c>
      <c r="C183" s="1923"/>
      <c r="D183" s="1922"/>
      <c r="E183" s="1923"/>
      <c r="F183" s="1922"/>
      <c r="G183" s="1922"/>
    </row>
    <row r="184" spans="1:7" ht="12" customHeight="1" x14ac:dyDescent="0.2">
      <c r="C184" s="949"/>
      <c r="D184" s="930"/>
      <c r="E184" s="949"/>
      <c r="F184" s="930"/>
      <c r="G184" s="930"/>
    </row>
    <row r="185" spans="1:7" x14ac:dyDescent="0.2">
      <c r="A185" s="1925" t="s">
        <v>1924</v>
      </c>
      <c r="B185" s="1926"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141"/>
  <sheetViews>
    <sheetView showGridLines="0" topLeftCell="A13" zoomScaleNormal="100" workbookViewId="0">
      <selection activeCell="D24" sqref="D24"/>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7" t="s">
        <v>1818</v>
      </c>
      <c r="B4" s="2278"/>
      <c r="C4" s="2278"/>
      <c r="D4" s="2278"/>
      <c r="E4" s="2278"/>
      <c r="F4" s="2278"/>
      <c r="G4" s="2279"/>
    </row>
    <row r="5" spans="1:7" x14ac:dyDescent="0.25">
      <c r="A5" s="2280"/>
      <c r="B5" s="2281"/>
      <c r="C5" s="2281"/>
      <c r="D5" s="2281"/>
      <c r="E5" s="2281"/>
      <c r="F5" s="2281"/>
      <c r="G5" s="2282"/>
    </row>
    <row r="6" spans="1:7" ht="18.75" x14ac:dyDescent="0.25">
      <c r="A6" s="1534" t="s">
        <v>1819</v>
      </c>
      <c r="B6" s="1535"/>
      <c r="C6" s="1535"/>
      <c r="D6" s="1535"/>
      <c r="E6" s="1535"/>
      <c r="F6" s="1535"/>
      <c r="G6" s="1536"/>
    </row>
    <row r="7" spans="1:7" ht="30.75" customHeight="1" x14ac:dyDescent="0.25">
      <c r="A7" s="2283" t="s">
        <v>1931</v>
      </c>
      <c r="B7" s="2284"/>
      <c r="C7" s="2284"/>
      <c r="D7" s="2284"/>
      <c r="E7" s="2284"/>
      <c r="F7" s="2284"/>
      <c r="G7" s="2285"/>
    </row>
    <row r="8" spans="1:7" ht="15.75" customHeight="1" x14ac:dyDescent="0.25">
      <c r="A8" s="2286" t="s">
        <v>1906</v>
      </c>
      <c r="B8" s="2287"/>
      <c r="C8" s="2287"/>
      <c r="D8" s="2287"/>
      <c r="E8" s="2287"/>
      <c r="F8" s="2287"/>
      <c r="G8" s="2288"/>
    </row>
    <row r="9" spans="1:7" ht="35.25" customHeight="1" x14ac:dyDescent="0.25">
      <c r="A9" s="2283" t="s">
        <v>2063</v>
      </c>
      <c r="B9" s="2284"/>
      <c r="C9" s="2284"/>
      <c r="D9" s="2284"/>
      <c r="E9" s="2284"/>
      <c r="F9" s="2284"/>
      <c r="G9" s="2285"/>
    </row>
    <row r="10" spans="1:7" ht="15" customHeight="1" x14ac:dyDescent="0.25">
      <c r="A10" s="1537" t="s">
        <v>1820</v>
      </c>
      <c r="B10" s="1538"/>
      <c r="C10" s="1538"/>
      <c r="D10" s="1538"/>
      <c r="E10" s="1538"/>
      <c r="F10" s="1538"/>
      <c r="G10" s="1539"/>
    </row>
    <row r="11" spans="1:7" ht="17.25" customHeight="1" x14ac:dyDescent="0.25">
      <c r="A11" s="2283" t="s">
        <v>1933</v>
      </c>
      <c r="B11" s="2284"/>
      <c r="C11" s="2284"/>
      <c r="D11" s="2284"/>
      <c r="E11" s="2284"/>
      <c r="F11" s="2284"/>
      <c r="G11" s="2285"/>
    </row>
    <row r="12" spans="1:7" ht="15" customHeight="1" x14ac:dyDescent="0.25">
      <c r="A12" s="1537" t="s">
        <v>1825</v>
      </c>
      <c r="B12" s="1538"/>
      <c r="C12" s="1538"/>
      <c r="D12" s="1538"/>
      <c r="E12" s="1538"/>
      <c r="F12" s="1538"/>
      <c r="G12" s="1539"/>
    </row>
    <row r="13" spans="1:7" ht="32.25" customHeight="1" x14ac:dyDescent="0.25">
      <c r="A13" s="2274" t="s">
        <v>1974</v>
      </c>
      <c r="B13" s="2275"/>
      <c r="C13" s="2275"/>
      <c r="D13" s="2275"/>
      <c r="E13" s="2275"/>
      <c r="F13" s="2275"/>
      <c r="G13" s="2276"/>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42" t="s">
        <v>2094</v>
      </c>
      <c r="B17" s="1943" t="s">
        <v>2095</v>
      </c>
      <c r="C17" s="1944" t="s">
        <v>2096</v>
      </c>
      <c r="D17" s="1844">
        <v>28732</v>
      </c>
      <c r="E17" s="1540">
        <f t="shared" ref="E17:E141" si="0">IF(D17&lt;=25000,D17,IF(D17&gt;25000,25000,0))</f>
        <v>25000</v>
      </c>
      <c r="F17" s="1931">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3732</v>
      </c>
      <c r="H17" s="1647"/>
    </row>
    <row r="18" spans="1:8" x14ac:dyDescent="0.25">
      <c r="A18" s="1942" t="s">
        <v>2094</v>
      </c>
      <c r="B18" s="1943" t="s">
        <v>2095</v>
      </c>
      <c r="C18" s="1944" t="s">
        <v>2097</v>
      </c>
      <c r="D18" s="1844">
        <v>1757</v>
      </c>
      <c r="E18" s="1540">
        <f t="shared" ref="E18:E140" si="2">IF(D18&lt;=25000,D18,IF(D18&gt;25000,25000,0))</f>
        <v>1757</v>
      </c>
      <c r="F18" s="1931">
        <f t="shared" si="1"/>
        <v>1757</v>
      </c>
      <c r="G18" s="1793">
        <f t="shared" ref="G18:G140" si="3">IF(F18=0,0,D18-F18)</f>
        <v>0</v>
      </c>
    </row>
    <row r="19" spans="1:8" x14ac:dyDescent="0.25">
      <c r="A19" s="1942" t="s">
        <v>2094</v>
      </c>
      <c r="B19" s="1943" t="s">
        <v>2095</v>
      </c>
      <c r="C19" s="1944" t="s">
        <v>2098</v>
      </c>
      <c r="D19" s="1844">
        <v>8400</v>
      </c>
      <c r="E19" s="1540">
        <f t="shared" si="2"/>
        <v>8400</v>
      </c>
      <c r="F19" s="1931">
        <f t="shared" si="1"/>
        <v>8400</v>
      </c>
      <c r="G19" s="1793">
        <f t="shared" si="3"/>
        <v>0</v>
      </c>
    </row>
    <row r="20" spans="1:8" x14ac:dyDescent="0.25">
      <c r="A20" s="1942" t="s">
        <v>2099</v>
      </c>
      <c r="B20" s="1943" t="s">
        <v>2100</v>
      </c>
      <c r="C20" s="1944" t="s">
        <v>2101</v>
      </c>
      <c r="D20" s="1844">
        <v>7200</v>
      </c>
      <c r="E20" s="1540">
        <f t="shared" si="2"/>
        <v>7200</v>
      </c>
      <c r="F20" s="1931">
        <f t="shared" si="1"/>
        <v>7200</v>
      </c>
      <c r="G20" s="1793">
        <f t="shared" si="3"/>
        <v>0</v>
      </c>
    </row>
    <row r="21" spans="1:8" x14ac:dyDescent="0.25">
      <c r="A21" s="1942" t="s">
        <v>2102</v>
      </c>
      <c r="B21" s="1943" t="s">
        <v>2103</v>
      </c>
      <c r="C21" s="1944" t="s">
        <v>2104</v>
      </c>
      <c r="D21" s="1844">
        <v>54205</v>
      </c>
      <c r="E21" s="1540">
        <f t="shared" si="2"/>
        <v>25000</v>
      </c>
      <c r="F21" s="1931">
        <f t="shared" si="1"/>
        <v>25000</v>
      </c>
      <c r="G21" s="1793">
        <f t="shared" si="3"/>
        <v>29205</v>
      </c>
    </row>
    <row r="22" spans="1:8" x14ac:dyDescent="0.25">
      <c r="A22" s="1942" t="s">
        <v>2105</v>
      </c>
      <c r="B22" s="1943" t="s">
        <v>2100</v>
      </c>
      <c r="C22" s="1944" t="s">
        <v>2106</v>
      </c>
      <c r="D22" s="1844">
        <v>13015</v>
      </c>
      <c r="E22" s="1540">
        <f t="shared" si="2"/>
        <v>13015</v>
      </c>
      <c r="F22" s="1931">
        <f t="shared" si="1"/>
        <v>13015</v>
      </c>
      <c r="G22" s="1793">
        <f t="shared" si="3"/>
        <v>0</v>
      </c>
    </row>
    <row r="23" spans="1:8" x14ac:dyDescent="0.25">
      <c r="A23" s="1942" t="s">
        <v>2102</v>
      </c>
      <c r="B23" s="1943" t="s">
        <v>2103</v>
      </c>
      <c r="C23" s="1944" t="s">
        <v>2107</v>
      </c>
      <c r="D23" s="1844">
        <v>88291</v>
      </c>
      <c r="E23" s="1540">
        <f t="shared" si="2"/>
        <v>25000</v>
      </c>
      <c r="F23" s="1931">
        <f t="shared" si="1"/>
        <v>25000</v>
      </c>
      <c r="G23" s="1793">
        <f t="shared" si="3"/>
        <v>63291</v>
      </c>
    </row>
    <row r="24" spans="1:8" x14ac:dyDescent="0.25">
      <c r="A24" s="1942"/>
      <c r="B24" s="1943"/>
      <c r="C24" s="1944"/>
      <c r="D24" s="1844"/>
      <c r="E24" s="1540">
        <f t="shared" si="2"/>
        <v>0</v>
      </c>
      <c r="F24" s="1931">
        <f t="shared" si="1"/>
        <v>0</v>
      </c>
      <c r="G24" s="1793">
        <f t="shared" si="3"/>
        <v>0</v>
      </c>
    </row>
    <row r="25" spans="1:8" x14ac:dyDescent="0.25">
      <c r="A25" s="1653"/>
      <c r="B25" s="1933"/>
      <c r="C25" s="1656"/>
      <c r="D25" s="1844"/>
      <c r="E25" s="1540">
        <f t="shared" si="2"/>
        <v>0</v>
      </c>
      <c r="F25" s="1931">
        <f t="shared" si="1"/>
        <v>0</v>
      </c>
      <c r="G25" s="1793">
        <f t="shared" si="3"/>
        <v>0</v>
      </c>
    </row>
    <row r="26" spans="1:8" x14ac:dyDescent="0.25">
      <c r="A26" s="1653"/>
      <c r="B26" s="1933"/>
      <c r="C26" s="1654"/>
      <c r="D26" s="1844"/>
      <c r="E26" s="1540">
        <f t="shared" si="2"/>
        <v>0</v>
      </c>
      <c r="F26" s="1931">
        <f t="shared" si="1"/>
        <v>0</v>
      </c>
      <c r="G26" s="1793">
        <f t="shared" si="3"/>
        <v>0</v>
      </c>
    </row>
    <row r="27" spans="1:8" x14ac:dyDescent="0.25">
      <c r="A27" s="1653"/>
      <c r="B27" s="1933"/>
      <c r="C27" s="1654"/>
      <c r="D27" s="1844"/>
      <c r="E27" s="1540">
        <f t="shared" si="2"/>
        <v>0</v>
      </c>
      <c r="F27" s="1931">
        <f t="shared" si="1"/>
        <v>0</v>
      </c>
      <c r="G27" s="1793">
        <f t="shared" si="3"/>
        <v>0</v>
      </c>
    </row>
    <row r="28" spans="1:8" x14ac:dyDescent="0.25">
      <c r="A28" s="1653"/>
      <c r="B28" s="1933"/>
      <c r="C28" s="1654"/>
      <c r="D28" s="1844"/>
      <c r="E28" s="1540">
        <f t="shared" si="2"/>
        <v>0</v>
      </c>
      <c r="F28" s="1931">
        <f t="shared" si="1"/>
        <v>0</v>
      </c>
      <c r="G28" s="1793">
        <f t="shared" si="3"/>
        <v>0</v>
      </c>
    </row>
    <row r="29" spans="1:8" x14ac:dyDescent="0.25">
      <c r="A29" s="1653"/>
      <c r="B29" s="1933"/>
      <c r="C29" s="1654"/>
      <c r="D29" s="1844"/>
      <c r="E29" s="1540">
        <f t="shared" si="2"/>
        <v>0</v>
      </c>
      <c r="F29" s="1931">
        <f t="shared" si="1"/>
        <v>0</v>
      </c>
      <c r="G29" s="1793">
        <f t="shared" si="3"/>
        <v>0</v>
      </c>
    </row>
    <row r="30" spans="1:8" x14ac:dyDescent="0.25">
      <c r="A30" s="1653"/>
      <c r="B30" s="1933"/>
      <c r="C30" s="1654"/>
      <c r="D30" s="1844"/>
      <c r="E30" s="1540">
        <f t="shared" si="2"/>
        <v>0</v>
      </c>
      <c r="F30" s="1931">
        <f t="shared" si="1"/>
        <v>0</v>
      </c>
      <c r="G30" s="1793">
        <f t="shared" si="3"/>
        <v>0</v>
      </c>
    </row>
    <row r="31" spans="1:8" x14ac:dyDescent="0.25">
      <c r="A31" s="1653"/>
      <c r="B31" s="1933"/>
      <c r="C31" s="1654"/>
      <c r="D31" s="1844"/>
      <c r="E31" s="1540">
        <f t="shared" si="2"/>
        <v>0</v>
      </c>
      <c r="F31" s="1931">
        <f t="shared" si="1"/>
        <v>0</v>
      </c>
      <c r="G31" s="1793">
        <f t="shared" si="3"/>
        <v>0</v>
      </c>
    </row>
    <row r="32" spans="1:8" x14ac:dyDescent="0.25">
      <c r="A32" s="1653"/>
      <c r="B32" s="1933"/>
      <c r="C32" s="1654"/>
      <c r="D32" s="1844"/>
      <c r="E32" s="1540">
        <f t="shared" si="2"/>
        <v>0</v>
      </c>
      <c r="F32" s="1931">
        <f t="shared" si="1"/>
        <v>0</v>
      </c>
      <c r="G32" s="1793">
        <f t="shared" si="3"/>
        <v>0</v>
      </c>
    </row>
    <row r="33" spans="1:7" x14ac:dyDescent="0.25">
      <c r="A33" s="1653"/>
      <c r="B33" s="1933"/>
      <c r="C33" s="1654"/>
      <c r="D33" s="1844"/>
      <c r="E33" s="1540">
        <f t="shared" si="2"/>
        <v>0</v>
      </c>
      <c r="F33" s="1931">
        <f t="shared" si="1"/>
        <v>0</v>
      </c>
      <c r="G33" s="1793">
        <f t="shared" si="3"/>
        <v>0</v>
      </c>
    </row>
    <row r="34" spans="1:7" x14ac:dyDescent="0.25">
      <c r="A34" s="1653"/>
      <c r="B34" s="1933"/>
      <c r="C34" s="1654"/>
      <c r="D34" s="1844"/>
      <c r="E34" s="1540">
        <f t="shared" si="2"/>
        <v>0</v>
      </c>
      <c r="F34" s="1931">
        <f t="shared" si="1"/>
        <v>0</v>
      </c>
      <c r="G34" s="1793">
        <f t="shared" si="3"/>
        <v>0</v>
      </c>
    </row>
    <row r="35" spans="1:7" x14ac:dyDescent="0.25">
      <c r="A35" s="1653"/>
      <c r="B35" s="1933"/>
      <c r="C35" s="1654"/>
      <c r="D35" s="1844"/>
      <c r="E35" s="1540">
        <f t="shared" si="2"/>
        <v>0</v>
      </c>
      <c r="F35" s="1931">
        <f t="shared" si="1"/>
        <v>0</v>
      </c>
      <c r="G35" s="1793">
        <f t="shared" si="3"/>
        <v>0</v>
      </c>
    </row>
    <row r="36" spans="1:7" x14ac:dyDescent="0.25">
      <c r="A36" s="1653"/>
      <c r="B36" s="1933"/>
      <c r="C36" s="1654"/>
      <c r="D36" s="1844"/>
      <c r="E36" s="1540">
        <f t="shared" si="2"/>
        <v>0</v>
      </c>
      <c r="F36" s="1931">
        <f t="shared" si="1"/>
        <v>0</v>
      </c>
      <c r="G36" s="1793">
        <f t="shared" si="3"/>
        <v>0</v>
      </c>
    </row>
    <row r="37" spans="1:7" x14ac:dyDescent="0.25">
      <c r="A37" s="1653"/>
      <c r="B37" s="1933"/>
      <c r="C37" s="1654"/>
      <c r="D37" s="1844"/>
      <c r="E37" s="1540">
        <f t="shared" si="2"/>
        <v>0</v>
      </c>
      <c r="F37" s="1931">
        <f t="shared" si="1"/>
        <v>0</v>
      </c>
      <c r="G37" s="1793">
        <f t="shared" si="3"/>
        <v>0</v>
      </c>
    </row>
    <row r="38" spans="1:7" x14ac:dyDescent="0.25">
      <c r="A38" s="1653"/>
      <c r="B38" s="1934"/>
      <c r="C38" s="1654"/>
      <c r="D38" s="1844"/>
      <c r="E38" s="1540">
        <f t="shared" si="2"/>
        <v>0</v>
      </c>
      <c r="F38" s="1931">
        <f t="shared" si="1"/>
        <v>0</v>
      </c>
      <c r="G38" s="1793">
        <f t="shared" si="3"/>
        <v>0</v>
      </c>
    </row>
    <row r="39" spans="1:7" x14ac:dyDescent="0.25">
      <c r="A39" s="1653"/>
      <c r="B39" s="1934"/>
      <c r="C39" s="1654"/>
      <c r="D39" s="1844"/>
      <c r="E39" s="1540">
        <f t="shared" si="2"/>
        <v>0</v>
      </c>
      <c r="F39" s="1931">
        <f t="shared" si="1"/>
        <v>0</v>
      </c>
      <c r="G39" s="1793">
        <f t="shared" si="3"/>
        <v>0</v>
      </c>
    </row>
    <row r="40" spans="1:7" x14ac:dyDescent="0.25">
      <c r="A40" s="1653"/>
      <c r="B40" s="1934"/>
      <c r="C40" s="1654"/>
      <c r="D40" s="1844"/>
      <c r="E40" s="1540">
        <f t="shared" si="2"/>
        <v>0</v>
      </c>
      <c r="F40" s="1931">
        <f t="shared" si="1"/>
        <v>0</v>
      </c>
      <c r="G40" s="1793">
        <f t="shared" si="3"/>
        <v>0</v>
      </c>
    </row>
    <row r="41" spans="1:7" x14ac:dyDescent="0.25">
      <c r="A41" s="1653"/>
      <c r="B41" s="1934"/>
      <c r="C41" s="1654"/>
      <c r="D41" s="1844"/>
      <c r="E41" s="1540">
        <f t="shared" si="2"/>
        <v>0</v>
      </c>
      <c r="F41" s="1931">
        <f t="shared" si="1"/>
        <v>0</v>
      </c>
      <c r="G41" s="1793">
        <f t="shared" si="3"/>
        <v>0</v>
      </c>
    </row>
    <row r="42" spans="1:7" x14ac:dyDescent="0.25">
      <c r="A42" s="1653"/>
      <c r="B42" s="1934"/>
      <c r="C42" s="1654"/>
      <c r="D42" s="1844"/>
      <c r="E42" s="1540">
        <f t="shared" si="2"/>
        <v>0</v>
      </c>
      <c r="F42" s="1931">
        <f t="shared" si="1"/>
        <v>0</v>
      </c>
      <c r="G42" s="1793">
        <f t="shared" si="3"/>
        <v>0</v>
      </c>
    </row>
    <row r="43" spans="1:7" x14ac:dyDescent="0.25">
      <c r="A43" s="1653"/>
      <c r="B43" s="1934"/>
      <c r="C43" s="1654"/>
      <c r="D43" s="1844"/>
      <c r="E43" s="1540">
        <f t="shared" si="2"/>
        <v>0</v>
      </c>
      <c r="F43" s="1931">
        <f t="shared" si="1"/>
        <v>0</v>
      </c>
      <c r="G43" s="1793">
        <f t="shared" si="3"/>
        <v>0</v>
      </c>
    </row>
    <row r="44" spans="1:7" x14ac:dyDescent="0.25">
      <c r="A44" s="1653"/>
      <c r="B44" s="1934"/>
      <c r="C44" s="1654"/>
      <c r="D44" s="1844"/>
      <c r="E44" s="1540">
        <f t="shared" si="2"/>
        <v>0</v>
      </c>
      <c r="F44" s="1931">
        <f t="shared" si="1"/>
        <v>0</v>
      </c>
      <c r="G44" s="1793">
        <f t="shared" si="3"/>
        <v>0</v>
      </c>
    </row>
    <row r="45" spans="1:7" x14ac:dyDescent="0.25">
      <c r="A45" s="1653"/>
      <c r="B45" s="1934"/>
      <c r="C45" s="1654"/>
      <c r="D45" s="1844"/>
      <c r="E45" s="1540">
        <f t="shared" si="2"/>
        <v>0</v>
      </c>
      <c r="F45" s="1931">
        <f t="shared" si="1"/>
        <v>0</v>
      </c>
      <c r="G45" s="1793">
        <f t="shared" si="3"/>
        <v>0</v>
      </c>
    </row>
    <row r="46" spans="1:7" x14ac:dyDescent="0.25">
      <c r="A46" s="1653"/>
      <c r="B46" s="1667"/>
      <c r="C46" s="1654"/>
      <c r="D46" s="1844"/>
      <c r="E46" s="1540">
        <f t="shared" si="2"/>
        <v>0</v>
      </c>
      <c r="F46" s="1931">
        <f t="shared" si="1"/>
        <v>0</v>
      </c>
      <c r="G46" s="1793">
        <f t="shared" si="3"/>
        <v>0</v>
      </c>
    </row>
    <row r="47" spans="1:7" x14ac:dyDescent="0.25">
      <c r="A47" s="1653"/>
      <c r="B47" s="1667"/>
      <c r="C47" s="1654"/>
      <c r="D47" s="1844"/>
      <c r="E47" s="1540">
        <f t="shared" si="2"/>
        <v>0</v>
      </c>
      <c r="F47" s="1931">
        <f t="shared" si="1"/>
        <v>0</v>
      </c>
      <c r="G47" s="1793">
        <f t="shared" si="3"/>
        <v>0</v>
      </c>
    </row>
    <row r="48" spans="1:7" x14ac:dyDescent="0.25">
      <c r="A48" s="1653"/>
      <c r="B48" s="1667"/>
      <c r="C48" s="1654"/>
      <c r="D48" s="1844"/>
      <c r="E48" s="1540">
        <f t="shared" si="2"/>
        <v>0</v>
      </c>
      <c r="F48" s="1931">
        <f t="shared" si="1"/>
        <v>0</v>
      </c>
      <c r="G48" s="1793">
        <f t="shared" si="3"/>
        <v>0</v>
      </c>
    </row>
    <row r="49" spans="1:7" x14ac:dyDescent="0.25">
      <c r="A49" s="1653"/>
      <c r="B49" s="1667"/>
      <c r="C49" s="1654"/>
      <c r="D49" s="1844"/>
      <c r="E49" s="1540">
        <f t="shared" si="2"/>
        <v>0</v>
      </c>
      <c r="F49" s="1931">
        <f t="shared" si="1"/>
        <v>0</v>
      </c>
      <c r="G49" s="1793">
        <f t="shared" si="3"/>
        <v>0</v>
      </c>
    </row>
    <row r="50" spans="1:7" x14ac:dyDescent="0.25">
      <c r="A50" s="1653"/>
      <c r="B50" s="1667"/>
      <c r="C50" s="1654"/>
      <c r="D50" s="1844"/>
      <c r="E50" s="1540">
        <f t="shared" si="2"/>
        <v>0</v>
      </c>
      <c r="F50" s="1931">
        <f t="shared" si="1"/>
        <v>0</v>
      </c>
      <c r="G50" s="1793">
        <f t="shared" si="3"/>
        <v>0</v>
      </c>
    </row>
    <row r="51" spans="1:7" x14ac:dyDescent="0.25">
      <c r="A51" s="1653"/>
      <c r="B51" s="1667"/>
      <c r="C51" s="1654"/>
      <c r="D51" s="1844"/>
      <c r="E51" s="1540">
        <f t="shared" si="2"/>
        <v>0</v>
      </c>
      <c r="F51" s="1931">
        <f t="shared" si="1"/>
        <v>0</v>
      </c>
      <c r="G51" s="1793">
        <f t="shared" si="3"/>
        <v>0</v>
      </c>
    </row>
    <row r="52" spans="1:7" x14ac:dyDescent="0.25">
      <c r="A52" s="1653"/>
      <c r="B52" s="1667"/>
      <c r="C52" s="1654"/>
      <c r="D52" s="1844"/>
      <c r="E52" s="1540">
        <f t="shared" si="2"/>
        <v>0</v>
      </c>
      <c r="F52" s="1931">
        <f t="shared" si="1"/>
        <v>0</v>
      </c>
      <c r="G52" s="1793">
        <f t="shared" si="3"/>
        <v>0</v>
      </c>
    </row>
    <row r="53" spans="1:7" x14ac:dyDescent="0.25">
      <c r="A53" s="1653"/>
      <c r="B53" s="1667"/>
      <c r="C53" s="1654"/>
      <c r="D53" s="1844"/>
      <c r="E53" s="1540">
        <f t="shared" si="2"/>
        <v>0</v>
      </c>
      <c r="F53" s="1931">
        <f t="shared" si="1"/>
        <v>0</v>
      </c>
      <c r="G53" s="1793">
        <f t="shared" si="3"/>
        <v>0</v>
      </c>
    </row>
    <row r="54" spans="1:7" x14ac:dyDescent="0.25">
      <c r="A54" s="1653"/>
      <c r="B54" s="1667"/>
      <c r="C54" s="1654"/>
      <c r="D54" s="1844"/>
      <c r="E54" s="1540">
        <f t="shared" si="2"/>
        <v>0</v>
      </c>
      <c r="F54" s="1931">
        <f t="shared" si="1"/>
        <v>0</v>
      </c>
      <c r="G54" s="1793">
        <f t="shared" si="3"/>
        <v>0</v>
      </c>
    </row>
    <row r="55" spans="1:7" x14ac:dyDescent="0.25">
      <c r="A55" s="1653"/>
      <c r="B55" s="1667"/>
      <c r="C55" s="1654"/>
      <c r="D55" s="1844"/>
      <c r="E55" s="1540">
        <f t="shared" si="2"/>
        <v>0</v>
      </c>
      <c r="F55" s="1931">
        <f t="shared" si="1"/>
        <v>0</v>
      </c>
      <c r="G55" s="1793">
        <f t="shared" si="3"/>
        <v>0</v>
      </c>
    </row>
    <row r="56" spans="1:7" x14ac:dyDescent="0.25">
      <c r="A56" s="1653"/>
      <c r="B56" s="1667"/>
      <c r="C56" s="1654"/>
      <c r="D56" s="1844"/>
      <c r="E56" s="1540">
        <f t="shared" si="2"/>
        <v>0</v>
      </c>
      <c r="F56" s="1931">
        <f t="shared" si="1"/>
        <v>0</v>
      </c>
      <c r="G56" s="1793">
        <f t="shared" si="3"/>
        <v>0</v>
      </c>
    </row>
    <row r="57" spans="1:7" x14ac:dyDescent="0.25">
      <c r="A57" s="1653"/>
      <c r="B57" s="1667"/>
      <c r="C57" s="1654"/>
      <c r="D57" s="1844"/>
      <c r="E57" s="1540">
        <f t="shared" si="2"/>
        <v>0</v>
      </c>
      <c r="F57" s="1931">
        <f t="shared" si="1"/>
        <v>0</v>
      </c>
      <c r="G57" s="1793">
        <f t="shared" si="3"/>
        <v>0</v>
      </c>
    </row>
    <row r="58" spans="1:7" x14ac:dyDescent="0.25">
      <c r="A58" s="1653"/>
      <c r="B58" s="1667"/>
      <c r="C58" s="1654"/>
      <c r="D58" s="1844"/>
      <c r="E58" s="1540">
        <f t="shared" si="2"/>
        <v>0</v>
      </c>
      <c r="F58" s="1931">
        <f t="shared" si="1"/>
        <v>0</v>
      </c>
      <c r="G58" s="1793">
        <f t="shared" si="3"/>
        <v>0</v>
      </c>
    </row>
    <row r="59" spans="1:7" x14ac:dyDescent="0.25">
      <c r="A59" s="1653"/>
      <c r="B59" s="1667"/>
      <c r="C59" s="1654"/>
      <c r="D59" s="1844"/>
      <c r="E59" s="1540">
        <f t="shared" si="2"/>
        <v>0</v>
      </c>
      <c r="F59" s="1931">
        <f t="shared" si="1"/>
        <v>0</v>
      </c>
      <c r="G59" s="1793">
        <f t="shared" si="3"/>
        <v>0</v>
      </c>
    </row>
    <row r="60" spans="1:7" x14ac:dyDescent="0.25">
      <c r="A60" s="1653"/>
      <c r="B60" s="1667"/>
      <c r="C60" s="1654"/>
      <c r="D60" s="1844"/>
      <c r="E60" s="1540">
        <f t="shared" si="2"/>
        <v>0</v>
      </c>
      <c r="F60" s="1931">
        <f t="shared" si="1"/>
        <v>0</v>
      </c>
      <c r="G60" s="1793">
        <f t="shared" si="3"/>
        <v>0</v>
      </c>
    </row>
    <row r="61" spans="1:7" x14ac:dyDescent="0.25">
      <c r="A61" s="1653"/>
      <c r="B61" s="1667"/>
      <c r="C61" s="1654"/>
      <c r="D61" s="1844"/>
      <c r="E61" s="1540">
        <f t="shared" si="2"/>
        <v>0</v>
      </c>
      <c r="F61" s="1931">
        <f t="shared" si="1"/>
        <v>0</v>
      </c>
      <c r="G61" s="1793">
        <f t="shared" si="3"/>
        <v>0</v>
      </c>
    </row>
    <row r="62" spans="1:7" x14ac:dyDescent="0.25">
      <c r="A62" s="1653"/>
      <c r="B62" s="1667"/>
      <c r="C62" s="1654"/>
      <c r="D62" s="1844"/>
      <c r="E62" s="1540">
        <f t="shared" si="2"/>
        <v>0</v>
      </c>
      <c r="F62" s="1931">
        <f t="shared" si="1"/>
        <v>0</v>
      </c>
      <c r="G62" s="1793">
        <f t="shared" si="3"/>
        <v>0</v>
      </c>
    </row>
    <row r="63" spans="1:7" x14ac:dyDescent="0.25">
      <c r="A63" s="1653"/>
      <c r="B63" s="1667"/>
      <c r="C63" s="1654"/>
      <c r="D63" s="1844"/>
      <c r="E63" s="1540">
        <f t="shared" si="2"/>
        <v>0</v>
      </c>
      <c r="F63" s="1931">
        <f t="shared" si="1"/>
        <v>0</v>
      </c>
      <c r="G63" s="1793">
        <f t="shared" si="3"/>
        <v>0</v>
      </c>
    </row>
    <row r="64" spans="1:7" x14ac:dyDescent="0.25">
      <c r="A64" s="1655"/>
      <c r="B64" s="1667"/>
      <c r="C64" s="1656"/>
      <c r="D64" s="1844"/>
      <c r="E64" s="1540">
        <f t="shared" si="2"/>
        <v>0</v>
      </c>
      <c r="F64" s="1931">
        <f t="shared" si="1"/>
        <v>0</v>
      </c>
      <c r="G64" s="1793">
        <f t="shared" si="3"/>
        <v>0</v>
      </c>
    </row>
    <row r="65" spans="1:7" x14ac:dyDescent="0.25">
      <c r="A65" s="1653"/>
      <c r="B65" s="1667"/>
      <c r="C65" s="1654"/>
      <c r="D65" s="1844"/>
      <c r="E65" s="1540">
        <f t="shared" si="2"/>
        <v>0</v>
      </c>
      <c r="F65" s="1931">
        <f t="shared" si="1"/>
        <v>0</v>
      </c>
      <c r="G65" s="1793">
        <f t="shared" si="3"/>
        <v>0</v>
      </c>
    </row>
    <row r="66" spans="1:7" x14ac:dyDescent="0.25">
      <c r="A66" s="1653"/>
      <c r="B66" s="1667"/>
      <c r="C66" s="1654"/>
      <c r="D66" s="1844"/>
      <c r="E66" s="1540">
        <f t="shared" si="2"/>
        <v>0</v>
      </c>
      <c r="F66" s="1931">
        <f t="shared" si="1"/>
        <v>0</v>
      </c>
      <c r="G66" s="1793">
        <f t="shared" si="3"/>
        <v>0</v>
      </c>
    </row>
    <row r="67" spans="1:7" x14ac:dyDescent="0.25">
      <c r="A67" s="1653"/>
      <c r="B67" s="1667"/>
      <c r="C67" s="1654"/>
      <c r="D67" s="1844"/>
      <c r="E67" s="1540">
        <f t="shared" si="2"/>
        <v>0</v>
      </c>
      <c r="F67" s="1931">
        <f t="shared" si="1"/>
        <v>0</v>
      </c>
      <c r="G67" s="1793">
        <f t="shared" si="3"/>
        <v>0</v>
      </c>
    </row>
    <row r="68" spans="1:7" x14ac:dyDescent="0.25">
      <c r="A68" s="1653"/>
      <c r="B68" s="1667"/>
      <c r="C68" s="1654"/>
      <c r="D68" s="1844"/>
      <c r="E68" s="1540">
        <f t="shared" si="2"/>
        <v>0</v>
      </c>
      <c r="F68" s="1931">
        <f t="shared" si="1"/>
        <v>0</v>
      </c>
      <c r="G68" s="1793">
        <f t="shared" si="3"/>
        <v>0</v>
      </c>
    </row>
    <row r="69" spans="1:7" x14ac:dyDescent="0.25">
      <c r="A69" s="1653"/>
      <c r="B69" s="1667"/>
      <c r="C69" s="1654"/>
      <c r="D69" s="1844"/>
      <c r="E69" s="1540">
        <f t="shared" si="2"/>
        <v>0</v>
      </c>
      <c r="F69" s="1931">
        <f t="shared" si="1"/>
        <v>0</v>
      </c>
      <c r="G69" s="1793">
        <f t="shared" si="3"/>
        <v>0</v>
      </c>
    </row>
    <row r="70" spans="1:7" x14ac:dyDescent="0.25">
      <c r="A70" s="1653"/>
      <c r="B70" s="1667"/>
      <c r="C70" s="1654"/>
      <c r="D70" s="1844"/>
      <c r="E70" s="1540">
        <f t="shared" si="2"/>
        <v>0</v>
      </c>
      <c r="F70" s="1931">
        <f t="shared" si="1"/>
        <v>0</v>
      </c>
      <c r="G70" s="1793">
        <f t="shared" si="3"/>
        <v>0</v>
      </c>
    </row>
    <row r="71" spans="1:7" x14ac:dyDescent="0.25">
      <c r="A71" s="1653"/>
      <c r="B71" s="1667"/>
      <c r="C71" s="1654"/>
      <c r="D71" s="1844"/>
      <c r="E71" s="1540">
        <f t="shared" si="2"/>
        <v>0</v>
      </c>
      <c r="F71" s="1931">
        <f t="shared" si="1"/>
        <v>0</v>
      </c>
      <c r="G71" s="1793">
        <f t="shared" si="3"/>
        <v>0</v>
      </c>
    </row>
    <row r="72" spans="1:7" x14ac:dyDescent="0.25">
      <c r="A72" s="1653"/>
      <c r="B72" s="1667"/>
      <c r="C72" s="1654"/>
      <c r="D72" s="1844"/>
      <c r="E72" s="1540">
        <f t="shared" si="2"/>
        <v>0</v>
      </c>
      <c r="F72" s="1931">
        <f t="shared" si="1"/>
        <v>0</v>
      </c>
      <c r="G72" s="1793">
        <f t="shared" si="3"/>
        <v>0</v>
      </c>
    </row>
    <row r="73" spans="1:7" x14ac:dyDescent="0.25">
      <c r="A73" s="1653"/>
      <c r="B73" s="1667"/>
      <c r="C73" s="1654"/>
      <c r="D73" s="1844"/>
      <c r="E73" s="1540">
        <f t="shared" ref="E73:E84" si="4">IF(D73&lt;=25000,D73,IF(D73&gt;25000,25000,0))</f>
        <v>0</v>
      </c>
      <c r="F73" s="1931">
        <f t="shared" si="1"/>
        <v>0</v>
      </c>
      <c r="G73" s="1793">
        <f t="shared" ref="G73:G84" si="5">IF(F73=0,0,D73-F73)</f>
        <v>0</v>
      </c>
    </row>
    <row r="74" spans="1:7" x14ac:dyDescent="0.25">
      <c r="A74" s="1653"/>
      <c r="B74" s="1667"/>
      <c r="C74" s="1654"/>
      <c r="D74" s="1844"/>
      <c r="E74" s="1540">
        <f t="shared" si="4"/>
        <v>0</v>
      </c>
      <c r="F74" s="1931">
        <f t="shared" si="1"/>
        <v>0</v>
      </c>
      <c r="G74" s="1793">
        <f t="shared" si="5"/>
        <v>0</v>
      </c>
    </row>
    <row r="75" spans="1:7" x14ac:dyDescent="0.25">
      <c r="A75" s="1653"/>
      <c r="B75" s="1667"/>
      <c r="C75" s="1654"/>
      <c r="D75" s="1844"/>
      <c r="E75" s="1540">
        <f t="shared" si="4"/>
        <v>0</v>
      </c>
      <c r="F75" s="1931">
        <f t="shared" si="1"/>
        <v>0</v>
      </c>
      <c r="G75" s="1793">
        <f t="shared" si="5"/>
        <v>0</v>
      </c>
    </row>
    <row r="76" spans="1:7" x14ac:dyDescent="0.25">
      <c r="A76" s="1653"/>
      <c r="B76" s="1667"/>
      <c r="C76" s="1654"/>
      <c r="D76" s="1844"/>
      <c r="E76" s="1540">
        <f t="shared" si="4"/>
        <v>0</v>
      </c>
      <c r="F76" s="1931">
        <f t="shared" si="1"/>
        <v>0</v>
      </c>
      <c r="G76" s="1793">
        <f t="shared" si="5"/>
        <v>0</v>
      </c>
    </row>
    <row r="77" spans="1:7" x14ac:dyDescent="0.25">
      <c r="A77" s="1653"/>
      <c r="B77" s="1667"/>
      <c r="C77" s="1654"/>
      <c r="D77" s="1844"/>
      <c r="E77" s="1540">
        <f t="shared" si="4"/>
        <v>0</v>
      </c>
      <c r="F77" s="1931">
        <f t="shared" si="1"/>
        <v>0</v>
      </c>
      <c r="G77" s="1793">
        <f t="shared" si="5"/>
        <v>0</v>
      </c>
    </row>
    <row r="78" spans="1:7" x14ac:dyDescent="0.25">
      <c r="A78" s="1653"/>
      <c r="B78" s="1667"/>
      <c r="C78" s="1654"/>
      <c r="D78" s="1844"/>
      <c r="E78" s="1540">
        <f t="shared" si="4"/>
        <v>0</v>
      </c>
      <c r="F78" s="1931">
        <f t="shared" si="1"/>
        <v>0</v>
      </c>
      <c r="G78" s="1793">
        <f t="shared" si="5"/>
        <v>0</v>
      </c>
    </row>
    <row r="79" spans="1:7" x14ac:dyDescent="0.25">
      <c r="A79" s="1653"/>
      <c r="B79" s="1667"/>
      <c r="C79" s="1654"/>
      <c r="D79" s="1844"/>
      <c r="E79" s="1540">
        <f t="shared" si="4"/>
        <v>0</v>
      </c>
      <c r="F79" s="1931">
        <f t="shared" si="1"/>
        <v>0</v>
      </c>
      <c r="G79" s="1793">
        <f t="shared" si="5"/>
        <v>0</v>
      </c>
    </row>
    <row r="80" spans="1:7" x14ac:dyDescent="0.25">
      <c r="A80" s="1653"/>
      <c r="B80" s="1667"/>
      <c r="C80" s="1654"/>
      <c r="D80" s="1844"/>
      <c r="E80" s="1540">
        <f t="shared" si="4"/>
        <v>0</v>
      </c>
      <c r="F80" s="1931">
        <f t="shared" si="1"/>
        <v>0</v>
      </c>
      <c r="G80" s="1793">
        <f t="shared" si="5"/>
        <v>0</v>
      </c>
    </row>
    <row r="81" spans="1:7" x14ac:dyDescent="0.25">
      <c r="A81" s="1653"/>
      <c r="B81" s="1667"/>
      <c r="C81" s="1654"/>
      <c r="D81" s="1844"/>
      <c r="E81" s="1540">
        <f t="shared" si="4"/>
        <v>0</v>
      </c>
      <c r="F81" s="1931">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1">
        <f t="shared" si="6"/>
        <v>0</v>
      </c>
      <c r="G82" s="1793">
        <f t="shared" si="5"/>
        <v>0</v>
      </c>
    </row>
    <row r="83" spans="1:7" x14ac:dyDescent="0.25">
      <c r="A83" s="1653"/>
      <c r="B83" s="1667"/>
      <c r="C83" s="1654"/>
      <c r="D83" s="1844"/>
      <c r="E83" s="1540">
        <f t="shared" si="4"/>
        <v>0</v>
      </c>
      <c r="F83" s="1931">
        <f t="shared" si="6"/>
        <v>0</v>
      </c>
      <c r="G83" s="1793">
        <f t="shared" si="5"/>
        <v>0</v>
      </c>
    </row>
    <row r="84" spans="1:7" x14ac:dyDescent="0.25">
      <c r="A84" s="1653"/>
      <c r="B84" s="1667"/>
      <c r="C84" s="1654"/>
      <c r="D84" s="1844"/>
      <c r="E84" s="1540">
        <f t="shared" si="4"/>
        <v>0</v>
      </c>
      <c r="F84" s="1931">
        <f t="shared" si="6"/>
        <v>0</v>
      </c>
      <c r="G84" s="1793">
        <f t="shared" si="5"/>
        <v>0</v>
      </c>
    </row>
    <row r="85" spans="1:7" x14ac:dyDescent="0.25">
      <c r="A85" s="1653"/>
      <c r="B85" s="1667"/>
      <c r="C85" s="1654"/>
      <c r="D85" s="1844"/>
      <c r="E85" s="1540">
        <f t="shared" si="2"/>
        <v>0</v>
      </c>
      <c r="F85" s="1931">
        <f t="shared" si="6"/>
        <v>0</v>
      </c>
      <c r="G85" s="1793">
        <f t="shared" si="3"/>
        <v>0</v>
      </c>
    </row>
    <row r="86" spans="1:7" x14ac:dyDescent="0.25">
      <c r="A86" s="1653"/>
      <c r="B86" s="1667"/>
      <c r="C86" s="1654"/>
      <c r="D86" s="1844"/>
      <c r="E86" s="1540">
        <f t="shared" si="2"/>
        <v>0</v>
      </c>
      <c r="F86" s="1931">
        <f t="shared" si="6"/>
        <v>0</v>
      </c>
      <c r="G86" s="1793">
        <f t="shared" si="3"/>
        <v>0</v>
      </c>
    </row>
    <row r="87" spans="1:7" x14ac:dyDescent="0.25">
      <c r="A87" s="1653"/>
      <c r="B87" s="1667"/>
      <c r="C87" s="1654"/>
      <c r="D87" s="1844"/>
      <c r="E87" s="1540">
        <f t="shared" si="2"/>
        <v>0</v>
      </c>
      <c r="F87" s="1931">
        <f t="shared" si="6"/>
        <v>0</v>
      </c>
      <c r="G87" s="1793">
        <f t="shared" si="3"/>
        <v>0</v>
      </c>
    </row>
    <row r="88" spans="1:7" x14ac:dyDescent="0.25">
      <c r="A88" s="1653"/>
      <c r="B88" s="1667"/>
      <c r="C88" s="1654"/>
      <c r="D88" s="1844"/>
      <c r="E88" s="1540">
        <f t="shared" si="2"/>
        <v>0</v>
      </c>
      <c r="F88" s="1931">
        <f t="shared" si="6"/>
        <v>0</v>
      </c>
      <c r="G88" s="1793">
        <f t="shared" si="3"/>
        <v>0</v>
      </c>
    </row>
    <row r="89" spans="1:7" x14ac:dyDescent="0.25">
      <c r="A89" s="1653"/>
      <c r="B89" s="1667"/>
      <c r="C89" s="1654"/>
      <c r="D89" s="1844"/>
      <c r="E89" s="1540">
        <f t="shared" si="2"/>
        <v>0</v>
      </c>
      <c r="F89" s="1931">
        <f t="shared" si="6"/>
        <v>0</v>
      </c>
      <c r="G89" s="1793">
        <f t="shared" si="3"/>
        <v>0</v>
      </c>
    </row>
    <row r="90" spans="1:7" x14ac:dyDescent="0.25">
      <c r="A90" s="1653"/>
      <c r="B90" s="1667"/>
      <c r="C90" s="1654"/>
      <c r="D90" s="1844"/>
      <c r="E90" s="1540">
        <f t="shared" si="2"/>
        <v>0</v>
      </c>
      <c r="F90" s="1931">
        <f t="shared" si="6"/>
        <v>0</v>
      </c>
      <c r="G90" s="1793">
        <f t="shared" si="3"/>
        <v>0</v>
      </c>
    </row>
    <row r="91" spans="1:7" x14ac:dyDescent="0.25">
      <c r="A91" s="1653"/>
      <c r="B91" s="1667"/>
      <c r="C91" s="1654"/>
      <c r="D91" s="1844"/>
      <c r="E91" s="1540">
        <f t="shared" si="2"/>
        <v>0</v>
      </c>
      <c r="F91" s="1931">
        <f t="shared" si="6"/>
        <v>0</v>
      </c>
      <c r="G91" s="1793">
        <f t="shared" si="3"/>
        <v>0</v>
      </c>
    </row>
    <row r="92" spans="1:7" x14ac:dyDescent="0.25">
      <c r="A92" s="1653"/>
      <c r="B92" s="1667"/>
      <c r="C92" s="1654"/>
      <c r="D92" s="1844"/>
      <c r="E92" s="1540">
        <f t="shared" si="2"/>
        <v>0</v>
      </c>
      <c r="F92" s="1931">
        <f t="shared" si="6"/>
        <v>0</v>
      </c>
      <c r="G92" s="1793">
        <f t="shared" si="3"/>
        <v>0</v>
      </c>
    </row>
    <row r="93" spans="1:7" x14ac:dyDescent="0.25">
      <c r="A93" s="1653"/>
      <c r="B93" s="1667"/>
      <c r="C93" s="1654"/>
      <c r="D93" s="1844"/>
      <c r="E93" s="1540">
        <f t="shared" ref="E93" si="7">IF(D93&lt;=25000,D93,IF(D93&gt;25000,25000,0))</f>
        <v>0</v>
      </c>
      <c r="F93" s="1931">
        <f t="shared" si="6"/>
        <v>0</v>
      </c>
      <c r="G93" s="1793">
        <f t="shared" ref="G93" si="8">IF(F93=0,0,D93-F93)</f>
        <v>0</v>
      </c>
    </row>
    <row r="94" spans="1:7" x14ac:dyDescent="0.25">
      <c r="A94" s="1653"/>
      <c r="B94" s="1667"/>
      <c r="C94" s="1654"/>
      <c r="D94" s="1844"/>
      <c r="E94" s="1540">
        <f t="shared" si="2"/>
        <v>0</v>
      </c>
      <c r="F94" s="1931">
        <f t="shared" si="6"/>
        <v>0</v>
      </c>
      <c r="G94" s="1793">
        <f t="shared" si="3"/>
        <v>0</v>
      </c>
    </row>
    <row r="95" spans="1:7" x14ac:dyDescent="0.25">
      <c r="A95" s="1653"/>
      <c r="B95" s="1667"/>
      <c r="C95" s="1654"/>
      <c r="D95" s="1844"/>
      <c r="E95" s="1540">
        <f t="shared" ref="E95:E98" si="9">IF(D95&lt;=25000,D95,IF(D95&gt;25000,25000,0))</f>
        <v>0</v>
      </c>
      <c r="F95" s="1931">
        <f t="shared" si="6"/>
        <v>0</v>
      </c>
      <c r="G95" s="1793">
        <f t="shared" ref="G95:G98" si="10">IF(F95=0,0,D95-F95)</f>
        <v>0</v>
      </c>
    </row>
    <row r="96" spans="1:7" x14ac:dyDescent="0.25">
      <c r="A96" s="1653"/>
      <c r="B96" s="1667"/>
      <c r="C96" s="1654"/>
      <c r="D96" s="1844"/>
      <c r="E96" s="1540">
        <f t="shared" si="9"/>
        <v>0</v>
      </c>
      <c r="F96" s="1931">
        <f t="shared" si="6"/>
        <v>0</v>
      </c>
      <c r="G96" s="1793">
        <f t="shared" si="10"/>
        <v>0</v>
      </c>
    </row>
    <row r="97" spans="1:7" x14ac:dyDescent="0.25">
      <c r="A97" s="1653"/>
      <c r="B97" s="1667"/>
      <c r="C97" s="1654"/>
      <c r="D97" s="1844"/>
      <c r="E97" s="1540">
        <f t="shared" si="9"/>
        <v>0</v>
      </c>
      <c r="F97" s="1931">
        <f t="shared" si="6"/>
        <v>0</v>
      </c>
      <c r="G97" s="1793">
        <f t="shared" si="10"/>
        <v>0</v>
      </c>
    </row>
    <row r="98" spans="1:7" x14ac:dyDescent="0.25">
      <c r="A98" s="1653"/>
      <c r="B98" s="1667"/>
      <c r="C98" s="1654"/>
      <c r="D98" s="1844"/>
      <c r="E98" s="1540">
        <f t="shared" si="9"/>
        <v>0</v>
      </c>
      <c r="F98" s="1931">
        <f t="shared" si="6"/>
        <v>0</v>
      </c>
      <c r="G98" s="1793">
        <f t="shared" si="10"/>
        <v>0</v>
      </c>
    </row>
    <row r="99" spans="1:7" x14ac:dyDescent="0.25">
      <c r="A99" s="1653"/>
      <c r="B99" s="1667"/>
      <c r="C99" s="1654"/>
      <c r="D99" s="1844"/>
      <c r="E99" s="1540">
        <f t="shared" ref="E99" si="11">IF(D99&lt;=25000,D99,IF(D99&gt;25000,25000,0))</f>
        <v>0</v>
      </c>
      <c r="F99" s="1931">
        <f t="shared" si="6"/>
        <v>0</v>
      </c>
      <c r="G99" s="1793">
        <f t="shared" ref="G99" si="12">IF(F99=0,0,D99-F99)</f>
        <v>0</v>
      </c>
    </row>
    <row r="100" spans="1:7" x14ac:dyDescent="0.25">
      <c r="A100" s="1653"/>
      <c r="B100" s="1667"/>
      <c r="C100" s="1654"/>
      <c r="D100" s="1844"/>
      <c r="E100" s="1540">
        <f t="shared" ref="E100:E112" si="13">IF(D100&lt;=25000,D100,IF(D100&gt;25000,25000,0))</f>
        <v>0</v>
      </c>
      <c r="F100" s="1931">
        <f t="shared" si="6"/>
        <v>0</v>
      </c>
      <c r="G100" s="1793">
        <f t="shared" ref="G100:G112" si="14">IF(F100=0,0,D100-F100)</f>
        <v>0</v>
      </c>
    </row>
    <row r="101" spans="1:7" x14ac:dyDescent="0.25">
      <c r="A101" s="1653"/>
      <c r="B101" s="1667"/>
      <c r="C101" s="1654"/>
      <c r="D101" s="1844"/>
      <c r="E101" s="1540">
        <f t="shared" si="13"/>
        <v>0</v>
      </c>
      <c r="F101" s="1931">
        <f t="shared" si="6"/>
        <v>0</v>
      </c>
      <c r="G101" s="1793">
        <f t="shared" si="14"/>
        <v>0</v>
      </c>
    </row>
    <row r="102" spans="1:7" x14ac:dyDescent="0.25">
      <c r="A102" s="1653"/>
      <c r="B102" s="1667"/>
      <c r="C102" s="1654"/>
      <c r="D102" s="1844"/>
      <c r="E102" s="1540">
        <f t="shared" si="13"/>
        <v>0</v>
      </c>
      <c r="F102" s="1931">
        <f t="shared" si="6"/>
        <v>0</v>
      </c>
      <c r="G102" s="1793">
        <f t="shared" si="14"/>
        <v>0</v>
      </c>
    </row>
    <row r="103" spans="1:7" x14ac:dyDescent="0.25">
      <c r="A103" s="1653"/>
      <c r="B103" s="1667"/>
      <c r="C103" s="1654"/>
      <c r="D103" s="1844"/>
      <c r="E103" s="1540">
        <f t="shared" si="13"/>
        <v>0</v>
      </c>
      <c r="F103" s="1931">
        <f t="shared" si="6"/>
        <v>0</v>
      </c>
      <c r="G103" s="1793">
        <f t="shared" si="14"/>
        <v>0</v>
      </c>
    </row>
    <row r="104" spans="1:7" x14ac:dyDescent="0.25">
      <c r="A104" s="1653"/>
      <c r="B104" s="1667"/>
      <c r="C104" s="1654"/>
      <c r="D104" s="1844"/>
      <c r="E104" s="1540">
        <f t="shared" si="13"/>
        <v>0</v>
      </c>
      <c r="F104" s="1931">
        <f t="shared" si="6"/>
        <v>0</v>
      </c>
      <c r="G104" s="1793">
        <f t="shared" si="14"/>
        <v>0</v>
      </c>
    </row>
    <row r="105" spans="1:7" x14ac:dyDescent="0.25">
      <c r="A105" s="1653"/>
      <c r="B105" s="1667"/>
      <c r="C105" s="1654"/>
      <c r="D105" s="1844"/>
      <c r="E105" s="1540">
        <f t="shared" si="13"/>
        <v>0</v>
      </c>
      <c r="F105" s="1931">
        <f t="shared" si="6"/>
        <v>0</v>
      </c>
      <c r="G105" s="1793">
        <f t="shared" si="14"/>
        <v>0</v>
      </c>
    </row>
    <row r="106" spans="1:7" x14ac:dyDescent="0.25">
      <c r="A106" s="1653"/>
      <c r="B106" s="1667"/>
      <c r="C106" s="1654"/>
      <c r="D106" s="1844"/>
      <c r="E106" s="1540">
        <f t="shared" si="13"/>
        <v>0</v>
      </c>
      <c r="F106" s="1931">
        <f t="shared" si="6"/>
        <v>0</v>
      </c>
      <c r="G106" s="1793">
        <f t="shared" si="14"/>
        <v>0</v>
      </c>
    </row>
    <row r="107" spans="1:7" x14ac:dyDescent="0.25">
      <c r="A107" s="1653"/>
      <c r="B107" s="1667"/>
      <c r="C107" s="1654"/>
      <c r="D107" s="1844"/>
      <c r="E107" s="1540">
        <f t="shared" si="13"/>
        <v>0</v>
      </c>
      <c r="F107" s="1931">
        <f t="shared" si="6"/>
        <v>0</v>
      </c>
      <c r="G107" s="1793">
        <f t="shared" si="14"/>
        <v>0</v>
      </c>
    </row>
    <row r="108" spans="1:7" x14ac:dyDescent="0.25">
      <c r="A108" s="1653"/>
      <c r="B108" s="1667"/>
      <c r="C108" s="1654"/>
      <c r="D108" s="1844"/>
      <c r="E108" s="1540">
        <f t="shared" si="13"/>
        <v>0</v>
      </c>
      <c r="F108" s="1931">
        <f t="shared" si="6"/>
        <v>0</v>
      </c>
      <c r="G108" s="1793">
        <f t="shared" si="14"/>
        <v>0</v>
      </c>
    </row>
    <row r="109" spans="1:7" x14ac:dyDescent="0.25">
      <c r="A109" s="1653"/>
      <c r="B109" s="1667"/>
      <c r="C109" s="1654"/>
      <c r="D109" s="1844"/>
      <c r="E109" s="1540">
        <f t="shared" si="13"/>
        <v>0</v>
      </c>
      <c r="F109" s="1931">
        <f t="shared" si="6"/>
        <v>0</v>
      </c>
      <c r="G109" s="1793">
        <f t="shared" si="14"/>
        <v>0</v>
      </c>
    </row>
    <row r="110" spans="1:7" x14ac:dyDescent="0.25">
      <c r="A110" s="1653"/>
      <c r="B110" s="1667"/>
      <c r="C110" s="1654"/>
      <c r="D110" s="1844"/>
      <c r="E110" s="1540">
        <f t="shared" si="13"/>
        <v>0</v>
      </c>
      <c r="F110" s="1931">
        <f t="shared" si="6"/>
        <v>0</v>
      </c>
      <c r="G110" s="1793">
        <f t="shared" si="14"/>
        <v>0</v>
      </c>
    </row>
    <row r="111" spans="1:7" x14ac:dyDescent="0.25">
      <c r="A111" s="1653"/>
      <c r="B111" s="1667"/>
      <c r="C111" s="1654"/>
      <c r="D111" s="1844"/>
      <c r="E111" s="1540">
        <f t="shared" si="13"/>
        <v>0</v>
      </c>
      <c r="F111" s="1931">
        <f t="shared" si="6"/>
        <v>0</v>
      </c>
      <c r="G111" s="1793">
        <f t="shared" si="14"/>
        <v>0</v>
      </c>
    </row>
    <row r="112" spans="1:7" x14ac:dyDescent="0.25">
      <c r="A112" s="1653"/>
      <c r="B112" s="1667"/>
      <c r="C112" s="1654"/>
      <c r="D112" s="1844"/>
      <c r="E112" s="1540">
        <f t="shared" si="13"/>
        <v>0</v>
      </c>
      <c r="F112" s="1931">
        <f t="shared" si="6"/>
        <v>0</v>
      </c>
      <c r="G112" s="1793">
        <f t="shared" si="14"/>
        <v>0</v>
      </c>
    </row>
    <row r="113" spans="1:7" x14ac:dyDescent="0.25">
      <c r="A113" s="1653"/>
      <c r="B113" s="1667"/>
      <c r="C113" s="1654"/>
      <c r="D113" s="1844"/>
      <c r="E113" s="1540">
        <f t="shared" ref="E113:E125" si="15">IF(D113&lt;=25000,D113,IF(D113&gt;25000,25000,0))</f>
        <v>0</v>
      </c>
      <c r="F113" s="1931">
        <f t="shared" si="6"/>
        <v>0</v>
      </c>
      <c r="G113" s="1793">
        <f t="shared" ref="G113:G125" si="16">IF(F113=0,0,D113-F113)</f>
        <v>0</v>
      </c>
    </row>
    <row r="114" spans="1:7" x14ac:dyDescent="0.25">
      <c r="A114" s="1653"/>
      <c r="B114" s="1667"/>
      <c r="C114" s="1654"/>
      <c r="D114" s="1844"/>
      <c r="E114" s="1540">
        <f t="shared" si="15"/>
        <v>0</v>
      </c>
      <c r="F114" s="1931">
        <f t="shared" si="6"/>
        <v>0</v>
      </c>
      <c r="G114" s="1793">
        <f t="shared" si="16"/>
        <v>0</v>
      </c>
    </row>
    <row r="115" spans="1:7" x14ac:dyDescent="0.25">
      <c r="A115" s="1653"/>
      <c r="B115" s="1667"/>
      <c r="C115" s="1654"/>
      <c r="D115" s="1844"/>
      <c r="E115" s="1540">
        <f t="shared" si="15"/>
        <v>0</v>
      </c>
      <c r="F115" s="1931">
        <f t="shared" si="6"/>
        <v>0</v>
      </c>
      <c r="G115" s="1793">
        <f t="shared" si="16"/>
        <v>0</v>
      </c>
    </row>
    <row r="116" spans="1:7" x14ac:dyDescent="0.25">
      <c r="A116" s="1653"/>
      <c r="B116" s="1667"/>
      <c r="C116" s="1654"/>
      <c r="D116" s="1844"/>
      <c r="E116" s="1540">
        <f t="shared" si="15"/>
        <v>0</v>
      </c>
      <c r="F116" s="1931">
        <f t="shared" si="6"/>
        <v>0</v>
      </c>
      <c r="G116" s="1793">
        <f t="shared" si="16"/>
        <v>0</v>
      </c>
    </row>
    <row r="117" spans="1:7" x14ac:dyDescent="0.25">
      <c r="A117" s="1653"/>
      <c r="B117" s="1667"/>
      <c r="C117" s="1654"/>
      <c r="D117" s="1844"/>
      <c r="E117" s="1540">
        <f t="shared" si="15"/>
        <v>0</v>
      </c>
      <c r="F117" s="1931">
        <f t="shared" si="6"/>
        <v>0</v>
      </c>
      <c r="G117" s="1793">
        <f t="shared" si="16"/>
        <v>0</v>
      </c>
    </row>
    <row r="118" spans="1:7" x14ac:dyDescent="0.25">
      <c r="A118" s="1653"/>
      <c r="B118" s="1667"/>
      <c r="C118" s="1654"/>
      <c r="D118" s="1844"/>
      <c r="E118" s="1540">
        <f t="shared" si="15"/>
        <v>0</v>
      </c>
      <c r="F118" s="1931">
        <f t="shared" si="6"/>
        <v>0</v>
      </c>
      <c r="G118" s="1793">
        <f t="shared" si="16"/>
        <v>0</v>
      </c>
    </row>
    <row r="119" spans="1:7" x14ac:dyDescent="0.25">
      <c r="A119" s="1653"/>
      <c r="B119" s="1667"/>
      <c r="C119" s="1654"/>
      <c r="D119" s="1844"/>
      <c r="E119" s="1540">
        <f t="shared" si="15"/>
        <v>0</v>
      </c>
      <c r="F119" s="1931">
        <f t="shared" si="6"/>
        <v>0</v>
      </c>
      <c r="G119" s="1793">
        <f t="shared" si="16"/>
        <v>0</v>
      </c>
    </row>
    <row r="120" spans="1:7" x14ac:dyDescent="0.25">
      <c r="A120" s="1653"/>
      <c r="B120" s="1667"/>
      <c r="C120" s="1654"/>
      <c r="D120" s="1844"/>
      <c r="E120" s="1540">
        <f t="shared" si="15"/>
        <v>0</v>
      </c>
      <c r="F120" s="1931">
        <f t="shared" si="6"/>
        <v>0</v>
      </c>
      <c r="G120" s="1793">
        <f t="shared" si="16"/>
        <v>0</v>
      </c>
    </row>
    <row r="121" spans="1:7" x14ac:dyDescent="0.25">
      <c r="A121" s="1653"/>
      <c r="B121" s="1667"/>
      <c r="C121" s="1654"/>
      <c r="D121" s="1844"/>
      <c r="E121" s="1540">
        <f t="shared" si="15"/>
        <v>0</v>
      </c>
      <c r="F121" s="1931">
        <f t="shared" si="6"/>
        <v>0</v>
      </c>
      <c r="G121" s="1793">
        <f t="shared" si="16"/>
        <v>0</v>
      </c>
    </row>
    <row r="122" spans="1:7" x14ac:dyDescent="0.25">
      <c r="A122" s="1653"/>
      <c r="B122" s="1667"/>
      <c r="C122" s="1654"/>
      <c r="D122" s="1844"/>
      <c r="E122" s="1540">
        <f t="shared" si="15"/>
        <v>0</v>
      </c>
      <c r="F122" s="1931">
        <f t="shared" si="6"/>
        <v>0</v>
      </c>
      <c r="G122" s="1793">
        <f t="shared" si="16"/>
        <v>0</v>
      </c>
    </row>
    <row r="123" spans="1:7" x14ac:dyDescent="0.25">
      <c r="A123" s="1653"/>
      <c r="B123" s="1667"/>
      <c r="C123" s="1654"/>
      <c r="D123" s="1844"/>
      <c r="E123" s="1540">
        <f t="shared" si="15"/>
        <v>0</v>
      </c>
      <c r="F123" s="1931">
        <f t="shared" si="6"/>
        <v>0</v>
      </c>
      <c r="G123" s="1793">
        <f t="shared" si="16"/>
        <v>0</v>
      </c>
    </row>
    <row r="124" spans="1:7" x14ac:dyDescent="0.25">
      <c r="A124" s="1653"/>
      <c r="B124" s="1667"/>
      <c r="C124" s="1654"/>
      <c r="D124" s="1844"/>
      <c r="E124" s="1540">
        <f t="shared" si="15"/>
        <v>0</v>
      </c>
      <c r="F124" s="1931">
        <f t="shared" si="6"/>
        <v>0</v>
      </c>
      <c r="G124" s="1793">
        <f t="shared" si="16"/>
        <v>0</v>
      </c>
    </row>
    <row r="125" spans="1:7" x14ac:dyDescent="0.25">
      <c r="A125" s="1653"/>
      <c r="B125" s="1667"/>
      <c r="C125" s="1654"/>
      <c r="D125" s="1844"/>
      <c r="E125" s="1540">
        <f t="shared" si="15"/>
        <v>0</v>
      </c>
      <c r="F125" s="1931">
        <f t="shared" si="6"/>
        <v>0</v>
      </c>
      <c r="G125" s="1793">
        <f t="shared" si="16"/>
        <v>0</v>
      </c>
    </row>
    <row r="126" spans="1:7" x14ac:dyDescent="0.25">
      <c r="A126" s="1653"/>
      <c r="B126" s="1667"/>
      <c r="C126" s="1654"/>
      <c r="D126" s="1844"/>
      <c r="E126" s="1540">
        <f t="shared" ref="E126:E134" si="17">IF(D126&lt;=25000,D126,IF(D126&gt;25000,25000,0))</f>
        <v>0</v>
      </c>
      <c r="F126" s="1931">
        <f t="shared" si="6"/>
        <v>0</v>
      </c>
      <c r="G126" s="1793">
        <f t="shared" ref="G126:G134" si="18">IF(F126=0,0,D126-F126)</f>
        <v>0</v>
      </c>
    </row>
    <row r="127" spans="1:7" x14ac:dyDescent="0.25">
      <c r="A127" s="1653"/>
      <c r="B127" s="1667"/>
      <c r="C127" s="1654"/>
      <c r="D127" s="1844"/>
      <c r="E127" s="1540">
        <f t="shared" si="17"/>
        <v>0</v>
      </c>
      <c r="F127" s="1931">
        <f t="shared" si="6"/>
        <v>0</v>
      </c>
      <c r="G127" s="1793">
        <f t="shared" si="18"/>
        <v>0</v>
      </c>
    </row>
    <row r="128" spans="1:7" x14ac:dyDescent="0.25">
      <c r="A128" s="1653"/>
      <c r="B128" s="1667"/>
      <c r="C128" s="1654"/>
      <c r="D128" s="1844"/>
      <c r="E128" s="1540">
        <f t="shared" si="17"/>
        <v>0</v>
      </c>
      <c r="F128" s="1931">
        <f t="shared" si="6"/>
        <v>0</v>
      </c>
      <c r="G128" s="1793">
        <f t="shared" si="18"/>
        <v>0</v>
      </c>
    </row>
    <row r="129" spans="1:7" x14ac:dyDescent="0.25">
      <c r="A129" s="1653"/>
      <c r="B129" s="1667"/>
      <c r="C129" s="1654"/>
      <c r="D129" s="1844"/>
      <c r="E129" s="1540">
        <f t="shared" si="17"/>
        <v>0</v>
      </c>
      <c r="F129" s="1931">
        <f t="shared" si="6"/>
        <v>0</v>
      </c>
      <c r="G129" s="1793">
        <f t="shared" si="18"/>
        <v>0</v>
      </c>
    </row>
    <row r="130" spans="1:7" x14ac:dyDescent="0.25">
      <c r="A130" s="1653"/>
      <c r="B130" s="1667"/>
      <c r="C130" s="1654"/>
      <c r="D130" s="1844"/>
      <c r="E130" s="1540">
        <f t="shared" si="17"/>
        <v>0</v>
      </c>
      <c r="F130" s="1931">
        <f t="shared" si="6"/>
        <v>0</v>
      </c>
      <c r="G130" s="1793">
        <f t="shared" si="18"/>
        <v>0</v>
      </c>
    </row>
    <row r="131" spans="1:7" x14ac:dyDescent="0.25">
      <c r="A131" s="1653"/>
      <c r="B131" s="1837"/>
      <c r="C131" s="1654"/>
      <c r="D131" s="1844"/>
      <c r="E131" s="1540">
        <f t="shared" si="17"/>
        <v>0</v>
      </c>
      <c r="F131" s="1931">
        <f t="shared" si="6"/>
        <v>0</v>
      </c>
      <c r="G131" s="1793">
        <f t="shared" si="18"/>
        <v>0</v>
      </c>
    </row>
    <row r="132" spans="1:7" x14ac:dyDescent="0.25">
      <c r="A132" s="1653"/>
      <c r="B132" s="1837"/>
      <c r="C132" s="1654"/>
      <c r="D132" s="1844"/>
      <c r="E132" s="1540">
        <f t="shared" si="17"/>
        <v>0</v>
      </c>
      <c r="F132" s="1931">
        <f t="shared" si="6"/>
        <v>0</v>
      </c>
      <c r="G132" s="1793">
        <f t="shared" si="18"/>
        <v>0</v>
      </c>
    </row>
    <row r="133" spans="1:7" x14ac:dyDescent="0.25">
      <c r="A133" s="1653"/>
      <c r="B133" s="1667"/>
      <c r="C133" s="1654"/>
      <c r="D133" s="1844"/>
      <c r="E133" s="1540">
        <f t="shared" si="17"/>
        <v>0</v>
      </c>
      <c r="F133" s="1931">
        <f t="shared" si="6"/>
        <v>0</v>
      </c>
      <c r="G133" s="1793">
        <f t="shared" si="18"/>
        <v>0</v>
      </c>
    </row>
    <row r="134" spans="1:7" x14ac:dyDescent="0.25">
      <c r="A134" s="1653"/>
      <c r="B134" s="1667"/>
      <c r="C134" s="1654"/>
      <c r="D134" s="1844"/>
      <c r="E134" s="1540">
        <f t="shared" si="17"/>
        <v>0</v>
      </c>
      <c r="F134" s="1931">
        <f t="shared" si="6"/>
        <v>0</v>
      </c>
      <c r="G134" s="1793">
        <f t="shared" si="18"/>
        <v>0</v>
      </c>
    </row>
    <row r="135" spans="1:7" x14ac:dyDescent="0.25">
      <c r="A135" s="1653"/>
      <c r="B135" s="1667"/>
      <c r="C135" s="1654"/>
      <c r="D135" s="1844"/>
      <c r="E135" s="1540">
        <f t="shared" ref="E135:E139" si="19">IF(D135&lt;=25000,D135,IF(D135&gt;25000,25000,0))</f>
        <v>0</v>
      </c>
      <c r="F135" s="1931">
        <f t="shared" si="6"/>
        <v>0</v>
      </c>
      <c r="G135" s="1793">
        <f t="shared" ref="G135:G139" si="20">IF(F135=0,0,D135-F135)</f>
        <v>0</v>
      </c>
    </row>
    <row r="136" spans="1:7" x14ac:dyDescent="0.25">
      <c r="A136" s="1653"/>
      <c r="B136" s="1667"/>
      <c r="C136" s="1654"/>
      <c r="D136" s="1844"/>
      <c r="E136" s="1540">
        <f t="shared" si="19"/>
        <v>0</v>
      </c>
      <c r="F136" s="1931">
        <f t="shared" si="6"/>
        <v>0</v>
      </c>
      <c r="G136" s="1793">
        <f t="shared" si="20"/>
        <v>0</v>
      </c>
    </row>
    <row r="137" spans="1:7" x14ac:dyDescent="0.25">
      <c r="A137" s="1653"/>
      <c r="B137" s="1667"/>
      <c r="C137" s="1654"/>
      <c r="D137" s="1844"/>
      <c r="E137" s="1540">
        <f t="shared" si="19"/>
        <v>0</v>
      </c>
      <c r="F137" s="1931">
        <f t="shared" si="6"/>
        <v>0</v>
      </c>
      <c r="G137" s="1793">
        <f t="shared" si="20"/>
        <v>0</v>
      </c>
    </row>
    <row r="138" spans="1:7" x14ac:dyDescent="0.25">
      <c r="A138" s="1653"/>
      <c r="B138" s="1667"/>
      <c r="C138" s="1654"/>
      <c r="D138" s="1844"/>
      <c r="E138" s="1540">
        <f t="shared" si="19"/>
        <v>0</v>
      </c>
      <c r="F138" s="1931">
        <f t="shared" si="6"/>
        <v>0</v>
      </c>
      <c r="G138" s="1793">
        <f t="shared" si="20"/>
        <v>0</v>
      </c>
    </row>
    <row r="139" spans="1:7" x14ac:dyDescent="0.25">
      <c r="A139" s="1653"/>
      <c r="B139" s="1667"/>
      <c r="C139" s="1654"/>
      <c r="D139" s="1844"/>
      <c r="E139" s="1540">
        <f t="shared" si="19"/>
        <v>0</v>
      </c>
      <c r="F139" s="1931">
        <f t="shared" si="6"/>
        <v>0</v>
      </c>
      <c r="G139" s="1793">
        <f t="shared" si="20"/>
        <v>0</v>
      </c>
    </row>
    <row r="140" spans="1:7" x14ac:dyDescent="0.25">
      <c r="A140" s="1653"/>
      <c r="B140" s="1666"/>
      <c r="C140" s="1654"/>
      <c r="D140" s="1844"/>
      <c r="E140" s="1540">
        <f t="shared" si="2"/>
        <v>0</v>
      </c>
      <c r="F140" s="1931">
        <f t="shared" si="6"/>
        <v>0</v>
      </c>
      <c r="G140" s="1793">
        <f t="shared" si="3"/>
        <v>0</v>
      </c>
    </row>
    <row r="141" spans="1:7" x14ac:dyDescent="0.25">
      <c r="A141" s="1796" t="s">
        <v>156</v>
      </c>
      <c r="B141" s="1797"/>
      <c r="C141" s="1798"/>
      <c r="D141" s="1794">
        <f>SUM(D17:D140)</f>
        <v>201600</v>
      </c>
      <c r="E141" s="1541">
        <f t="shared" si="0"/>
        <v>25000</v>
      </c>
      <c r="F141" s="1932">
        <f>SUM(F17:F140)</f>
        <v>105372</v>
      </c>
      <c r="G141" s="1795">
        <f>SUM(G17:G140)</f>
        <v>96228</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sheetPr>
  <dimension ref="A1:I46"/>
  <sheetViews>
    <sheetView showGridLines="0" defaultGridColor="0" topLeftCell="A4" colorId="8" zoomScaleNormal="10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9" t="s">
        <v>1679</v>
      </c>
      <c r="B5" s="2290"/>
      <c r="C5" s="2290"/>
      <c r="D5" s="2290"/>
      <c r="E5" s="2290"/>
      <c r="F5" s="2290"/>
      <c r="G5" s="2291"/>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v>15189</v>
      </c>
      <c r="F10" s="974"/>
      <c r="G10" s="975"/>
      <c r="H10" s="162"/>
      <c r="I10" s="162"/>
    </row>
    <row r="11" spans="1:9" s="668" customFormat="1" ht="22.5" customHeight="1" x14ac:dyDescent="0.2">
      <c r="A11" s="2294" t="s">
        <v>1975</v>
      </c>
      <c r="B11" s="2295"/>
      <c r="C11" s="2295"/>
      <c r="D11" s="2296"/>
      <c r="E11" s="977">
        <v>3150</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967386</v>
      </c>
      <c r="F19" s="1799"/>
      <c r="G19" s="1801">
        <f>'Expenditures 15-22'!K33-SUM('Expenditures 15-22'!G33,'Expenditures 15-22'!I33)+'Expenditures 15-22'!D229</f>
        <v>967386</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48408</v>
      </c>
      <c r="F21" s="1802"/>
      <c r="G21" s="1805">
        <f>'Expenditures 15-22'!K42-SUM('Expenditures 15-22'!G42,'Expenditures 15-22'!I42)+'Expenditures 15-22'!K120-SUM('Expenditures 15-22'!G120,'Expenditures 15-22'!I120)+'Expenditures 15-22'!K180-SUM('Expenditures 15-22'!G180,'Expenditures 15-22'!I180)+'Expenditures 15-22'!D238</f>
        <v>48408</v>
      </c>
      <c r="H21" s="987"/>
      <c r="I21" s="162"/>
    </row>
    <row r="22" spans="1:9" s="668" customFormat="1" ht="12" customHeight="1" x14ac:dyDescent="0.2">
      <c r="A22" s="994" t="s">
        <v>564</v>
      </c>
      <c r="B22" s="995"/>
      <c r="C22" s="993">
        <v>2200</v>
      </c>
      <c r="D22" s="1802"/>
      <c r="E22" s="1804">
        <f>'Expenditures 15-22'!K47-SUM('Expenditures 15-22'!G47,'Expenditures 15-22'!I47)+'Expenditures 15-22'!D243</f>
        <v>8938</v>
      </c>
      <c r="F22" s="1802"/>
      <c r="G22" s="1805">
        <f>'Expenditures 15-22'!K47-SUM('Expenditures 15-22'!G47,'Expenditures 15-22'!I47)+'Expenditures 15-22'!D243</f>
        <v>8938</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130429</v>
      </c>
      <c r="F23" s="1802"/>
      <c r="G23" s="1804">
        <f>'Expenditures 15-22'!K53-SUM('Expenditures 15-22'!G53,'Expenditures 15-22'!I53)+'Expenditures 15-22'!D257+'Expenditures 15-22'!K330-SUM('Expenditures 15-22'!G330,'Expenditures 15-22'!I330)</f>
        <v>130429</v>
      </c>
      <c r="H23" s="987"/>
      <c r="I23" s="162"/>
    </row>
    <row r="24" spans="1:9" s="668" customFormat="1" ht="12" customHeight="1" x14ac:dyDescent="0.2">
      <c r="A24" s="994" t="s">
        <v>566</v>
      </c>
      <c r="B24" s="995"/>
      <c r="C24" s="993">
        <v>2400</v>
      </c>
      <c r="D24" s="1802"/>
      <c r="E24" s="1804">
        <f>'Expenditures 15-22'!K57-SUM('Expenditures 15-22'!G57,'Expenditures 15-22'!I57)+'Expenditures 15-22'!D261</f>
        <v>62048</v>
      </c>
      <c r="F24" s="1802"/>
      <c r="G24" s="1805">
        <f>'Expenditures 15-22'!K57-SUM('Expenditures 15-22'!G57,'Expenditures 15-22'!I57)+'Expenditures 15-22'!D261</f>
        <v>62048</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65077</v>
      </c>
      <c r="E27" s="1804">
        <f>E8</f>
        <v>0</v>
      </c>
      <c r="F27" s="1804">
        <f>'Expenditures 15-22'!K60-SUM('Expenditures 15-22'!G60,'Expenditures 15-22'!I60)+'Expenditures 15-22'!D264-E8</f>
        <v>65077</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106819</v>
      </c>
      <c r="F28" s="1806">
        <f>'Expenditures 15-22'!K61-SUM('Expenditures 15-22'!G61,'Expenditures 15-22'!I61)+'Expenditures 15-22'!K124-SUM('Expenditures 15-22'!G124,'Expenditures 15-22'!I124)+'Expenditures 15-22'!D266-E9</f>
        <v>106819</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161466</v>
      </c>
      <c r="F29" s="1802"/>
      <c r="G29" s="1805">
        <f>'Expenditures 15-22'!K62-SUM('Expenditures 15-22'!G62,'Expenditures 15-22'!I62)+'Expenditures 15-22'!K125-SUM('Expenditures 15-22'!G125,'Expenditures 15-22'!I125)+'Expenditures 15-22'!K182-SUM('Expenditures 15-22'!G182,'Expenditures 15-22'!I182)+'Expenditures 15-22'!D267</f>
        <v>161466</v>
      </c>
      <c r="H29" s="985"/>
    </row>
    <row r="30" spans="1:9" ht="12" customHeight="1" x14ac:dyDescent="0.2">
      <c r="A30" s="994" t="s">
        <v>100</v>
      </c>
      <c r="B30" s="997"/>
      <c r="C30" s="993">
        <v>2560</v>
      </c>
      <c r="D30" s="1802"/>
      <c r="E30" s="1804">
        <f>'Expenditures 15-22'!K63-SUM('Expenditures 15-22'!G63,'Expenditures 15-22'!I63)+'Expenditures 15-22'!D268-E10</f>
        <v>58003</v>
      </c>
      <c r="F30" s="1802"/>
      <c r="G30" s="1804">
        <f>'Expenditures 15-22'!K63-SUM('Expenditures 15-22'!G63,'Expenditures 15-22'!I63)+'Expenditures 15-22'!D268-E10</f>
        <v>58003</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1120</v>
      </c>
      <c r="F38" s="1802"/>
      <c r="G38" s="1804">
        <f>'Expenditures 15-22'!K73-SUM('Expenditures 15-22'!G73,'Expenditures 15-22'!I73)+'Expenditures 15-22'!K128-SUM('Expenditures 15-22'!G128,'Expenditures 15-22'!I128)+'Expenditures 15-22'!K183-SUM('Expenditures 15-22'!G183,'Expenditures 15-22'!I183)+'Expenditures 15-22'!D278</f>
        <v>1120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-96228</v>
      </c>
      <c r="F40" s="1802"/>
      <c r="G40" s="1806">
        <f>-'Contracts Paid in CY 29'!G141</f>
        <v>-96228</v>
      </c>
    </row>
    <row r="41" spans="1:7" ht="12" customHeight="1" x14ac:dyDescent="0.2">
      <c r="A41" s="998" t="s">
        <v>156</v>
      </c>
      <c r="B41" s="999"/>
      <c r="C41" s="1000"/>
      <c r="D41" s="1806">
        <f>SUM(D19:D39)</f>
        <v>65077</v>
      </c>
      <c r="E41" s="1806">
        <f>SUM(E19:E40)</f>
        <v>1448389</v>
      </c>
      <c r="F41" s="1806">
        <f>SUM(F19:F39)</f>
        <v>171896</v>
      </c>
      <c r="G41" s="1806">
        <f>SUM(G19:G40)</f>
        <v>1341570</v>
      </c>
    </row>
    <row r="42" spans="1:7" x14ac:dyDescent="0.2">
      <c r="A42" s="987"/>
      <c r="B42" s="162"/>
      <c r="C42" s="1001"/>
      <c r="D42" s="2292" t="s">
        <v>522</v>
      </c>
      <c r="E42" s="2293"/>
      <c r="F42" s="1002" t="s">
        <v>523</v>
      </c>
      <c r="G42" s="1003"/>
    </row>
    <row r="43" spans="1:7" ht="12" customHeight="1" x14ac:dyDescent="0.2">
      <c r="A43" s="987"/>
      <c r="B43" s="162"/>
      <c r="C43" s="1001"/>
      <c r="D43" s="1807" t="s">
        <v>473</v>
      </c>
      <c r="E43" s="1808">
        <f>D41</f>
        <v>65077</v>
      </c>
      <c r="F43" s="1807" t="s">
        <v>473</v>
      </c>
      <c r="G43" s="1808">
        <f>F41</f>
        <v>171896</v>
      </c>
    </row>
    <row r="44" spans="1:7" ht="12" customHeight="1" x14ac:dyDescent="0.2">
      <c r="A44" s="987"/>
      <c r="B44" s="162"/>
      <c r="C44" s="1001"/>
      <c r="D44" s="1807" t="s">
        <v>474</v>
      </c>
      <c r="E44" s="1808">
        <f>E41</f>
        <v>1448389</v>
      </c>
      <c r="F44" s="1807" t="s">
        <v>474</v>
      </c>
      <c r="G44" s="1808">
        <f>G41</f>
        <v>1341570</v>
      </c>
    </row>
    <row r="45" spans="1:7" ht="12" customHeight="1" x14ac:dyDescent="0.2">
      <c r="A45" s="987"/>
      <c r="B45" s="162"/>
      <c r="C45" s="162"/>
      <c r="D45" s="1809" t="s">
        <v>1006</v>
      </c>
      <c r="E45" s="1810">
        <f>(E43/E44)</f>
        <v>4.4930609111226337E-2</v>
      </c>
      <c r="F45" s="1809" t="s">
        <v>1006</v>
      </c>
      <c r="G45" s="1810">
        <f>(G43/G44)</f>
        <v>0.12813047399688424</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pageSetUpPr fitToPage="1"/>
  </sheetPr>
  <dimension ref="A1:L97"/>
  <sheetViews>
    <sheetView showGridLines="0" zoomScale="110" zoomScaleNormal="110" workbookViewId="0">
      <pane ySplit="4" topLeftCell="A5" activePane="bottomLeft" state="frozen"/>
      <selection activeCell="A47" sqref="A47"/>
      <selection pane="bottomLeft" activeCell="G9" sqref="G9"/>
    </sheetView>
  </sheetViews>
  <sheetFormatPr defaultColWidth="9.140625" defaultRowHeight="12.75" x14ac:dyDescent="0.2"/>
  <cols>
    <col min="1" max="1" width="54.5703125" style="1875" customWidth="1"/>
    <col min="2" max="2" width="4.140625" style="1875" customWidth="1"/>
    <col min="3" max="4" width="9.85546875" style="1847" customWidth="1"/>
    <col min="5" max="5" width="12.5703125" style="1876" customWidth="1"/>
    <col min="6" max="6" width="67.5703125" style="1847" customWidth="1"/>
    <col min="7" max="7" width="9.140625" style="1847" customWidth="1"/>
    <col min="8" max="8" width="5.5703125" style="1877" bestFit="1" customWidth="1"/>
    <col min="9" max="10" width="2" style="1877" bestFit="1" customWidth="1"/>
    <col min="11" max="11" width="9" style="1877" customWidth="1"/>
    <col min="12" max="16384" width="9.140625" style="1847"/>
  </cols>
  <sheetData>
    <row r="1" spans="1:10" x14ac:dyDescent="0.2">
      <c r="A1" s="2300" t="s">
        <v>1379</v>
      </c>
      <c r="B1" s="2300"/>
      <c r="C1" s="2300"/>
      <c r="D1" s="2300"/>
      <c r="E1" s="2300"/>
      <c r="F1" s="2300"/>
    </row>
    <row r="2" spans="1:10" x14ac:dyDescent="0.2">
      <c r="A2" s="1886" t="s">
        <v>1911</v>
      </c>
      <c r="B2" s="1848"/>
      <c r="C2" s="1886"/>
      <c r="D2" s="1848"/>
      <c r="E2" s="1848"/>
      <c r="F2" s="1849"/>
    </row>
    <row r="3" spans="1:10" x14ac:dyDescent="0.2">
      <c r="A3" s="1886" t="s">
        <v>1976</v>
      </c>
      <c r="B3" s="1848"/>
      <c r="C3" s="1886"/>
      <c r="D3" s="1848"/>
      <c r="E3" s="1848"/>
      <c r="F3" s="1849"/>
    </row>
    <row r="4" spans="1:10" ht="3.75" customHeight="1" x14ac:dyDescent="0.2">
      <c r="A4" s="1848"/>
      <c r="B4" s="1848"/>
      <c r="C4" s="1848"/>
      <c r="D4" s="1848"/>
      <c r="E4" s="1848"/>
      <c r="F4" s="1849"/>
    </row>
    <row r="5" spans="1:10" ht="15" x14ac:dyDescent="0.25">
      <c r="A5" s="2301" t="s">
        <v>1546</v>
      </c>
      <c r="B5" s="2302"/>
      <c r="C5" s="2303"/>
      <c r="D5" s="2303"/>
      <c r="E5" s="2303"/>
      <c r="F5" s="2303"/>
    </row>
    <row r="6" spans="1:10" ht="12" customHeight="1" x14ac:dyDescent="0.25">
      <c r="A6" s="1850"/>
      <c r="B6" s="1851"/>
      <c r="C6" s="2304" t="str">
        <f>COVER!A17</f>
        <v>Allen-Otter Creek CCSD 65</v>
      </c>
      <c r="D6" s="2304"/>
      <c r="E6" s="2304"/>
      <c r="F6" s="1852"/>
    </row>
    <row r="7" spans="1:10" ht="11.25" customHeight="1" thickBot="1" x14ac:dyDescent="0.3">
      <c r="A7" s="1850"/>
      <c r="B7" s="1851"/>
      <c r="C7" s="2305">
        <f>COVER!A13</f>
        <v>35050065004</v>
      </c>
      <c r="D7" s="2305"/>
      <c r="E7" s="2305"/>
      <c r="F7" s="1852"/>
    </row>
    <row r="8" spans="1:10" ht="25.5" customHeight="1" thickBot="1" x14ac:dyDescent="0.25">
      <c r="A8" s="1892" t="s">
        <v>1907</v>
      </c>
      <c r="B8" s="1853"/>
      <c r="C8" s="1888" t="s">
        <v>1681</v>
      </c>
      <c r="D8" s="1887" t="s">
        <v>1682</v>
      </c>
      <c r="E8" s="1889" t="s">
        <v>1380</v>
      </c>
      <c r="F8" s="1887" t="s">
        <v>1683</v>
      </c>
      <c r="H8" s="1854" t="b">
        <v>0</v>
      </c>
    </row>
    <row r="9" spans="1:10" ht="15.75" customHeight="1" x14ac:dyDescent="0.2">
      <c r="A9" s="1855" t="s">
        <v>1542</v>
      </c>
      <c r="B9" s="1856"/>
      <c r="C9" s="1857"/>
      <c r="D9" s="1857" t="s">
        <v>2073</v>
      </c>
      <c r="E9" s="1858"/>
      <c r="F9" s="1859"/>
    </row>
    <row r="10" spans="1:10" ht="27.75" customHeight="1" x14ac:dyDescent="0.2">
      <c r="A10" s="1860" t="s">
        <v>1680</v>
      </c>
      <c r="B10" s="1861"/>
      <c r="C10" s="1862"/>
      <c r="D10" s="1862"/>
      <c r="E10" s="1890" t="s">
        <v>1381</v>
      </c>
      <c r="F10" s="1891" t="s">
        <v>1382</v>
      </c>
    </row>
    <row r="11" spans="1:10" ht="12" customHeight="1" x14ac:dyDescent="0.2">
      <c r="A11" s="1863" t="s">
        <v>1383</v>
      </c>
      <c r="B11" s="1864"/>
      <c r="C11" s="1865" t="s">
        <v>2073</v>
      </c>
      <c r="D11" s="1865" t="s">
        <v>2073</v>
      </c>
      <c r="E11" s="1940"/>
      <c r="F11" s="1866" t="s">
        <v>2084</v>
      </c>
      <c r="H11" s="1877">
        <f>IF(C11="X",5,0)</f>
        <v>5</v>
      </c>
      <c r="I11" s="1877">
        <f>IF(D11="X",5,0)</f>
        <v>5</v>
      </c>
      <c r="J11" s="1877">
        <f>IF(E11="X",5,0)</f>
        <v>0</v>
      </c>
    </row>
    <row r="12" spans="1:10" ht="12" customHeight="1" x14ac:dyDescent="0.2">
      <c r="A12" s="1863" t="s">
        <v>1384</v>
      </c>
      <c r="B12" s="1864"/>
      <c r="C12" s="1865"/>
      <c r="D12" s="1865"/>
      <c r="E12" s="1941"/>
      <c r="F12" s="1866"/>
      <c r="H12" s="1877">
        <f t="shared" ref="H12:H33" si="0">IF(C12="X",5,0)</f>
        <v>0</v>
      </c>
      <c r="I12" s="1877">
        <f t="shared" ref="I12:I33" si="1">IF(D12="X",5,0)</f>
        <v>0</v>
      </c>
      <c r="J12" s="1877">
        <f t="shared" ref="J12:J33" si="2">IF(E12="X",5,0)</f>
        <v>0</v>
      </c>
    </row>
    <row r="13" spans="1:10" ht="12" customHeight="1" x14ac:dyDescent="0.2">
      <c r="A13" s="1863" t="s">
        <v>1385</v>
      </c>
      <c r="B13" s="1864"/>
      <c r="C13" s="1865"/>
      <c r="D13" s="1865"/>
      <c r="E13" s="1941"/>
      <c r="F13" s="1866"/>
      <c r="H13" s="1877">
        <f t="shared" si="0"/>
        <v>0</v>
      </c>
      <c r="I13" s="1877">
        <f t="shared" si="1"/>
        <v>0</v>
      </c>
      <c r="J13" s="1877">
        <f t="shared" si="2"/>
        <v>0</v>
      </c>
    </row>
    <row r="14" spans="1:10" ht="12" customHeight="1" x14ac:dyDescent="0.2">
      <c r="A14" s="1863" t="s">
        <v>1386</v>
      </c>
      <c r="B14" s="1864"/>
      <c r="C14" s="1865"/>
      <c r="D14" s="1865"/>
      <c r="E14" s="1941"/>
      <c r="F14" s="1866"/>
      <c r="H14" s="1877">
        <f t="shared" si="0"/>
        <v>0</v>
      </c>
      <c r="I14" s="1877">
        <f t="shared" si="1"/>
        <v>0</v>
      </c>
      <c r="J14" s="1877">
        <f t="shared" si="2"/>
        <v>0</v>
      </c>
    </row>
    <row r="15" spans="1:10" ht="12" customHeight="1" x14ac:dyDescent="0.2">
      <c r="A15" s="1863" t="s">
        <v>1387</v>
      </c>
      <c r="B15" s="1864"/>
      <c r="C15" s="1865"/>
      <c r="D15" s="1865"/>
      <c r="E15" s="1941"/>
      <c r="F15" s="1866"/>
      <c r="H15" s="1877">
        <f t="shared" si="0"/>
        <v>0</v>
      </c>
      <c r="I15" s="1877">
        <f t="shared" si="1"/>
        <v>0</v>
      </c>
      <c r="J15" s="1877">
        <f t="shared" si="2"/>
        <v>0</v>
      </c>
    </row>
    <row r="16" spans="1:10" ht="12" customHeight="1" x14ac:dyDescent="0.2">
      <c r="A16" s="1863" t="s">
        <v>1388</v>
      </c>
      <c r="B16" s="1864"/>
      <c r="C16" s="1865" t="s">
        <v>2073</v>
      </c>
      <c r="D16" s="1865" t="s">
        <v>2073</v>
      </c>
      <c r="E16" s="1941"/>
      <c r="F16" s="1866" t="s">
        <v>2085</v>
      </c>
      <c r="H16" s="1877">
        <f t="shared" si="0"/>
        <v>5</v>
      </c>
      <c r="I16" s="1877">
        <f t="shared" si="1"/>
        <v>5</v>
      </c>
      <c r="J16" s="1877">
        <f t="shared" si="2"/>
        <v>0</v>
      </c>
    </row>
    <row r="17" spans="1:12" ht="12" customHeight="1" x14ac:dyDescent="0.2">
      <c r="A17" s="1863" t="s">
        <v>1389</v>
      </c>
      <c r="B17" s="1864"/>
      <c r="C17" s="1865" t="s">
        <v>2073</v>
      </c>
      <c r="D17" s="1865" t="s">
        <v>2073</v>
      </c>
      <c r="E17" s="1941"/>
      <c r="F17" s="1866" t="s">
        <v>2086</v>
      </c>
      <c r="H17" s="1877">
        <f t="shared" si="0"/>
        <v>5</v>
      </c>
      <c r="I17" s="1877">
        <f t="shared" si="1"/>
        <v>5</v>
      </c>
      <c r="J17" s="1877">
        <f t="shared" si="2"/>
        <v>0</v>
      </c>
    </row>
    <row r="18" spans="1:12" ht="12" customHeight="1" x14ac:dyDescent="0.2">
      <c r="A18" s="1863" t="s">
        <v>1390</v>
      </c>
      <c r="B18" s="1864"/>
      <c r="C18" s="1865"/>
      <c r="D18" s="1865"/>
      <c r="E18" s="1941"/>
      <c r="F18" s="1866"/>
      <c r="H18" s="1877">
        <f t="shared" si="0"/>
        <v>0</v>
      </c>
      <c r="I18" s="1877">
        <f t="shared" si="1"/>
        <v>0</v>
      </c>
      <c r="J18" s="1877">
        <f t="shared" si="2"/>
        <v>0</v>
      </c>
    </row>
    <row r="19" spans="1:12" ht="12" customHeight="1" x14ac:dyDescent="0.2">
      <c r="A19" s="1863" t="s">
        <v>1527</v>
      </c>
      <c r="B19" s="1864"/>
      <c r="C19" s="1865"/>
      <c r="D19" s="1865"/>
      <c r="E19" s="1941"/>
      <c r="F19" s="1866"/>
      <c r="H19" s="1877">
        <f t="shared" si="0"/>
        <v>0</v>
      </c>
      <c r="I19" s="1877">
        <f t="shared" si="1"/>
        <v>0</v>
      </c>
      <c r="J19" s="1877">
        <f t="shared" si="2"/>
        <v>0</v>
      </c>
    </row>
    <row r="20" spans="1:12" ht="12" customHeight="1" x14ac:dyDescent="0.2">
      <c r="A20" s="1863" t="s">
        <v>1528</v>
      </c>
      <c r="B20" s="1864"/>
      <c r="C20" s="1865"/>
      <c r="D20" s="1865"/>
      <c r="E20" s="1941"/>
      <c r="F20" s="1866"/>
      <c r="H20" s="1877">
        <f t="shared" si="0"/>
        <v>0</v>
      </c>
      <c r="I20" s="1877">
        <f t="shared" si="1"/>
        <v>0</v>
      </c>
      <c r="J20" s="1877">
        <f t="shared" si="2"/>
        <v>0</v>
      </c>
    </row>
    <row r="21" spans="1:12" ht="12" customHeight="1" x14ac:dyDescent="0.2">
      <c r="A21" s="1863" t="s">
        <v>1529</v>
      </c>
      <c r="B21" s="1864"/>
      <c r="C21" s="1865"/>
      <c r="D21" s="1865"/>
      <c r="E21" s="1941"/>
      <c r="F21" s="1866"/>
      <c r="H21" s="1877">
        <f t="shared" si="0"/>
        <v>0</v>
      </c>
      <c r="I21" s="1877">
        <f t="shared" si="1"/>
        <v>0</v>
      </c>
      <c r="J21" s="1877">
        <f t="shared" si="2"/>
        <v>0</v>
      </c>
    </row>
    <row r="22" spans="1:12" ht="12" customHeight="1" x14ac:dyDescent="0.2">
      <c r="A22" s="1863" t="s">
        <v>1530</v>
      </c>
      <c r="B22" s="1864"/>
      <c r="C22" s="1865"/>
      <c r="D22" s="1865"/>
      <c r="E22" s="1941"/>
      <c r="F22" s="1866"/>
      <c r="H22" s="1877">
        <f t="shared" si="0"/>
        <v>0</v>
      </c>
      <c r="I22" s="1877">
        <f t="shared" si="1"/>
        <v>0</v>
      </c>
      <c r="J22" s="1877">
        <f t="shared" si="2"/>
        <v>0</v>
      </c>
    </row>
    <row r="23" spans="1:12" ht="12" customHeight="1" x14ac:dyDescent="0.2">
      <c r="A23" s="1863" t="s">
        <v>1531</v>
      </c>
      <c r="B23" s="1864"/>
      <c r="C23" s="1865"/>
      <c r="D23" s="1865"/>
      <c r="E23" s="1941"/>
      <c r="F23" s="1866"/>
      <c r="H23" s="1877">
        <f t="shared" si="0"/>
        <v>0</v>
      </c>
      <c r="I23" s="1877">
        <f t="shared" si="1"/>
        <v>0</v>
      </c>
      <c r="J23" s="1877">
        <f t="shared" si="2"/>
        <v>0</v>
      </c>
    </row>
    <row r="24" spans="1:12" ht="12" customHeight="1" x14ac:dyDescent="0.2">
      <c r="A24" s="1863" t="s">
        <v>1532</v>
      </c>
      <c r="B24" s="1864"/>
      <c r="C24" s="1865" t="s">
        <v>2073</v>
      </c>
      <c r="D24" s="1865" t="s">
        <v>2073</v>
      </c>
      <c r="E24" s="1941"/>
      <c r="F24" s="1866" t="s">
        <v>2084</v>
      </c>
      <c r="H24" s="1877">
        <f t="shared" si="0"/>
        <v>5</v>
      </c>
      <c r="I24" s="1877">
        <f t="shared" si="1"/>
        <v>5</v>
      </c>
      <c r="J24" s="1877">
        <f t="shared" si="2"/>
        <v>0</v>
      </c>
    </row>
    <row r="25" spans="1:12" ht="12" customHeight="1" x14ac:dyDescent="0.2">
      <c r="A25" s="1863" t="s">
        <v>1533</v>
      </c>
      <c r="B25" s="1864"/>
      <c r="C25" s="1865" t="s">
        <v>2073</v>
      </c>
      <c r="D25" s="1865" t="s">
        <v>2073</v>
      </c>
      <c r="E25" s="1941"/>
      <c r="F25" s="1866" t="s">
        <v>2087</v>
      </c>
      <c r="H25" s="1877">
        <f t="shared" si="0"/>
        <v>5</v>
      </c>
      <c r="I25" s="1877">
        <f t="shared" si="1"/>
        <v>5</v>
      </c>
      <c r="J25" s="1877">
        <f t="shared" si="2"/>
        <v>0</v>
      </c>
    </row>
    <row r="26" spans="1:12" ht="12" customHeight="1" x14ac:dyDescent="0.2">
      <c r="A26" s="1863" t="s">
        <v>1534</v>
      </c>
      <c r="B26" s="1864"/>
      <c r="C26" s="1865" t="s">
        <v>2073</v>
      </c>
      <c r="D26" s="1865" t="s">
        <v>2073</v>
      </c>
      <c r="E26" s="1941"/>
      <c r="F26" s="1866" t="s">
        <v>2086</v>
      </c>
      <c r="H26" s="1877">
        <f t="shared" si="0"/>
        <v>5</v>
      </c>
      <c r="I26" s="1877">
        <f t="shared" si="1"/>
        <v>5</v>
      </c>
      <c r="J26" s="1877">
        <f t="shared" si="2"/>
        <v>0</v>
      </c>
    </row>
    <row r="27" spans="1:12" ht="18.75" x14ac:dyDescent="0.2">
      <c r="A27" s="1863" t="s">
        <v>1535</v>
      </c>
      <c r="B27" s="1864"/>
      <c r="C27" s="1865"/>
      <c r="D27" s="1865"/>
      <c r="E27" s="1941"/>
      <c r="F27" s="1866"/>
      <c r="H27" s="1877">
        <f t="shared" si="0"/>
        <v>0</v>
      </c>
      <c r="I27" s="1877">
        <f t="shared" si="1"/>
        <v>0</v>
      </c>
      <c r="J27" s="1877">
        <f t="shared" si="2"/>
        <v>0</v>
      </c>
    </row>
    <row r="28" spans="1:12" ht="12" customHeight="1" x14ac:dyDescent="0.2">
      <c r="A28" s="1863" t="s">
        <v>1536</v>
      </c>
      <c r="B28" s="1864"/>
      <c r="C28" s="1865"/>
      <c r="D28" s="1865"/>
      <c r="E28" s="1941"/>
      <c r="F28" s="1866"/>
      <c r="H28" s="1877">
        <f t="shared" si="0"/>
        <v>0</v>
      </c>
      <c r="I28" s="1877">
        <f t="shared" si="1"/>
        <v>0</v>
      </c>
      <c r="J28" s="1877">
        <f t="shared" si="2"/>
        <v>0</v>
      </c>
    </row>
    <row r="29" spans="1:12" ht="12" customHeight="1" x14ac:dyDescent="0.2">
      <c r="A29" s="1863" t="s">
        <v>1537</v>
      </c>
      <c r="B29" s="1864"/>
      <c r="C29" s="1865"/>
      <c r="D29" s="1865"/>
      <c r="E29" s="1941"/>
      <c r="F29" s="1866"/>
      <c r="H29" s="1877">
        <f t="shared" si="0"/>
        <v>0</v>
      </c>
      <c r="I29" s="1877">
        <f t="shared" si="1"/>
        <v>0</v>
      </c>
      <c r="J29" s="1877">
        <f t="shared" si="2"/>
        <v>0</v>
      </c>
    </row>
    <row r="30" spans="1:12" ht="12" customHeight="1" x14ac:dyDescent="0.2">
      <c r="A30" s="1863" t="s">
        <v>1538</v>
      </c>
      <c r="B30" s="1864"/>
      <c r="C30" s="1865" t="s">
        <v>2073</v>
      </c>
      <c r="D30" s="1865" t="s">
        <v>2073</v>
      </c>
      <c r="E30" s="1941"/>
      <c r="F30" s="1866" t="s">
        <v>2088</v>
      </c>
      <c r="H30" s="1877">
        <f t="shared" si="0"/>
        <v>5</v>
      </c>
      <c r="I30" s="1877">
        <f t="shared" si="1"/>
        <v>5</v>
      </c>
      <c r="J30" s="1877">
        <f t="shared" si="2"/>
        <v>0</v>
      </c>
    </row>
    <row r="31" spans="1:12" ht="12" customHeight="1" x14ac:dyDescent="0.2">
      <c r="A31" s="1863" t="s">
        <v>1539</v>
      </c>
      <c r="B31" s="1864"/>
      <c r="C31" s="1865"/>
      <c r="D31" s="1865"/>
      <c r="E31" s="1941"/>
      <c r="F31" s="1866"/>
      <c r="H31" s="1877">
        <f t="shared" si="0"/>
        <v>0</v>
      </c>
      <c r="I31" s="1877">
        <f t="shared" si="1"/>
        <v>0</v>
      </c>
      <c r="J31" s="1877">
        <f t="shared" si="2"/>
        <v>0</v>
      </c>
      <c r="L31" s="1868"/>
    </row>
    <row r="32" spans="1:12" ht="12" customHeight="1" x14ac:dyDescent="0.2">
      <c r="A32" s="1863" t="s">
        <v>1540</v>
      </c>
      <c r="B32" s="1864"/>
      <c r="C32" s="1865" t="s">
        <v>2073</v>
      </c>
      <c r="D32" s="1865" t="s">
        <v>2073</v>
      </c>
      <c r="E32" s="1941"/>
      <c r="F32" s="1866" t="s">
        <v>2089</v>
      </c>
      <c r="H32" s="1877">
        <f t="shared" si="0"/>
        <v>5</v>
      </c>
      <c r="I32" s="1877">
        <f t="shared" si="1"/>
        <v>5</v>
      </c>
      <c r="J32" s="1877">
        <f t="shared" si="2"/>
        <v>0</v>
      </c>
    </row>
    <row r="33" spans="1:11" ht="12" customHeight="1" x14ac:dyDescent="0.2">
      <c r="A33" s="1863" t="s">
        <v>1541</v>
      </c>
      <c r="B33" s="1864"/>
      <c r="C33" s="1865"/>
      <c r="D33" s="1865"/>
      <c r="E33" s="1867"/>
      <c r="F33" s="1866"/>
      <c r="H33" s="1877">
        <f t="shared" si="0"/>
        <v>0</v>
      </c>
      <c r="I33" s="1877">
        <f t="shared" si="1"/>
        <v>0</v>
      </c>
      <c r="J33" s="1877">
        <f t="shared" si="2"/>
        <v>0</v>
      </c>
    </row>
    <row r="34" spans="1:11" ht="12" customHeight="1" x14ac:dyDescent="0.25">
      <c r="A34" s="1869"/>
      <c r="B34" s="1869"/>
      <c r="C34" s="1869"/>
      <c r="D34" s="1869"/>
      <c r="E34" s="1869"/>
      <c r="F34" s="1869"/>
      <c r="H34" s="1877">
        <f>SUM(H11:H32)</f>
        <v>40</v>
      </c>
      <c r="I34" s="1877">
        <f>SUM(I11:I32)</f>
        <v>40</v>
      </c>
      <c r="J34" s="1877">
        <f>SUM(J11:J32)</f>
        <v>0</v>
      </c>
      <c r="K34" s="1877">
        <f>SUM(H34:J34)</f>
        <v>80</v>
      </c>
    </row>
    <row r="35" spans="1:11" ht="12" customHeight="1" x14ac:dyDescent="0.2">
      <c r="A35" s="1870" t="s">
        <v>1392</v>
      </c>
      <c r="B35" s="1871"/>
      <c r="C35" s="2306"/>
      <c r="D35" s="2306"/>
      <c r="E35" s="2306"/>
      <c r="F35" s="2307"/>
    </row>
    <row r="36" spans="1:11" ht="12" customHeight="1" x14ac:dyDescent="0.2">
      <c r="A36" s="2297"/>
      <c r="B36" s="2298"/>
      <c r="C36" s="2298"/>
      <c r="D36" s="2298"/>
      <c r="E36" s="2298"/>
      <c r="F36" s="2299"/>
    </row>
    <row r="37" spans="1:11" ht="12" customHeight="1" x14ac:dyDescent="0.2">
      <c r="A37" s="2297"/>
      <c r="B37" s="2298"/>
      <c r="C37" s="2298"/>
      <c r="D37" s="2298"/>
      <c r="E37" s="2298"/>
      <c r="F37" s="2299"/>
    </row>
    <row r="38" spans="1:11" ht="12" customHeight="1" x14ac:dyDescent="0.2">
      <c r="A38" s="2311"/>
      <c r="B38" s="2312"/>
      <c r="C38" s="2312"/>
      <c r="D38" s="2312"/>
      <c r="E38" s="2312"/>
      <c r="F38" s="2313"/>
    </row>
    <row r="39" spans="1:11" ht="4.5" hidden="1" customHeight="1" x14ac:dyDescent="0.2">
      <c r="A39" s="1872"/>
      <c r="B39" s="1872"/>
      <c r="C39" s="1872"/>
      <c r="D39" s="1872"/>
      <c r="E39" s="1872"/>
      <c r="F39" s="1872"/>
    </row>
    <row r="40" spans="1:11" s="1869" customFormat="1" ht="12" customHeight="1" x14ac:dyDescent="0.25">
      <c r="A40" s="1873" t="s">
        <v>1391</v>
      </c>
      <c r="B40" s="1874"/>
      <c r="C40" s="2314"/>
      <c r="D40" s="2314"/>
      <c r="E40" s="2314"/>
      <c r="F40" s="2315"/>
      <c r="H40" s="1878"/>
      <c r="I40" s="1878"/>
      <c r="J40" s="1878"/>
      <c r="K40" s="1878"/>
    </row>
    <row r="41" spans="1:11" s="1869" customFormat="1" ht="12" customHeight="1" x14ac:dyDescent="0.25">
      <c r="A41" s="2316"/>
      <c r="B41" s="2317"/>
      <c r="C41" s="2317"/>
      <c r="D41" s="2317"/>
      <c r="E41" s="2317"/>
      <c r="F41" s="2318"/>
      <c r="H41" s="1878"/>
      <c r="I41" s="1878"/>
      <c r="J41" s="1878"/>
      <c r="K41" s="1878"/>
    </row>
    <row r="42" spans="1:11" s="1869" customFormat="1" ht="12" customHeight="1" x14ac:dyDescent="0.25">
      <c r="A42" s="2316"/>
      <c r="B42" s="2317"/>
      <c r="C42" s="2317"/>
      <c r="D42" s="2317"/>
      <c r="E42" s="2317"/>
      <c r="F42" s="2318"/>
      <c r="H42" s="1878"/>
      <c r="I42" s="1878"/>
      <c r="J42" s="1878"/>
      <c r="K42" s="1878"/>
    </row>
    <row r="43" spans="1:11" s="1869" customFormat="1" ht="15" x14ac:dyDescent="0.25">
      <c r="A43" s="2308"/>
      <c r="B43" s="2309"/>
      <c r="C43" s="2309"/>
      <c r="D43" s="2309"/>
      <c r="E43" s="2309"/>
      <c r="F43" s="2310"/>
      <c r="H43" s="1878"/>
      <c r="I43" s="1878"/>
      <c r="J43" s="1878"/>
      <c r="K43" s="1878"/>
    </row>
    <row r="44" spans="1:11" s="1869" customFormat="1" ht="12" hidden="1" customHeight="1" x14ac:dyDescent="0.25">
      <c r="A44" s="2308"/>
      <c r="B44" s="2309"/>
      <c r="C44" s="2309"/>
      <c r="D44" s="2309"/>
      <c r="E44" s="2309"/>
      <c r="F44" s="2310"/>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92D050"/>
  </sheetPr>
  <dimension ref="A1:Q40"/>
  <sheetViews>
    <sheetView showGridLines="0" defaultGridColor="0" topLeftCell="A10" colorId="8" zoomScale="110" zoomScaleNormal="110" workbookViewId="0">
      <selection activeCell="J29" sqref="J29"/>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3" t="s">
        <v>672</v>
      </c>
      <c r="B6" s="1642"/>
      <c r="C6" s="1642"/>
      <c r="D6" s="1642"/>
      <c r="E6" s="1643"/>
      <c r="F6" s="1015"/>
      <c r="G6" s="1009"/>
      <c r="H6" s="1016" t="s">
        <v>1028</v>
      </c>
      <c r="I6" s="2324" t="str">
        <f>COVER!A17</f>
        <v>Allen-Otter Creek CCSD 65</v>
      </c>
      <c r="J6" s="2325"/>
      <c r="Q6" s="1664"/>
    </row>
    <row r="7" spans="1:17" x14ac:dyDescent="0.2">
      <c r="A7" s="2326" t="s">
        <v>869</v>
      </c>
      <c r="B7" s="2327"/>
      <c r="C7" s="2327"/>
      <c r="D7" s="2327"/>
      <c r="E7" s="2328"/>
      <c r="F7" s="1017"/>
      <c r="G7" s="1009"/>
      <c r="H7" s="1016" t="s">
        <v>372</v>
      </c>
      <c r="I7" s="2329">
        <f>COVER!A13</f>
        <v>35050065004</v>
      </c>
      <c r="J7" s="2329"/>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4" t="s">
        <v>1977</v>
      </c>
      <c r="F9" s="1023"/>
      <c r="G9" s="1023"/>
      <c r="H9" s="1895"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0" t="s">
        <v>481</v>
      </c>
      <c r="B11" s="2331"/>
      <c r="C11" s="2332"/>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68792</v>
      </c>
      <c r="F12" s="1039"/>
      <c r="G12" s="1811">
        <f t="shared" ref="G12:G18" si="0">SUM(E12:F12)</f>
        <v>68792</v>
      </c>
      <c r="H12" s="1040">
        <v>74037</v>
      </c>
      <c r="I12" s="1039"/>
      <c r="J12" s="1811">
        <f t="shared" ref="J12:J18" si="1">SUM(H12:I12)</f>
        <v>74037</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3" t="s">
        <v>7</v>
      </c>
      <c r="C18" s="2334"/>
      <c r="D18" s="2335"/>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68792</v>
      </c>
      <c r="F19" s="1813">
        <f t="shared" si="2"/>
        <v>0</v>
      </c>
      <c r="G19" s="1813">
        <f t="shared" si="2"/>
        <v>68792</v>
      </c>
      <c r="H19" s="1813">
        <f t="shared" si="2"/>
        <v>74037</v>
      </c>
      <c r="I19" s="1813">
        <f t="shared" si="2"/>
        <v>0</v>
      </c>
      <c r="J19" s="1813">
        <f t="shared" si="2"/>
        <v>74037</v>
      </c>
    </row>
    <row r="20" spans="1:10" ht="13.5" thickTop="1" x14ac:dyDescent="0.2">
      <c r="A20" s="1035">
        <v>9</v>
      </c>
      <c r="B20" s="2336" t="s">
        <v>1979</v>
      </c>
      <c r="C20" s="2336"/>
      <c r="D20" s="2337"/>
      <c r="E20" s="1046"/>
      <c r="F20" s="1046"/>
      <c r="G20" s="1046"/>
      <c r="H20" s="1046"/>
      <c r="I20" s="1046"/>
      <c r="J20" s="1814">
        <f>IF(AND(G19&gt;0,J19&gt;0),(((J19-G19)/G19)),"Enter Budget Data")</f>
        <v>7.6244330736132113E-2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42"/>
      <c r="D26" s="2342"/>
      <c r="E26" s="1050"/>
      <c r="F26" s="2341"/>
      <c r="G26" s="2341"/>
    </row>
    <row r="27" spans="1:10" x14ac:dyDescent="0.2">
      <c r="B27" s="1047"/>
      <c r="C27" s="1051" t="s">
        <v>1033</v>
      </c>
      <c r="D27" s="1052"/>
      <c r="E27" s="1053"/>
      <c r="F27" s="2338" t="s">
        <v>1509</v>
      </c>
      <c r="G27" s="2338"/>
    </row>
    <row r="28" spans="1:10" ht="28.5" customHeight="1" x14ac:dyDescent="0.2">
      <c r="B28" s="1047"/>
      <c r="C28" s="2340"/>
      <c r="D28" s="2340"/>
      <c r="E28" s="1054"/>
      <c r="F28" s="2340"/>
      <c r="G28" s="2340"/>
    </row>
    <row r="29" spans="1:10" x14ac:dyDescent="0.2">
      <c r="B29" s="1047"/>
      <c r="C29" s="1055" t="s">
        <v>1561</v>
      </c>
      <c r="E29" s="1056"/>
      <c r="F29" s="2339" t="s">
        <v>1510</v>
      </c>
      <c r="G29" s="2339"/>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1" t="s">
        <v>132</v>
      </c>
      <c r="D33" s="2322"/>
      <c r="E33" s="2322"/>
      <c r="F33" s="2322"/>
      <c r="G33" s="2322"/>
      <c r="H33" s="2322"/>
      <c r="I33" s="2322"/>
    </row>
    <row r="34" spans="1:10" ht="10.35" customHeight="1" x14ac:dyDescent="0.2">
      <c r="C34" s="2322"/>
      <c r="D34" s="2322"/>
      <c r="E34" s="2322"/>
      <c r="F34" s="2322"/>
      <c r="G34" s="2322"/>
      <c r="H34" s="2322"/>
      <c r="I34" s="2322"/>
    </row>
    <row r="35" spans="1:10" ht="7.5" customHeight="1" x14ac:dyDescent="0.2">
      <c r="C35" s="1062"/>
    </row>
    <row r="36" spans="1:10" ht="13.5" customHeight="1" x14ac:dyDescent="0.2">
      <c r="B36" s="1061"/>
      <c r="C36" s="2323" t="s">
        <v>1981</v>
      </c>
      <c r="D36" s="2322"/>
      <c r="E36" s="2322"/>
      <c r="F36" s="2322"/>
      <c r="G36" s="2322"/>
      <c r="H36" s="2322"/>
      <c r="I36" s="2322"/>
      <c r="J36" s="1063"/>
    </row>
    <row r="37" spans="1:10" ht="22.5" customHeight="1" x14ac:dyDescent="0.2">
      <c r="C37" s="2322"/>
      <c r="D37" s="2322"/>
      <c r="E37" s="2322"/>
      <c r="F37" s="2322"/>
      <c r="G37" s="2322"/>
      <c r="H37" s="2322"/>
      <c r="I37" s="2322"/>
      <c r="J37" s="1063"/>
    </row>
    <row r="38" spans="1:10" ht="7.5" customHeight="1" x14ac:dyDescent="0.2">
      <c r="C38" s="1062"/>
      <c r="D38" s="1064"/>
      <c r="E38" s="1065"/>
      <c r="F38" s="1066"/>
      <c r="G38" s="1065"/>
    </row>
    <row r="39" spans="1:10" ht="13.5" customHeight="1" x14ac:dyDescent="0.2">
      <c r="B39" s="1061" t="s">
        <v>2073</v>
      </c>
      <c r="C39" s="2319" t="s">
        <v>882</v>
      </c>
      <c r="D39" s="2320"/>
      <c r="E39" s="2320"/>
      <c r="F39" s="2320"/>
      <c r="G39" s="2320"/>
      <c r="H39" s="2320"/>
      <c r="I39" s="232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2:B65"/>
  <sheetViews>
    <sheetView showGridLines="0" zoomScale="110" zoomScaleNormal="110" workbookViewId="0">
      <selection activeCell="B11" sqref="B11"/>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2082</v>
      </c>
    </row>
    <row r="6" spans="1:2" x14ac:dyDescent="0.2">
      <c r="A6" s="1068">
        <v>2</v>
      </c>
      <c r="B6" s="329" t="s">
        <v>2090</v>
      </c>
    </row>
    <row r="7" spans="1:2" x14ac:dyDescent="0.2">
      <c r="A7" s="1068">
        <v>3</v>
      </c>
      <c r="B7" s="329" t="s">
        <v>2091</v>
      </c>
    </row>
    <row r="8" spans="1:2" x14ac:dyDescent="0.2">
      <c r="A8" s="1068">
        <v>4</v>
      </c>
      <c r="B8" s="329" t="s">
        <v>2092</v>
      </c>
    </row>
    <row r="9" spans="1:2" x14ac:dyDescent="0.2">
      <c r="A9" s="1068">
        <v>5</v>
      </c>
      <c r="B9" s="329" t="s">
        <v>2093</v>
      </c>
    </row>
    <row r="10" spans="1:2" x14ac:dyDescent="0.2">
      <c r="A10" s="1068">
        <v>6</v>
      </c>
      <c r="B10" s="329" t="s">
        <v>2108</v>
      </c>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Allen-Otter Creek CCSD 65</v>
      </c>
    </row>
    <row r="65" spans="2:2" x14ac:dyDescent="0.2">
      <c r="B65" s="1070">
        <f>COVER!A13</f>
        <v>35050065004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0" t="s">
        <v>1065</v>
      </c>
      <c r="B35" s="2060"/>
      <c r="C35" s="2060"/>
      <c r="D35" s="2060"/>
      <c r="E35" s="206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7" t="s">
        <v>691</v>
      </c>
      <c r="B40" s="2057"/>
      <c r="C40" s="2057"/>
      <c r="D40" s="2057"/>
      <c r="E40" s="2057"/>
    </row>
    <row r="41" spans="1:5" x14ac:dyDescent="0.2">
      <c r="A41" s="2058" t="s">
        <v>1608</v>
      </c>
      <c r="B41" s="2058"/>
      <c r="C41" s="2058"/>
      <c r="D41" s="2058"/>
      <c r="E41" s="2058"/>
    </row>
    <row r="42" spans="1:5" ht="12.75" customHeight="1" x14ac:dyDescent="0.2">
      <c r="A42" s="2059" t="s">
        <v>1022</v>
      </c>
      <c r="B42" s="2059"/>
      <c r="C42" s="2059"/>
      <c r="D42" s="2059"/>
      <c r="E42" s="2059"/>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sheetPr>
  <dimension ref="A19:F27"/>
  <sheetViews>
    <sheetView showGridLines="0" zoomScale="110" zoomScaleNormal="110" workbookViewId="0">
      <selection activeCell="N25" sqref="N25"/>
    </sheetView>
  </sheetViews>
  <sheetFormatPr defaultRowHeight="12.75" x14ac:dyDescent="0.2"/>
  <cols>
    <col min="1" max="1" width="1.85546875" style="329" customWidth="1"/>
    <col min="2" max="2" width="59.7109375" style="329" customWidth="1"/>
    <col min="3" max="16384" width="9.140625" style="329"/>
  </cols>
  <sheetData>
    <row r="19" spans="1:6" x14ac:dyDescent="0.2">
      <c r="B19" s="1071"/>
      <c r="C19" s="1071"/>
      <c r="D19" s="1071"/>
      <c r="E19" s="1071"/>
      <c r="F19" s="1071"/>
    </row>
    <row r="22" spans="1:6" x14ac:dyDescent="0.2">
      <c r="A22" s="1072" t="s">
        <v>1493</v>
      </c>
    </row>
    <row r="24" spans="1:6" x14ac:dyDescent="0.2">
      <c r="A24" s="389" t="s">
        <v>857</v>
      </c>
    </row>
    <row r="25" spans="1:6" s="1071" customFormat="1" ht="45" customHeight="1" x14ac:dyDescent="0.2">
      <c r="A25" s="1073"/>
      <c r="B25" s="1073" t="s">
        <v>1684</v>
      </c>
    </row>
    <row r="26" spans="1:6" ht="6" customHeight="1" x14ac:dyDescent="0.2"/>
    <row r="27" spans="1:6" ht="24.75" customHeight="1" x14ac:dyDescent="0.2">
      <c r="A27" s="2343" t="s">
        <v>1685</v>
      </c>
      <c r="B27" s="2343"/>
    </row>
  </sheetData>
  <sheetProtection selectLockedCells="1"/>
  <mergeCells count="1">
    <mergeCell ref="A27:B27"/>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DC"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Exch.Document.DC" dvAspect="DVASPECT_ICON" shapeId="35841" r:id="rId4"/>
      </mc:Fallback>
    </mc:AlternateContent>
    <mc:AlternateContent xmlns:mc="http://schemas.openxmlformats.org/markup-compatibility/2006">
      <mc:Choice Requires="x14">
        <oleObject progId="AcroExch.Document.DC" dvAspect="DVASPECT_ICON" shapeId="35842" r:id="rId6">
          <objectPr defaultSize="0" r:id="rId5">
            <anchor moveWithCells="1">
              <from>
                <xdr:col>1</xdr:col>
                <xdr:colOff>0</xdr:colOff>
                <xdr:row>6</xdr:row>
                <xdr:rowOff>0</xdr:rowOff>
              </from>
              <to>
                <xdr:col>1</xdr:col>
                <xdr:colOff>914400</xdr:colOff>
                <xdr:row>10</xdr:row>
                <xdr:rowOff>38100</xdr:rowOff>
              </to>
            </anchor>
          </objectPr>
        </oleObject>
      </mc:Choice>
      <mc:Fallback>
        <oleObject progId="AcroExch.Document.DC" dvAspect="DVASPECT_ICON" shapeId="35842" r:id="rId6"/>
      </mc:Fallback>
    </mc:AlternateContent>
    <mc:AlternateContent xmlns:mc="http://schemas.openxmlformats.org/markup-compatibility/2006">
      <mc:Choice Requires="x14">
        <oleObject progId="AcroExch.Document.DC" dvAspect="DVASPECT_ICON" shapeId="35843" r:id="rId7">
          <objectPr defaultSize="0" r:id="rId5">
            <anchor moveWithCells="1">
              <from>
                <xdr:col>1</xdr:col>
                <xdr:colOff>0</xdr:colOff>
                <xdr:row>11</xdr:row>
                <xdr:rowOff>0</xdr:rowOff>
              </from>
              <to>
                <xdr:col>1</xdr:col>
                <xdr:colOff>914400</xdr:colOff>
                <xdr:row>15</xdr:row>
                <xdr:rowOff>38100</xdr:rowOff>
              </to>
            </anchor>
          </objectPr>
        </oleObject>
      </mc:Choice>
      <mc:Fallback>
        <oleObject progId="AcroExch.Document.DC" dvAspect="DVASPECT_ICON" shapeId="35843" r:id="rId7"/>
      </mc:Fallback>
    </mc:AlternateContent>
    <mc:AlternateContent xmlns:mc="http://schemas.openxmlformats.org/markup-compatibility/2006">
      <mc:Choice Requires="x14">
        <oleObject progId="AcroExch.Document.DC" dvAspect="DVASPECT_ICON" shapeId="35844" r:id="rId8">
          <objectPr defaultSize="0" r:id="rId5">
            <anchor moveWithCells="1">
              <from>
                <xdr:col>1</xdr:col>
                <xdr:colOff>0</xdr:colOff>
                <xdr:row>16</xdr:row>
                <xdr:rowOff>0</xdr:rowOff>
              </from>
              <to>
                <xdr:col>1</xdr:col>
                <xdr:colOff>914400</xdr:colOff>
                <xdr:row>20</xdr:row>
                <xdr:rowOff>38100</xdr:rowOff>
              </to>
            </anchor>
          </objectPr>
        </oleObject>
      </mc:Choice>
      <mc:Fallback>
        <oleObject progId="AcroExch.Document.DC" dvAspect="DVASPECT_ICON" shapeId="35844"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4" t="s">
        <v>1690</v>
      </c>
      <c r="B1" s="2345"/>
      <c r="C1" s="2345"/>
      <c r="D1" s="2345"/>
      <c r="E1" s="2345"/>
      <c r="F1" s="2346"/>
    </row>
    <row r="2" spans="1:8" ht="45" customHeight="1" x14ac:dyDescent="0.2">
      <c r="A2" s="2354" t="s">
        <v>1985</v>
      </c>
      <c r="B2" s="2355"/>
      <c r="C2" s="2355"/>
      <c r="D2" s="2355"/>
      <c r="E2" s="2355"/>
      <c r="F2" s="2356"/>
      <c r="G2" s="1074"/>
      <c r="H2" s="1074"/>
    </row>
    <row r="3" spans="1:8" ht="57" customHeight="1" x14ac:dyDescent="0.2">
      <c r="A3" s="2357" t="s">
        <v>1686</v>
      </c>
      <c r="B3" s="2358"/>
      <c r="C3" s="2358"/>
      <c r="D3" s="2358"/>
      <c r="E3" s="2358"/>
      <c r="F3" s="2359"/>
      <c r="G3" s="1074"/>
      <c r="H3" s="1074"/>
    </row>
    <row r="4" spans="1:8" ht="14.25" customHeight="1" x14ac:dyDescent="0.2">
      <c r="A4" s="2363" t="s">
        <v>1986</v>
      </c>
      <c r="B4" s="2364"/>
      <c r="C4" s="2364"/>
      <c r="D4" s="2364"/>
      <c r="E4" s="2364"/>
      <c r="F4" s="2365"/>
      <c r="G4" s="1074"/>
      <c r="H4" s="1074"/>
    </row>
    <row r="5" spans="1:8" ht="14.25" customHeight="1" x14ac:dyDescent="0.2">
      <c r="A5" s="2366" t="s">
        <v>1982</v>
      </c>
      <c r="B5" s="2367"/>
      <c r="C5" s="2367"/>
      <c r="D5" s="2367"/>
      <c r="E5" s="2367"/>
      <c r="F5" s="2368"/>
      <c r="G5" s="1074"/>
      <c r="H5" s="1074"/>
    </row>
    <row r="6" spans="1:8" s="1075" customFormat="1" ht="41.25" customHeight="1" x14ac:dyDescent="0.2">
      <c r="A6" s="2360" t="s">
        <v>1691</v>
      </c>
      <c r="B6" s="2361"/>
      <c r="C6" s="2361"/>
      <c r="D6" s="2361"/>
      <c r="E6" s="2361"/>
      <c r="F6" s="2362"/>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1226605</v>
      </c>
      <c r="C8" s="1815">
        <f>'Acct Summary 7-8'!D8</f>
        <v>141938</v>
      </c>
      <c r="D8" s="1815">
        <f>'Acct Summary 7-8'!F8</f>
        <v>142194</v>
      </c>
      <c r="E8" s="1815">
        <f>'Acct Summary 7-8'!I8</f>
        <v>27384</v>
      </c>
      <c r="F8" s="1815">
        <f>SUM(B8:E8)</f>
        <v>1538121</v>
      </c>
    </row>
    <row r="9" spans="1:8" s="1079" customFormat="1" ht="14.25" customHeight="1" thickBot="1" x14ac:dyDescent="0.25">
      <c r="A9" s="1078" t="s">
        <v>1369</v>
      </c>
      <c r="B9" s="1816">
        <f>'Acct Summary 7-8'!C17</f>
        <v>1369544</v>
      </c>
      <c r="C9" s="1816">
        <f>'Acct Summary 7-8'!D17</f>
        <v>147907</v>
      </c>
      <c r="D9" s="1816">
        <f>'Acct Summary 7-8'!F17</f>
        <v>161466</v>
      </c>
      <c r="E9" s="1815"/>
      <c r="F9" s="1815">
        <f>SUM(B9:E9)</f>
        <v>1678917</v>
      </c>
    </row>
    <row r="10" spans="1:8" s="1079" customFormat="1" ht="14.25" thickTop="1" thickBot="1" x14ac:dyDescent="0.25">
      <c r="A10" s="1080" t="s">
        <v>1370</v>
      </c>
      <c r="B10" s="1817">
        <f>(B8-B9)</f>
        <v>-142939</v>
      </c>
      <c r="C10" s="1817">
        <f>(C8-C9)</f>
        <v>-5969</v>
      </c>
      <c r="D10" s="1817">
        <f>(D8-D9)</f>
        <v>-19272</v>
      </c>
      <c r="E10" s="1816">
        <f>(E8-E9)</f>
        <v>27384</v>
      </c>
      <c r="F10" s="1818">
        <f>SUM(F8-F9)</f>
        <v>-140796</v>
      </c>
    </row>
    <row r="11" spans="1:8" s="1079" customFormat="1" ht="14.25" thickTop="1" thickBot="1" x14ac:dyDescent="0.25">
      <c r="A11" s="1081" t="s">
        <v>1983</v>
      </c>
      <c r="B11" s="1819">
        <f>'Acct Summary 7-8'!C81</f>
        <v>409624</v>
      </c>
      <c r="C11" s="1819">
        <f>'Acct Summary 7-8'!D81</f>
        <v>61871</v>
      </c>
      <c r="D11" s="1819">
        <f>'Acct Summary 7-8'!F81</f>
        <v>32832</v>
      </c>
      <c r="E11" s="1819">
        <f>'Acct Summary 7-8'!I81</f>
        <v>222670</v>
      </c>
      <c r="F11" s="1820">
        <f>SUM(B11:E11)</f>
        <v>726997</v>
      </c>
    </row>
    <row r="12" spans="1:8" ht="16.5" customHeight="1" thickTop="1" x14ac:dyDescent="0.2">
      <c r="A12" s="1082"/>
      <c r="B12" s="1083"/>
      <c r="C12" s="2348" t="str">
        <f>IF(AND(F10&lt;0,F11&gt;=0,ABS(F10*3)&gt;ABS(F11)),A16,IF(AND(F10&lt;0,F11&gt;0,ABS(F10*3)&lt;=ABS(F11)),A17,IF(AND(F10&lt;0,F11&lt;0),A16,IF(F11=0,A19,A18))))</f>
        <v>Unbalanced -  however, a deficit reduction plan is not required at this time.</v>
      </c>
      <c r="D12" s="2349"/>
      <c r="E12" s="2349"/>
      <c r="F12" s="2350"/>
    </row>
    <row r="13" spans="1:8" ht="19.5" customHeight="1" x14ac:dyDescent="0.2">
      <c r="A13" s="1084"/>
      <c r="B13" s="1085"/>
      <c r="C13" s="2348"/>
      <c r="D13" s="2349"/>
      <c r="E13" s="2349"/>
      <c r="F13" s="2350"/>
      <c r="H13" s="1074"/>
    </row>
    <row r="14" spans="1:8" ht="19.5" customHeight="1" x14ac:dyDescent="0.2">
      <c r="A14" s="1084"/>
      <c r="B14" s="1085"/>
      <c r="C14" s="2348"/>
      <c r="D14" s="2349"/>
      <c r="E14" s="2349"/>
      <c r="F14" s="2350"/>
      <c r="H14" s="1074"/>
    </row>
    <row r="15" spans="1:8" ht="17.25" customHeight="1" x14ac:dyDescent="0.2">
      <c r="A15" s="1084"/>
      <c r="B15" s="1085"/>
      <c r="C15" s="2351"/>
      <c r="D15" s="2352"/>
      <c r="E15" s="2352"/>
      <c r="F15" s="2353"/>
      <c r="H15" s="1074"/>
    </row>
    <row r="16" spans="1:8" s="310" customFormat="1" ht="51.75" hidden="1" customHeight="1" x14ac:dyDescent="0.2">
      <c r="A16" s="2347" t="s">
        <v>1687</v>
      </c>
      <c r="B16" s="2347"/>
      <c r="C16" s="2347"/>
      <c r="D16" s="2347"/>
      <c r="E16" s="2347"/>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colorId="8" zoomScale="110" zoomScaleNormal="110" workbookViewId="0">
      <selection activeCell="G94" sqref="G94"/>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6"/>
      <c r="B2" s="1897"/>
      <c r="C2" s="1898"/>
      <c r="D2" s="1899"/>
    </row>
    <row r="3" spans="1:4" ht="36" customHeight="1" x14ac:dyDescent="0.2">
      <c r="A3" s="2369" t="s">
        <v>665</v>
      </c>
      <c r="B3" s="2370"/>
      <c r="C3" s="2370"/>
      <c r="D3" s="2371"/>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0" t="s">
        <v>1504</v>
      </c>
      <c r="D7" s="2381"/>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2" t="s">
        <v>1008</v>
      </c>
      <c r="B15" s="2373"/>
      <c r="C15" s="2373"/>
      <c r="D15" s="2374"/>
    </row>
    <row r="16" spans="1:4" s="668" customFormat="1" ht="24" customHeight="1" x14ac:dyDescent="0.2">
      <c r="A16" s="2375" t="s">
        <v>663</v>
      </c>
      <c r="B16" s="2376"/>
      <c r="C16" s="2376"/>
      <c r="D16" s="2377"/>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4" t="s">
        <v>314</v>
      </c>
      <c r="D21" s="2385"/>
    </row>
    <row r="22" spans="1:10" ht="12.75" x14ac:dyDescent="0.2">
      <c r="A22" s="1139"/>
      <c r="B22" s="1140">
        <v>2</v>
      </c>
      <c r="C22" s="2382" t="s">
        <v>1524</v>
      </c>
      <c r="D22" s="2383"/>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6" t="s">
        <v>536</v>
      </c>
      <c r="D43" s="2387"/>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8" t="s">
        <v>784</v>
      </c>
      <c r="D56" s="2379"/>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8" t="s">
        <v>1696</v>
      </c>
      <c r="D70" s="2379"/>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35050065004</v>
      </c>
    </row>
    <row r="3" spans="1:2" x14ac:dyDescent="0.2">
      <c r="A3" t="s">
        <v>956</v>
      </c>
      <c r="B3" s="138" t="str">
        <f>COVER!A15</f>
        <v>LaSalle</v>
      </c>
    </row>
    <row r="4" spans="1:2" x14ac:dyDescent="0.2">
      <c r="A4" t="s">
        <v>1007</v>
      </c>
      <c r="B4" s="138" t="str">
        <f>COVER!A17</f>
        <v>Allen-Otter Creek CCSD 65</v>
      </c>
    </row>
    <row r="5" spans="1:2" x14ac:dyDescent="0.2">
      <c r="A5" t="s">
        <v>704</v>
      </c>
      <c r="B5" s="138" t="str">
        <f>COVER!A38</f>
        <v>Mary Pat Baima</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066-005100</v>
      </c>
    </row>
    <row r="16" spans="1:2" x14ac:dyDescent="0.2">
      <c r="A16" t="s">
        <v>422</v>
      </c>
      <c r="B16" s="138" t="str">
        <f>COVER!T13</f>
        <v>Mack &amp; Associates, P.C.</v>
      </c>
    </row>
    <row r="17" spans="1:2" x14ac:dyDescent="0.2">
      <c r="A17" t="s">
        <v>884</v>
      </c>
      <c r="B17" s="138" t="str">
        <f>COVER!T15</f>
        <v>Tawnya Mack, CPA</v>
      </c>
    </row>
    <row r="18" spans="1:2" x14ac:dyDescent="0.2">
      <c r="A18" t="s">
        <v>1150</v>
      </c>
      <c r="B18" s="138" t="str">
        <f>COVER!T17</f>
        <v>116 E. Washington St., Suite One</v>
      </c>
    </row>
    <row r="19" spans="1:2" x14ac:dyDescent="0.2">
      <c r="A19" t="s">
        <v>886</v>
      </c>
      <c r="B19" s="138" t="str">
        <f>COVER!T25</f>
        <v>tmack@mackcpas.com</v>
      </c>
    </row>
    <row r="20" spans="1:2" x14ac:dyDescent="0.2">
      <c r="A20" t="s">
        <v>887</v>
      </c>
      <c r="B20" s="138" t="str">
        <f>COVER!T19</f>
        <v>Morris</v>
      </c>
    </row>
    <row r="21" spans="1:2" x14ac:dyDescent="0.2">
      <c r="A21" t="s">
        <v>479</v>
      </c>
      <c r="B21" s="138" t="str">
        <f>COVER!X19</f>
        <v>IL</v>
      </c>
    </row>
    <row r="22" spans="1:2" x14ac:dyDescent="0.2">
      <c r="A22" t="s">
        <v>888</v>
      </c>
      <c r="B22" s="138">
        <f>COVER!Z19</f>
        <v>60450</v>
      </c>
    </row>
    <row r="23" spans="1:2" x14ac:dyDescent="0.2">
      <c r="A23" t="s">
        <v>1152</v>
      </c>
      <c r="B23" s="138" t="str">
        <f>COVER!T21</f>
        <v>815-942-3306</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Yes</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409624</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226812</v>
      </c>
      <c r="D92" s="2" t="str">
        <f t="shared" si="0"/>
        <v>Error?</v>
      </c>
    </row>
    <row r="93" spans="1:4" x14ac:dyDescent="0.2">
      <c r="A93" s="5">
        <v>32</v>
      </c>
      <c r="B93" s="138">
        <f>'Assets-Liab 5-6'!C41</f>
        <v>409624</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61871</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61180</v>
      </c>
      <c r="D123" s="2" t="str">
        <f t="shared" si="0"/>
        <v>Error?</v>
      </c>
    </row>
    <row r="124" spans="1:4" x14ac:dyDescent="0.2">
      <c r="A124" s="5">
        <v>63</v>
      </c>
      <c r="B124" s="138">
        <f>'Assets-Liab 5-6'!D41</f>
        <v>61871</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69486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69486</v>
      </c>
      <c r="D140" s="2" t="str">
        <f t="shared" si="1"/>
        <v>Error?</v>
      </c>
    </row>
    <row r="141" spans="1:4" x14ac:dyDescent="0.2">
      <c r="A141" s="5">
        <v>80</v>
      </c>
      <c r="B141" s="138">
        <f>'Assets-Liab 5-6'!E41</f>
        <v>69486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32832</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32832</v>
      </c>
      <c r="D170" s="2" t="str">
        <f t="shared" si="1"/>
        <v>Error?</v>
      </c>
    </row>
    <row r="171" spans="1:4" x14ac:dyDescent="0.2">
      <c r="A171" s="5">
        <v>110</v>
      </c>
      <c r="B171" s="138">
        <f>'Assets-Liab 5-6'!F41</f>
        <v>32832</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25035</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25035</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201200</v>
      </c>
      <c r="D273" s="2" t="str">
        <f t="shared" si="3"/>
        <v>Error?</v>
      </c>
    </row>
    <row r="274" spans="1:4" x14ac:dyDescent="0.2">
      <c r="A274" s="5">
        <v>213</v>
      </c>
      <c r="B274" s="138">
        <f>'Assets-Liab 5-6'!M17</f>
        <v>685550</v>
      </c>
      <c r="D274" s="2" t="str">
        <f t="shared" si="3"/>
        <v>Error?</v>
      </c>
    </row>
    <row r="275" spans="1:4" x14ac:dyDescent="0.2">
      <c r="A275" s="5">
        <v>214</v>
      </c>
      <c r="B275" s="138">
        <f>'Assets-Liab 5-6'!M18</f>
        <v>46204</v>
      </c>
      <c r="D275" s="2" t="str">
        <f t="shared" si="3"/>
        <v>Error?</v>
      </c>
    </row>
    <row r="276" spans="1:4" x14ac:dyDescent="0.2">
      <c r="A276" s="5">
        <v>215</v>
      </c>
      <c r="B276" s="138">
        <f>'Assets-Liab 5-6'!M19</f>
        <v>79477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1012431</v>
      </c>
      <c r="C279" s="2" t="s">
        <v>573</v>
      </c>
      <c r="D279" s="2" t="str">
        <f t="shared" si="3"/>
        <v>Error?</v>
      </c>
    </row>
    <row r="280" spans="1:4" x14ac:dyDescent="0.2">
      <c r="A280" s="5">
        <v>219</v>
      </c>
      <c r="B280" s="138">
        <f>'Assets-Liab 5-6'!M40</f>
        <v>1012431</v>
      </c>
      <c r="D280" s="2" t="str">
        <f t="shared" si="3"/>
        <v>Error?</v>
      </c>
    </row>
    <row r="281" spans="1:4" x14ac:dyDescent="0.2">
      <c r="A281" s="5">
        <v>220</v>
      </c>
      <c r="B281" s="138">
        <f>'Assets-Liab 5-6'!M41</f>
        <v>1012431</v>
      </c>
      <c r="C281" s="2" t="s">
        <v>573</v>
      </c>
      <c r="D281" s="2" t="str">
        <f t="shared" si="3"/>
        <v>Error?</v>
      </c>
    </row>
    <row r="282" spans="1:4" x14ac:dyDescent="0.2">
      <c r="A282" s="5">
        <v>221</v>
      </c>
      <c r="B282" s="138">
        <f>'Assets-Liab 5-6'!N21</f>
        <v>69486</v>
      </c>
      <c r="D282" s="2" t="str">
        <f t="shared" si="3"/>
        <v>Error?</v>
      </c>
    </row>
    <row r="283" spans="1:4" x14ac:dyDescent="0.2">
      <c r="A283" s="5">
        <v>222</v>
      </c>
      <c r="B283" s="138">
        <f>'Assets-Liab 5-6'!N22</f>
        <v>135514</v>
      </c>
      <c r="D283" s="2" t="str">
        <f t="shared" si="3"/>
        <v>Error?</v>
      </c>
    </row>
    <row r="284" spans="1:4" x14ac:dyDescent="0.2">
      <c r="A284" s="5">
        <v>223</v>
      </c>
      <c r="B284" s="138">
        <f>'Assets-Liab 5-6'!N23</f>
        <v>205000</v>
      </c>
      <c r="C284" s="2" t="s">
        <v>573</v>
      </c>
      <c r="D284" s="2" t="str">
        <f t="shared" si="3"/>
        <v>Error?</v>
      </c>
    </row>
    <row r="285" spans="1:4" x14ac:dyDescent="0.2">
      <c r="A285" s="5">
        <v>224</v>
      </c>
      <c r="B285" s="138">
        <f>'Assets-Liab 5-6'!N36</f>
        <v>205000</v>
      </c>
      <c r="D285" s="2" t="str">
        <f t="shared" si="3"/>
        <v>Error?</v>
      </c>
    </row>
    <row r="286" spans="1:4" x14ac:dyDescent="0.2">
      <c r="A286" s="10">
        <v>225</v>
      </c>
      <c r="D286" s="2" t="str">
        <f t="shared" si="3"/>
        <v>OK</v>
      </c>
    </row>
    <row r="287" spans="1:4" x14ac:dyDescent="0.2">
      <c r="A287" s="5">
        <v>226</v>
      </c>
      <c r="B287" s="138">
        <f>'Assets-Liab 5-6'!N37</f>
        <v>205000</v>
      </c>
      <c r="C287" s="2" t="s">
        <v>573</v>
      </c>
      <c r="D287" s="2" t="str">
        <f t="shared" si="3"/>
        <v>Error?</v>
      </c>
    </row>
    <row r="288" spans="1:4" x14ac:dyDescent="0.2">
      <c r="A288" s="5">
        <v>227</v>
      </c>
      <c r="B288" s="138">
        <f>'Assets-Liab 5-6'!N41</f>
        <v>205000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630335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1464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695465</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40548</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40548</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1500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1500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58080</v>
      </c>
      <c r="D733" s="2" t="str">
        <f t="shared" si="10"/>
        <v>Error?</v>
      </c>
    </row>
    <row r="734" spans="1:4" x14ac:dyDescent="0.2">
      <c r="A734" s="5">
        <v>673</v>
      </c>
      <c r="B734" s="138">
        <f>'Expenditures 15-22'!C53</f>
        <v>58080</v>
      </c>
      <c r="C734" s="2" t="s">
        <v>573</v>
      </c>
      <c r="D734" s="2" t="str">
        <f t="shared" si="10"/>
        <v>Error?</v>
      </c>
    </row>
    <row r="735" spans="1:4" x14ac:dyDescent="0.2">
      <c r="A735" s="5">
        <v>674</v>
      </c>
      <c r="B735" s="138">
        <f>'Expenditures 15-22'!C55</f>
        <v>60000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60000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53428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41476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94904</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255032</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950497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66349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70507</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1411</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1411</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1038</v>
      </c>
      <c r="D791" s="2" t="str">
        <f t="shared" si="11"/>
        <v>Error?</v>
      </c>
    </row>
    <row r="792" spans="1:4" x14ac:dyDescent="0.2">
      <c r="A792" s="5">
        <v>731</v>
      </c>
      <c r="B792" s="138">
        <f>'Expenditures 15-22'!D53</f>
        <v>1038</v>
      </c>
      <c r="C792" s="2" t="s">
        <v>573</v>
      </c>
      <c r="D792" s="2" t="str">
        <f t="shared" si="11"/>
        <v>Error?</v>
      </c>
    </row>
    <row r="793" spans="1:4" x14ac:dyDescent="0.2">
      <c r="A793" s="5">
        <v>732</v>
      </c>
      <c r="B793" s="138">
        <f>'Expenditures 15-22'!D55</f>
        <v>1039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1039</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3218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3218</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6706</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77213</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47944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3978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51997</v>
      </c>
      <c r="C836" s="2" t="s">
        <v>573</v>
      </c>
      <c r="D836" s="2" t="str">
        <f t="shared" si="12"/>
        <v>Error?</v>
      </c>
    </row>
    <row r="837" spans="1:4" x14ac:dyDescent="0.2">
      <c r="A837" s="5">
        <v>776</v>
      </c>
      <c r="B837" s="138">
        <f>'Expenditures 15-22'!E36</f>
        <v>7146</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126</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7272</v>
      </c>
      <c r="C843" s="2" t="s">
        <v>573</v>
      </c>
      <c r="D843" s="2" t="str">
        <f t="shared" si="12"/>
        <v>Error?</v>
      </c>
    </row>
    <row r="844" spans="1:4" x14ac:dyDescent="0.2">
      <c r="A844" s="5">
        <v>783</v>
      </c>
      <c r="B844" s="138">
        <f>'Expenditures 15-22'!E44</f>
        <v>6027</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6027</v>
      </c>
      <c r="C847" s="2" t="s">
        <v>573</v>
      </c>
      <c r="D847" s="2" t="str">
        <f t="shared" si="12"/>
        <v>Error?</v>
      </c>
    </row>
    <row r="848" spans="1:4" x14ac:dyDescent="0.2">
      <c r="A848" s="5">
        <v>787</v>
      </c>
      <c r="B848" s="138">
        <f>'Expenditures 15-22'!E49</f>
        <v>16709</v>
      </c>
      <c r="D848" s="2" t="str">
        <f t="shared" si="12"/>
        <v>Error?</v>
      </c>
    </row>
    <row r="849" spans="1:4" x14ac:dyDescent="0.2">
      <c r="A849" s="5">
        <v>788</v>
      </c>
      <c r="B849" s="138">
        <f>'Expenditures 15-22'!E50</f>
        <v>3817</v>
      </c>
      <c r="D849" s="2" t="str">
        <f t="shared" si="12"/>
        <v>Error?</v>
      </c>
    </row>
    <row r="850" spans="1:4" x14ac:dyDescent="0.2">
      <c r="A850" s="5">
        <v>789</v>
      </c>
      <c r="B850" s="138">
        <f>'Expenditures 15-22'!E53</f>
        <v>20526</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852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852</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34677</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113630</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40874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1640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43352</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3286</v>
      </c>
      <c r="D906" s="2" t="str">
        <f t="shared" si="13"/>
        <v>Error?</v>
      </c>
    </row>
    <row r="907" spans="1:4" x14ac:dyDescent="0.2">
      <c r="A907" s="5">
        <v>846</v>
      </c>
      <c r="B907" s="138">
        <f>'Expenditures 15-22'!F50</f>
        <v>3394</v>
      </c>
      <c r="D907" s="2" t="str">
        <f t="shared" si="13"/>
        <v>Error?</v>
      </c>
    </row>
    <row r="908" spans="1:4" x14ac:dyDescent="0.2">
      <c r="A908" s="5">
        <v>847</v>
      </c>
      <c r="B908" s="138">
        <f>'Expenditures 15-22'!F53</f>
        <v>6680</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23869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23869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1120</v>
      </c>
      <c r="D928" s="2" t="str">
        <f t="shared" si="13"/>
        <v>Error?</v>
      </c>
    </row>
    <row r="929" spans="1:4" x14ac:dyDescent="0.2">
      <c r="A929" s="5">
        <v>868</v>
      </c>
      <c r="B929" s="138">
        <f>'Expenditures 15-22'!F74</f>
        <v>31669</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75021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5853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5853</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5853</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828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3816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91248</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1172</v>
      </c>
      <c r="D1022" s="2" t="str">
        <f t="shared" si="14"/>
        <v>Error?</v>
      </c>
    </row>
    <row r="1023" spans="1:4" x14ac:dyDescent="0.2">
      <c r="A1023" s="5">
        <v>962</v>
      </c>
      <c r="B1023" s="138">
        <f>'Expenditures 15-22'!H50</f>
        <v>2463</v>
      </c>
      <c r="D1023" s="2" t="str">
        <f t="shared" ref="D1023:D1086" si="15">IF(ISBLANK(B1023),"OK",IF(A1023-B1023=0,"OK","Error?"))</f>
        <v>Error?</v>
      </c>
    </row>
    <row r="1024" spans="1:4" x14ac:dyDescent="0.2">
      <c r="A1024" s="5">
        <v>963</v>
      </c>
      <c r="B1024" s="138">
        <f>'Expenditures 15-22'!H53</f>
        <v>3635</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228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228</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3863</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52219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147330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792183</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10921</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958422</v>
      </c>
      <c r="C1108" s="2" t="s">
        <v>573</v>
      </c>
      <c r="D1108" s="2" t="str">
        <f t="shared" si="16"/>
        <v>Error?</v>
      </c>
    </row>
    <row r="1109" spans="1:4" x14ac:dyDescent="0.2">
      <c r="A1109" s="5">
        <v>1048</v>
      </c>
      <c r="B1109" s="138">
        <f>'Expenditures 15-22'!K36</f>
        <v>7146</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126</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40548</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47820</v>
      </c>
      <c r="C1115" s="2" t="s">
        <v>573</v>
      </c>
      <c r="D1115" s="2" t="str">
        <f t="shared" si="16"/>
        <v>Error?</v>
      </c>
    </row>
    <row r="1116" spans="1:4" x14ac:dyDescent="0.2">
      <c r="A1116" s="5">
        <v>1055</v>
      </c>
      <c r="B1116" s="138">
        <f>'Expenditures 15-22'!K44</f>
        <v>7438</v>
      </c>
      <c r="C1116" s="2" t="s">
        <v>573</v>
      </c>
      <c r="D1116" s="2" t="str">
        <f t="shared" si="16"/>
        <v>Error?</v>
      </c>
    </row>
    <row r="1117" spans="1:4" x14ac:dyDescent="0.2">
      <c r="A1117" s="5">
        <v>1056</v>
      </c>
      <c r="B1117" s="138">
        <f>'Expenditures 15-22'!K45</f>
        <v>1500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8938</v>
      </c>
      <c r="C1119" s="2" t="s">
        <v>573</v>
      </c>
      <c r="D1119" s="2" t="str">
        <f t="shared" si="16"/>
        <v>Error?</v>
      </c>
    </row>
    <row r="1120" spans="1:4" x14ac:dyDescent="0.2">
      <c r="A1120" s="5">
        <v>1059</v>
      </c>
      <c r="B1120" s="138">
        <f>'Expenditures 15-22'!K49</f>
        <v>21167</v>
      </c>
      <c r="C1120" s="2" t="s">
        <v>573</v>
      </c>
      <c r="D1120" s="2" t="str">
        <f t="shared" si="16"/>
        <v>Error?</v>
      </c>
    </row>
    <row r="1121" spans="1:4" x14ac:dyDescent="0.2">
      <c r="A1121" s="5">
        <v>1060</v>
      </c>
      <c r="B1121" s="138">
        <f>'Expenditures 15-22'!K50</f>
        <v>68792</v>
      </c>
      <c r="C1121" s="2" t="s">
        <v>573</v>
      </c>
      <c r="D1121" s="2" t="str">
        <f t="shared" si="16"/>
        <v>Error?</v>
      </c>
    </row>
    <row r="1122" spans="1:4" x14ac:dyDescent="0.2">
      <c r="A1122" s="5">
        <v>1061</v>
      </c>
      <c r="B1122" s="138">
        <f>'Expenditures 15-22'!K53</f>
        <v>89959</v>
      </c>
      <c r="C1122" s="2" t="s">
        <v>573</v>
      </c>
      <c r="D1122" s="2" t="str">
        <f t="shared" si="16"/>
        <v>Error?</v>
      </c>
    </row>
    <row r="1123" spans="1:4" x14ac:dyDescent="0.2">
      <c r="A1123" s="5">
        <v>1062</v>
      </c>
      <c r="B1123" s="138">
        <f>'Expenditures 15-22'!K55</f>
        <v>61039</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61039</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56646</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66425</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123071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1120</v>
      </c>
      <c r="C1142" s="2" t="s">
        <v>573</v>
      </c>
      <c r="D1142" s="2" t="str">
        <f t="shared" si="16"/>
        <v>Error?</v>
      </c>
    </row>
    <row r="1143" spans="1:4" x14ac:dyDescent="0.2">
      <c r="A1143" s="5">
        <v>1082</v>
      </c>
      <c r="B1143" s="138">
        <f>'Expenditures 15-22'!K74</f>
        <v>331947</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79175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1369544</v>
      </c>
      <c r="C1152" s="2" t="s">
        <v>573</v>
      </c>
      <c r="D1152" s="2" t="str">
        <f t="shared" si="17"/>
        <v>Error?</v>
      </c>
    </row>
    <row r="1153" spans="1:4" x14ac:dyDescent="0.2">
      <c r="A1153" s="5">
        <v>1092</v>
      </c>
      <c r="B1153" s="138">
        <f>'Expenditures 15-22'!K115</f>
        <v>-142939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10000</v>
      </c>
      <c r="D1221" s="2" t="str">
        <f t="shared" si="18"/>
        <v>Error?</v>
      </c>
    </row>
    <row r="1222" spans="1:4" x14ac:dyDescent="0.2">
      <c r="A1222" s="10">
        <v>1161</v>
      </c>
      <c r="D1222" s="2" t="str">
        <f t="shared" si="18"/>
        <v>OK</v>
      </c>
    </row>
    <row r="1223" spans="1:4" x14ac:dyDescent="0.2">
      <c r="A1223" s="5">
        <v>1162</v>
      </c>
      <c r="B1223" s="138">
        <f>'Expenditures 15-22'!C127</f>
        <v>10000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10000</v>
      </c>
      <c r="C1225" s="2" t="s">
        <v>573</v>
      </c>
      <c r="D1225" s="2" t="str">
        <f t="shared" si="18"/>
        <v>Error?</v>
      </c>
    </row>
    <row r="1226" spans="1:4" x14ac:dyDescent="0.2">
      <c r="A1226" s="5">
        <v>1165</v>
      </c>
      <c r="B1226" s="138">
        <f>'Expenditures 15-22'!C151</f>
        <v>10000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70106</v>
      </c>
      <c r="D1237" s="2" t="str">
        <f t="shared" si="18"/>
        <v>Error?</v>
      </c>
    </row>
    <row r="1238" spans="1:4" x14ac:dyDescent="0.2">
      <c r="A1238" s="10">
        <v>1177</v>
      </c>
      <c r="D1238" s="2" t="str">
        <f t="shared" si="18"/>
        <v>OK</v>
      </c>
    </row>
    <row r="1239" spans="1:4" x14ac:dyDescent="0.2">
      <c r="A1239" s="5">
        <v>1178</v>
      </c>
      <c r="B1239" s="138">
        <f>'Expenditures 15-22'!E127</f>
        <v>70106</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70106</v>
      </c>
      <c r="C1241" s="2" t="s">
        <v>573</v>
      </c>
      <c r="D1241" s="2" t="str">
        <f t="shared" si="18"/>
        <v>Error?</v>
      </c>
    </row>
    <row r="1242" spans="1:4" x14ac:dyDescent="0.2">
      <c r="A1242" s="5">
        <v>1181</v>
      </c>
      <c r="B1242" s="138">
        <f>'Expenditures 15-22'!E151</f>
        <v>70106</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25278</v>
      </c>
      <c r="D1245" s="2" t="str">
        <f t="shared" si="18"/>
        <v>Error?</v>
      </c>
    </row>
    <row r="1246" spans="1:4" x14ac:dyDescent="0.2">
      <c r="A1246" s="10">
        <v>1185</v>
      </c>
      <c r="D1246" s="2" t="str">
        <f t="shared" si="18"/>
        <v>OK</v>
      </c>
    </row>
    <row r="1247" spans="1:4" x14ac:dyDescent="0.2">
      <c r="A1247" s="5">
        <v>1186</v>
      </c>
      <c r="B1247" s="138">
        <f>'Expenditures 15-22'!F127</f>
        <v>25278</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25278</v>
      </c>
      <c r="C1249" s="2" t="s">
        <v>573</v>
      </c>
      <c r="D1249" s="2" t="str">
        <f t="shared" si="18"/>
        <v>Error?</v>
      </c>
    </row>
    <row r="1250" spans="1:4" x14ac:dyDescent="0.2">
      <c r="A1250" s="5">
        <v>1189</v>
      </c>
      <c r="B1250" s="138">
        <f>'Expenditures 15-22'!F151</f>
        <v>25278</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42523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42523</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42523</v>
      </c>
      <c r="C1258" s="2" t="s">
        <v>573</v>
      </c>
      <c r="D1258" s="2" t="str">
        <f t="shared" si="18"/>
        <v>Error?</v>
      </c>
    </row>
    <row r="1259" spans="1:4" x14ac:dyDescent="0.2">
      <c r="A1259" s="5">
        <v>1198</v>
      </c>
      <c r="B1259" s="138">
        <f>'Expenditures 15-22'!G151</f>
        <v>42523</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147907</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147907</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147907</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147907</v>
      </c>
      <c r="C1288" s="2" t="s">
        <v>573</v>
      </c>
      <c r="D1288" s="2" t="str">
        <f t="shared" si="19"/>
        <v>Error?</v>
      </c>
    </row>
    <row r="1289" spans="1:4" x14ac:dyDescent="0.2">
      <c r="A1289" s="5">
        <v>1228</v>
      </c>
      <c r="B1289" s="138">
        <f>'Expenditures 15-22'!K152</f>
        <v>-5969</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9708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95000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105208</v>
      </c>
      <c r="C1317" s="2" t="s">
        <v>573</v>
      </c>
      <c r="D1317" s="2" t="str">
        <f t="shared" si="19"/>
        <v>Error?</v>
      </c>
    </row>
    <row r="1318" spans="1:4" x14ac:dyDescent="0.2">
      <c r="A1318" s="5">
        <v>1257</v>
      </c>
      <c r="B1318" s="138">
        <f>'Expenditures 15-22'!H174</f>
        <v>105208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9708</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95000</v>
      </c>
      <c r="C1329" s="2" t="s">
        <v>573</v>
      </c>
      <c r="D1329" s="2" t="str">
        <f t="shared" si="19"/>
        <v>Error?</v>
      </c>
    </row>
    <row r="1330" spans="1:4" x14ac:dyDescent="0.2">
      <c r="A1330" s="5">
        <v>1269</v>
      </c>
      <c r="B1330" s="138">
        <f>'Expenditures 15-22'!K171</f>
        <v>500</v>
      </c>
      <c r="C1330" s="2" t="s">
        <v>573</v>
      </c>
      <c r="D1330" s="2" t="str">
        <f t="shared" si="19"/>
        <v>Error?</v>
      </c>
    </row>
    <row r="1331" spans="1:4" x14ac:dyDescent="0.2">
      <c r="A1331" s="5">
        <v>1270</v>
      </c>
      <c r="B1331" s="138">
        <f>'Expenditures 15-22'!K172</f>
        <v>105208</v>
      </c>
      <c r="C1331" s="2" t="s">
        <v>573</v>
      </c>
      <c r="D1331" s="2" t="str">
        <f t="shared" si="19"/>
        <v>Error?</v>
      </c>
    </row>
    <row r="1332" spans="1:4" x14ac:dyDescent="0.2">
      <c r="A1332" s="5">
        <v>1271</v>
      </c>
      <c r="B1332" s="138">
        <f>'Expenditures 15-22'!K174</f>
        <v>105208</v>
      </c>
      <c r="C1332" s="2" t="s">
        <v>573</v>
      </c>
      <c r="D1332" s="2" t="str">
        <f t="shared" si="19"/>
        <v>Error?</v>
      </c>
    </row>
    <row r="1333" spans="1:4" x14ac:dyDescent="0.2">
      <c r="A1333" s="5">
        <v>1272</v>
      </c>
      <c r="B1333" s="138">
        <f>'Expenditures 15-22'!K175</f>
        <v>-319</v>
      </c>
      <c r="C1333" s="2" t="s">
        <v>573</v>
      </c>
      <c r="D1333" s="2" t="str">
        <f t="shared" si="19"/>
        <v>Error?</v>
      </c>
    </row>
    <row r="1334" spans="1:4" x14ac:dyDescent="0.2">
      <c r="A1334" s="10">
        <v>1273</v>
      </c>
      <c r="D1334" s="2" t="str">
        <f t="shared" si="19"/>
        <v>OK</v>
      </c>
    </row>
    <row r="1335" spans="1:4" x14ac:dyDescent="0.2">
      <c r="A1335" s="5">
        <v>1274</v>
      </c>
      <c r="B1335" s="138">
        <f>'Expenditures 15-22'!C182</f>
        <v>1920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1920</v>
      </c>
      <c r="C1339" s="2" t="s">
        <v>573</v>
      </c>
      <c r="D1339" s="2" t="str">
        <f t="shared" si="19"/>
        <v>Error?</v>
      </c>
    </row>
    <row r="1340" spans="1:4" x14ac:dyDescent="0.2">
      <c r="A1340" s="5">
        <v>1279</v>
      </c>
      <c r="B1340" s="138">
        <f>'Expenditures 15-22'!C210</f>
        <v>1920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159546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159546</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159546</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161466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161466</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161466</v>
      </c>
      <c r="C1388" s="2" t="s">
        <v>573</v>
      </c>
      <c r="D1388" s="2" t="str">
        <f t="shared" si="20"/>
        <v>Error?</v>
      </c>
    </row>
    <row r="1389" spans="1:4" x14ac:dyDescent="0.2">
      <c r="A1389" s="5">
        <v>1328</v>
      </c>
      <c r="B1389" s="138">
        <f>'Expenditures 15-22'!K211</f>
        <v>-19272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14817</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588</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588</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1028</v>
      </c>
      <c r="D1423" s="2" t="str">
        <f t="shared" si="21"/>
        <v>Error?</v>
      </c>
    </row>
    <row r="1424" spans="1:4" x14ac:dyDescent="0.2">
      <c r="A1424" s="5">
        <v>1363</v>
      </c>
      <c r="B1424" s="138">
        <f>'Expenditures 15-22'!D257</f>
        <v>1028</v>
      </c>
      <c r="C1424" s="2" t="s">
        <v>573</v>
      </c>
      <c r="D1424" s="2" t="str">
        <f t="shared" si="21"/>
        <v>Error?</v>
      </c>
    </row>
    <row r="1425" spans="1:4" x14ac:dyDescent="0.2">
      <c r="A1425" s="5">
        <v>1364</v>
      </c>
      <c r="B1425" s="138">
        <f>'Expenditures 15-22'!D259</f>
        <v>1009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1009</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8431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1435</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6767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16633</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19258</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34075</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21</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14817</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588</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588</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1028</v>
      </c>
      <c r="C1487" s="2" t="s">
        <v>573</v>
      </c>
      <c r="D1487" s="2" t="str">
        <f t="shared" si="22"/>
        <v>Error?</v>
      </c>
    </row>
    <row r="1488" spans="1:4" x14ac:dyDescent="0.2">
      <c r="A1488" s="5">
        <v>1427</v>
      </c>
      <c r="B1488" s="138">
        <f>'Expenditures 15-22'!K257</f>
        <v>1028</v>
      </c>
      <c r="C1488" s="2" t="s">
        <v>573</v>
      </c>
      <c r="D1488" s="2" t="str">
        <f t="shared" si="22"/>
        <v>Error?</v>
      </c>
    </row>
    <row r="1489" spans="1:4" x14ac:dyDescent="0.2">
      <c r="A1489" s="5">
        <v>1428</v>
      </c>
      <c r="B1489" s="138">
        <f>'Expenditures 15-22'!K259</f>
        <v>1009</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1009</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8431</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1435</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6767</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16633</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19258</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34075</v>
      </c>
      <c r="C1517" s="2" t="s">
        <v>573</v>
      </c>
      <c r="D1517" s="2" t="str">
        <f t="shared" si="22"/>
        <v>Error?</v>
      </c>
    </row>
    <row r="1518" spans="1:4" x14ac:dyDescent="0.2">
      <c r="A1518" s="5">
        <v>1457</v>
      </c>
      <c r="B1518" s="138">
        <f>'Expenditures 15-22'!K296</f>
        <v>7404</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552563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409624</v>
      </c>
      <c r="C1630" s="2" t="s">
        <v>573</v>
      </c>
      <c r="D1630" s="2" t="str">
        <f t="shared" si="24"/>
        <v>Error?</v>
      </c>
    </row>
    <row r="1631" spans="1:4" x14ac:dyDescent="0.2">
      <c r="A1631" s="5">
        <v>1570</v>
      </c>
      <c r="B1631" s="138">
        <f>'Acct Summary 7-8'!D79</f>
        <v>67840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61871</v>
      </c>
      <c r="C1644" s="2" t="s">
        <v>573</v>
      </c>
      <c r="D1644" s="2" t="str">
        <f t="shared" si="24"/>
        <v>Error?</v>
      </c>
    </row>
    <row r="1645" spans="1:4" x14ac:dyDescent="0.2">
      <c r="A1645" s="5">
        <v>1584</v>
      </c>
      <c r="B1645" s="138">
        <f>'Acct Summary 7-8'!E79</f>
        <v>69805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69486</v>
      </c>
      <c r="C1658" s="2" t="s">
        <v>573</v>
      </c>
      <c r="D1658" s="2" t="str">
        <f t="shared" si="24"/>
        <v>Error?</v>
      </c>
    </row>
    <row r="1659" spans="1:4" x14ac:dyDescent="0.2">
      <c r="A1659" s="5">
        <v>1598</v>
      </c>
      <c r="B1659" s="138">
        <f>'Acct Summary 7-8'!F79</f>
        <v>52104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32832</v>
      </c>
      <c r="C1672" s="2" t="s">
        <v>573</v>
      </c>
      <c r="D1672" s="2" t="str">
        <f t="shared" si="25"/>
        <v>Error?</v>
      </c>
    </row>
    <row r="1673" spans="1:4" x14ac:dyDescent="0.2">
      <c r="A1673" s="5">
        <v>1612</v>
      </c>
      <c r="B1673" s="138">
        <f>'Acct Summary 7-8'!G79</f>
        <v>17631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25035</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771181</v>
      </c>
      <c r="C1744" s="2" t="s">
        <v>573</v>
      </c>
      <c r="D1744" s="2" t="str">
        <f t="shared" si="26"/>
        <v>Error?</v>
      </c>
    </row>
    <row r="1745" spans="1:5" x14ac:dyDescent="0.2">
      <c r="A1745" s="5">
        <v>1684</v>
      </c>
      <c r="B1745" s="138">
        <f>'Tax Sched 23'!B5</f>
        <v>135828</v>
      </c>
      <c r="C1745" s="2" t="s">
        <v>573</v>
      </c>
      <c r="D1745" s="2" t="str">
        <f t="shared" si="26"/>
        <v>Error?</v>
      </c>
    </row>
    <row r="1746" spans="1:5" x14ac:dyDescent="0.2">
      <c r="A1746" s="5">
        <v>1685</v>
      </c>
      <c r="B1746" s="138">
        <f>'Tax Sched 23'!B6</f>
        <v>104654</v>
      </c>
      <c r="C1746" s="2" t="s">
        <v>573</v>
      </c>
      <c r="D1746" s="2" t="str">
        <f t="shared" si="26"/>
        <v>Error?</v>
      </c>
    </row>
    <row r="1747" spans="1:5" x14ac:dyDescent="0.2">
      <c r="A1747" s="5">
        <v>1686</v>
      </c>
      <c r="B1747" s="138">
        <f>'Tax Sched 23'!B7</f>
        <v>65169</v>
      </c>
      <c r="C1747" s="2" t="s">
        <v>573</v>
      </c>
      <c r="D1747" s="2" t="str">
        <f t="shared" si="26"/>
        <v>Error?</v>
      </c>
    </row>
    <row r="1748" spans="1:5" x14ac:dyDescent="0.2">
      <c r="A1748" s="5">
        <v>1687</v>
      </c>
      <c r="B1748" s="138">
        <f>'Tax Sched 23'!B8</f>
        <v>41384</v>
      </c>
      <c r="C1748" s="2" t="s">
        <v>573</v>
      </c>
      <c r="D1748" s="2" t="str">
        <f t="shared" si="26"/>
        <v>Error?</v>
      </c>
    </row>
    <row r="1749" spans="1:5" x14ac:dyDescent="0.2">
      <c r="A1749" s="5">
        <v>1688</v>
      </c>
      <c r="B1749" s="138">
        <f>'Tax Sched 23'!B10</f>
        <v>27190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43481</v>
      </c>
      <c r="C1752" s="2" t="s">
        <v>573</v>
      </c>
      <c r="D1752" s="2" t="str">
        <f t="shared" si="26"/>
        <v>Error?</v>
      </c>
    </row>
    <row r="1753" spans="1:5" x14ac:dyDescent="0.2">
      <c r="A1753" s="5">
        <v>1692</v>
      </c>
      <c r="B1753" s="138">
        <f>'Tax Sched 23'!B12</f>
        <v>27190</v>
      </c>
      <c r="C1753" s="2" t="s">
        <v>573</v>
      </c>
      <c r="D1753" s="2" t="str">
        <f t="shared" si="26"/>
        <v>Error?</v>
      </c>
    </row>
    <row r="1754" spans="1:5" x14ac:dyDescent="0.2">
      <c r="A1754" s="5">
        <v>1693</v>
      </c>
      <c r="B1754" s="138">
        <f>'Tax Sched 23'!B14</f>
        <v>10899</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1254166</v>
      </c>
      <c r="C1759" s="2" t="s">
        <v>573</v>
      </c>
      <c r="D1759" s="2" t="str">
        <f t="shared" si="26"/>
        <v>Error?</v>
      </c>
    </row>
    <row r="1760" spans="1:5" x14ac:dyDescent="0.2">
      <c r="A1760" s="5">
        <v>1699</v>
      </c>
      <c r="B1760" s="138">
        <f>'Tax Sched 23'!D4</f>
        <v>771181</v>
      </c>
      <c r="C1760" s="2" t="s">
        <v>573</v>
      </c>
      <c r="D1760" s="2" t="str">
        <f t="shared" si="26"/>
        <v>Error?</v>
      </c>
    </row>
    <row r="1761" spans="1:5" x14ac:dyDescent="0.2">
      <c r="A1761" s="5">
        <v>1700</v>
      </c>
      <c r="B1761" s="138">
        <f>'Tax Sched 23'!D5</f>
        <v>135828</v>
      </c>
      <c r="C1761" s="2" t="s">
        <v>573</v>
      </c>
      <c r="D1761" s="2" t="str">
        <f t="shared" si="26"/>
        <v>Error?</v>
      </c>
    </row>
    <row r="1762" spans="1:5" s="8" customFormat="1" x14ac:dyDescent="0.2">
      <c r="A1762" s="5">
        <v>1701</v>
      </c>
      <c r="B1762" s="138">
        <f>'Tax Sched 23'!D6</f>
        <v>104654</v>
      </c>
      <c r="C1762" s="2" t="s">
        <v>573</v>
      </c>
      <c r="D1762" s="2" t="str">
        <f t="shared" si="26"/>
        <v>Error?</v>
      </c>
      <c r="E1762" s="9"/>
    </row>
    <row r="1763" spans="1:5" x14ac:dyDescent="0.2">
      <c r="A1763" s="5">
        <v>1702</v>
      </c>
      <c r="B1763" s="138">
        <f>'Tax Sched 23'!D7</f>
        <v>65169</v>
      </c>
      <c r="C1763" s="2" t="s">
        <v>573</v>
      </c>
      <c r="D1763" s="2" t="str">
        <f t="shared" si="26"/>
        <v>Error?</v>
      </c>
    </row>
    <row r="1764" spans="1:5" x14ac:dyDescent="0.2">
      <c r="A1764" s="5">
        <v>1703</v>
      </c>
      <c r="B1764" s="138">
        <f>'Tax Sched 23'!D8</f>
        <v>41384</v>
      </c>
      <c r="C1764" s="2" t="s">
        <v>573</v>
      </c>
      <c r="D1764" s="2" t="str">
        <f t="shared" si="26"/>
        <v>Error?</v>
      </c>
    </row>
    <row r="1765" spans="1:5" x14ac:dyDescent="0.2">
      <c r="A1765" s="5">
        <v>1704</v>
      </c>
      <c r="B1765" s="138">
        <f>'Tax Sched 23'!D10</f>
        <v>27190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43481</v>
      </c>
      <c r="C1768" s="2" t="s">
        <v>573</v>
      </c>
      <c r="D1768" s="2" t="str">
        <f t="shared" si="26"/>
        <v>Error?</v>
      </c>
    </row>
    <row r="1769" spans="1:5" x14ac:dyDescent="0.2">
      <c r="A1769" s="5">
        <v>1708</v>
      </c>
      <c r="B1769" s="138">
        <f>'Tax Sched 23'!D12</f>
        <v>27190</v>
      </c>
      <c r="C1769" s="2" t="s">
        <v>573</v>
      </c>
      <c r="D1769" s="2" t="str">
        <f t="shared" si="26"/>
        <v>Error?</v>
      </c>
    </row>
    <row r="1770" spans="1:5" x14ac:dyDescent="0.2">
      <c r="A1770" s="5">
        <v>1709</v>
      </c>
      <c r="B1770" s="138">
        <f>'Tax Sched 23'!D14</f>
        <v>10899</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1254166</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722576</v>
      </c>
      <c r="C1792" s="2" t="s">
        <v>573</v>
      </c>
      <c r="D1792" s="2" t="str">
        <f t="shared" si="27"/>
        <v>Error?</v>
      </c>
    </row>
    <row r="1793" spans="1:4" x14ac:dyDescent="0.2">
      <c r="A1793" s="5">
        <v>1732</v>
      </c>
      <c r="B1793" s="138">
        <f>'Tax Sched 23'!F5</f>
        <v>193905</v>
      </c>
      <c r="C1793" s="2" t="s">
        <v>573</v>
      </c>
      <c r="D1793" s="2" t="str">
        <f t="shared" si="27"/>
        <v>Error?</v>
      </c>
    </row>
    <row r="1794" spans="1:4" x14ac:dyDescent="0.2">
      <c r="A1794" s="5">
        <v>1733</v>
      </c>
      <c r="B1794" s="138">
        <f>'Tax Sched 23'!F6</f>
        <v>37589</v>
      </c>
      <c r="C1794" s="2" t="s">
        <v>573</v>
      </c>
      <c r="D1794" s="2" t="str">
        <f t="shared" si="27"/>
        <v>Error?</v>
      </c>
    </row>
    <row r="1795" spans="1:4" x14ac:dyDescent="0.2">
      <c r="A1795" s="5">
        <v>1734</v>
      </c>
      <c r="B1795" s="138">
        <f>'Tax Sched 23'!F7</f>
        <v>61063</v>
      </c>
      <c r="C1795" s="2" t="s">
        <v>573</v>
      </c>
      <c r="D1795" s="2" t="str">
        <f t="shared" si="27"/>
        <v>Error?</v>
      </c>
    </row>
    <row r="1796" spans="1:4" x14ac:dyDescent="0.2">
      <c r="A1796" s="5">
        <v>1735</v>
      </c>
      <c r="B1796" s="138">
        <f>'Tax Sched 23'!F8</f>
        <v>20400</v>
      </c>
      <c r="C1796" s="2" t="s">
        <v>573</v>
      </c>
      <c r="D1796" s="2" t="str">
        <f t="shared" si="27"/>
        <v>Error?</v>
      </c>
    </row>
    <row r="1797" spans="1:4" x14ac:dyDescent="0.2">
      <c r="A1797" s="5">
        <v>1736</v>
      </c>
      <c r="B1797" s="138">
        <f>'Tax Sched 23'!F10</f>
        <v>25443</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40800</v>
      </c>
      <c r="C1800" s="2" t="s">
        <v>573</v>
      </c>
      <c r="D1800" s="2" t="str">
        <f t="shared" si="27"/>
        <v>Error?</v>
      </c>
    </row>
    <row r="1801" spans="1:4" x14ac:dyDescent="0.2">
      <c r="A1801" s="5">
        <v>1740</v>
      </c>
      <c r="B1801" s="138">
        <f>'Tax Sched 23'!F12</f>
        <v>25443</v>
      </c>
      <c r="C1801" s="2" t="s">
        <v>573</v>
      </c>
      <c r="D1801" s="2" t="str">
        <f t="shared" si="27"/>
        <v>Error?</v>
      </c>
    </row>
    <row r="1802" spans="1:4" x14ac:dyDescent="0.2">
      <c r="A1802" s="5">
        <v>1741</v>
      </c>
      <c r="B1802" s="138">
        <f>'Tax Sched 23'!F14</f>
        <v>10177</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1205802</v>
      </c>
      <c r="C1807" s="2" t="s">
        <v>573</v>
      </c>
      <c r="D1807" s="2" t="str">
        <f t="shared" si="27"/>
        <v>Error?</v>
      </c>
    </row>
    <row r="1808" spans="1:4" x14ac:dyDescent="0.2">
      <c r="A1808" s="5">
        <v>1747</v>
      </c>
      <c r="B1808" s="138">
        <f>'Tax Sched 23'!E4</f>
        <v>722576</v>
      </c>
      <c r="D1808" s="2" t="str">
        <f t="shared" si="27"/>
        <v>Error?</v>
      </c>
    </row>
    <row r="1809" spans="1:4" x14ac:dyDescent="0.2">
      <c r="A1809" s="5">
        <v>1748</v>
      </c>
      <c r="B1809" s="138">
        <f>'Tax Sched 23'!E5</f>
        <v>193905</v>
      </c>
      <c r="D1809" s="2" t="str">
        <f t="shared" si="27"/>
        <v>Error?</v>
      </c>
    </row>
    <row r="1810" spans="1:4" x14ac:dyDescent="0.2">
      <c r="A1810" s="5">
        <v>1749</v>
      </c>
      <c r="B1810" s="138">
        <f>'Tax Sched 23'!E6</f>
        <v>37589</v>
      </c>
      <c r="D1810" s="2" t="str">
        <f t="shared" si="27"/>
        <v>Error?</v>
      </c>
    </row>
    <row r="1811" spans="1:4" x14ac:dyDescent="0.2">
      <c r="A1811" s="5">
        <v>1750</v>
      </c>
      <c r="B1811" s="138">
        <f>'Tax Sched 23'!E7</f>
        <v>61063</v>
      </c>
      <c r="D1811" s="2" t="str">
        <f t="shared" si="27"/>
        <v>Error?</v>
      </c>
    </row>
    <row r="1812" spans="1:4" x14ac:dyDescent="0.2">
      <c r="A1812" s="5">
        <v>1751</v>
      </c>
      <c r="B1812" s="138">
        <f>'Tax Sched 23'!E8</f>
        <v>20400</v>
      </c>
      <c r="D1812" s="2" t="str">
        <f t="shared" si="27"/>
        <v>Error?</v>
      </c>
    </row>
    <row r="1813" spans="1:4" x14ac:dyDescent="0.2">
      <c r="A1813" s="5">
        <v>1752</v>
      </c>
      <c r="B1813" s="138">
        <f>'Tax Sched 23'!E10</f>
        <v>25443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40800</v>
      </c>
      <c r="D1816" s="2" t="str">
        <f t="shared" si="27"/>
        <v>Error?</v>
      </c>
    </row>
    <row r="1817" spans="1:4" x14ac:dyDescent="0.2">
      <c r="A1817" s="5">
        <v>1756</v>
      </c>
      <c r="B1817" s="138">
        <f>'Tax Sched 23'!E12</f>
        <v>25443</v>
      </c>
      <c r="D1817" s="2" t="str">
        <f t="shared" si="27"/>
        <v>Error?</v>
      </c>
    </row>
    <row r="1818" spans="1:4" x14ac:dyDescent="0.2">
      <c r="A1818" s="5">
        <v>1757</v>
      </c>
      <c r="B1818" s="138">
        <f>'Tax Sched 23'!E14</f>
        <v>10177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1205802</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300000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10899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10899</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10899</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201200</v>
      </c>
      <c r="D2008" s="2" t="str">
        <f t="shared" si="30"/>
        <v>Error?</v>
      </c>
    </row>
    <row r="2009" spans="1:4" x14ac:dyDescent="0.2">
      <c r="A2009" s="5">
        <v>1948</v>
      </c>
      <c r="B2009" s="138">
        <f>'Cap Outlay Deprec 26'!C8</f>
        <v>1155264</v>
      </c>
      <c r="D2009" s="2" t="str">
        <f t="shared" si="30"/>
        <v>Error?</v>
      </c>
    </row>
    <row r="2010" spans="1:4" x14ac:dyDescent="0.2">
      <c r="A2010" s="5">
        <v>1949</v>
      </c>
      <c r="B2010" s="138">
        <f>'Cap Outlay Deprec 26'!C10</f>
        <v>343951</v>
      </c>
      <c r="D2010" s="2" t="str">
        <f t="shared" si="30"/>
        <v>Error?</v>
      </c>
    </row>
    <row r="2011" spans="1:4" x14ac:dyDescent="0.2">
      <c r="A2011" s="5">
        <v>1950</v>
      </c>
      <c r="B2011" s="138">
        <f>'Cap Outlay Deprec 26'!C12</f>
        <v>267420</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1967835</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34180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34180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201200</v>
      </c>
      <c r="C2026" s="2" t="s">
        <v>573</v>
      </c>
      <c r="D2026" s="2" t="str">
        <f t="shared" si="30"/>
        <v>Error?</v>
      </c>
    </row>
    <row r="2027" spans="1:4" x14ac:dyDescent="0.2">
      <c r="A2027" s="5">
        <v>1966</v>
      </c>
      <c r="B2027" s="138">
        <f>'Cap Outlay Deprec 26'!F8</f>
        <v>1189444</v>
      </c>
      <c r="C2027" s="2" t="s">
        <v>573</v>
      </c>
      <c r="D2027" s="2" t="str">
        <f t="shared" si="30"/>
        <v>Error?</v>
      </c>
    </row>
    <row r="2028" spans="1:4" x14ac:dyDescent="0.2">
      <c r="A2028" s="5">
        <v>1967</v>
      </c>
      <c r="B2028" s="138">
        <f>'Cap Outlay Deprec 26'!F10</f>
        <v>343951</v>
      </c>
      <c r="C2028" s="2" t="s">
        <v>573</v>
      </c>
      <c r="D2028" s="2" t="str">
        <f t="shared" si="30"/>
        <v>Error?</v>
      </c>
    </row>
    <row r="2029" spans="1:4" x14ac:dyDescent="0.2">
      <c r="A2029" s="5">
        <v>1968</v>
      </c>
      <c r="B2029" s="138">
        <f>'Cap Outlay Deprec 26'!F12</f>
        <v>267420</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2002015</v>
      </c>
      <c r="C2031" s="2" t="s">
        <v>573</v>
      </c>
      <c r="D2031" s="2" t="str">
        <f t="shared" si="30"/>
        <v>Error?</v>
      </c>
    </row>
    <row r="2032" spans="1:4" x14ac:dyDescent="0.2">
      <c r="A2032" s="10">
        <v>1971</v>
      </c>
      <c r="D2032" s="2" t="str">
        <f t="shared" si="30"/>
        <v>OK</v>
      </c>
    </row>
    <row r="2033" spans="1:4" x14ac:dyDescent="0.2">
      <c r="A2033" s="5">
        <v>1972</v>
      </c>
      <c r="B2033" s="138">
        <f>'Cap Outlay Deprec 26'!H8</f>
        <v>468846</v>
      </c>
      <c r="D2033" s="2" t="str">
        <f t="shared" si="30"/>
        <v>Error?</v>
      </c>
    </row>
    <row r="2034" spans="1:4" x14ac:dyDescent="0.2">
      <c r="A2034" s="5">
        <v>1973</v>
      </c>
      <c r="B2034" s="138">
        <f>'Cap Outlay Deprec 26'!H10</f>
        <v>282944</v>
      </c>
      <c r="D2034" s="2" t="str">
        <f t="shared" si="30"/>
        <v>Error?</v>
      </c>
    </row>
    <row r="2035" spans="1:4" x14ac:dyDescent="0.2">
      <c r="A2035" s="5">
        <v>1974</v>
      </c>
      <c r="B2035" s="138">
        <f>'Cap Outlay Deprec 26'!H12</f>
        <v>161200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912990</v>
      </c>
      <c r="C2037" s="2" t="s">
        <v>573</v>
      </c>
      <c r="D2037" s="2" t="str">
        <f t="shared" si="30"/>
        <v>Error?</v>
      </c>
    </row>
    <row r="2038" spans="1:4" x14ac:dyDescent="0.2">
      <c r="A2038" s="10">
        <v>1977</v>
      </c>
      <c r="D2038" s="2" t="str">
        <f t="shared" si="30"/>
        <v>OK</v>
      </c>
    </row>
    <row r="2039" spans="1:4" x14ac:dyDescent="0.2">
      <c r="A2039" s="5">
        <v>1978</v>
      </c>
      <c r="B2039" s="138">
        <f>'Cap Outlay Deprec 26'!I8</f>
        <v>35050</v>
      </c>
      <c r="D2039" s="2" t="str">
        <f t="shared" si="30"/>
        <v>Error?</v>
      </c>
    </row>
    <row r="2040" spans="1:4" x14ac:dyDescent="0.2">
      <c r="A2040" s="5">
        <v>1979</v>
      </c>
      <c r="B2040" s="138">
        <f>'Cap Outlay Deprec 26'!I10</f>
        <v>14802</v>
      </c>
      <c r="D2040" s="2" t="str">
        <f t="shared" si="30"/>
        <v>Error?</v>
      </c>
    </row>
    <row r="2041" spans="1:4" x14ac:dyDescent="0.2">
      <c r="A2041" s="5">
        <v>1980</v>
      </c>
      <c r="B2041" s="138">
        <f>'Cap Outlay Deprec 26'!I12</f>
        <v>26742</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76594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503896</v>
      </c>
      <c r="C2051" s="2" t="s">
        <v>573</v>
      </c>
      <c r="D2051" s="2" t="str">
        <f t="shared" si="31"/>
        <v>Error?</v>
      </c>
    </row>
    <row r="2052" spans="1:4" x14ac:dyDescent="0.2">
      <c r="A2052" s="5">
        <v>1991</v>
      </c>
      <c r="B2052" s="138">
        <f>'Cap Outlay Deprec 26'!K10</f>
        <v>297746</v>
      </c>
      <c r="C2052" s="2" t="s">
        <v>573</v>
      </c>
      <c r="D2052" s="2" t="str">
        <f t="shared" si="31"/>
        <v>Error?</v>
      </c>
    </row>
    <row r="2053" spans="1:4" x14ac:dyDescent="0.2">
      <c r="A2053" s="5">
        <v>1992</v>
      </c>
      <c r="B2053" s="138">
        <f>'Cap Outlay Deprec 26'!K12</f>
        <v>187942</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989584</v>
      </c>
      <c r="C2055" s="2" t="s">
        <v>573</v>
      </c>
      <c r="D2055" s="2" t="str">
        <f t="shared" si="31"/>
        <v>Error?</v>
      </c>
    </row>
    <row r="2056" spans="1:4" x14ac:dyDescent="0.2">
      <c r="A2056" s="5">
        <v>1995</v>
      </c>
      <c r="B2056" s="138">
        <f>'Cap Outlay Deprec 26'!L5</f>
        <v>201200</v>
      </c>
      <c r="C2056" s="2" t="s">
        <v>573</v>
      </c>
      <c r="D2056" s="2" t="str">
        <f t="shared" si="31"/>
        <v>Error?</v>
      </c>
    </row>
    <row r="2057" spans="1:4" x14ac:dyDescent="0.2">
      <c r="A2057" s="5">
        <v>1996</v>
      </c>
      <c r="B2057" s="138">
        <f>'Cap Outlay Deprec 26'!L8</f>
        <v>685548</v>
      </c>
      <c r="C2057" s="2" t="s">
        <v>573</v>
      </c>
      <c r="D2057" s="2" t="str">
        <f t="shared" si="31"/>
        <v>Error?</v>
      </c>
    </row>
    <row r="2058" spans="1:4" x14ac:dyDescent="0.2">
      <c r="A2058" s="5">
        <v>1997</v>
      </c>
      <c r="B2058" s="138">
        <f>'Cap Outlay Deprec 26'!L10</f>
        <v>46205</v>
      </c>
      <c r="C2058" s="2" t="s">
        <v>573</v>
      </c>
      <c r="D2058" s="2" t="str">
        <f t="shared" si="31"/>
        <v>Error?</v>
      </c>
    </row>
    <row r="2059" spans="1:4" x14ac:dyDescent="0.2">
      <c r="A2059" s="5">
        <v>1998</v>
      </c>
      <c r="B2059" s="138">
        <f>'Cap Outlay Deprec 26'!L12</f>
        <v>79478</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1012431</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15542</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42498</v>
      </c>
      <c r="C2088" s="2" t="s">
        <v>573</v>
      </c>
      <c r="D2088" s="2" t="str">
        <f t="shared" si="31"/>
        <v>Error?</v>
      </c>
    </row>
    <row r="2089" spans="1:4" x14ac:dyDescent="0.2">
      <c r="A2089" s="5">
        <v>2028</v>
      </c>
      <c r="B2089" s="138">
        <f>'Expenditures 15-22'!K92</f>
        <v>36677</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182812</v>
      </c>
      <c r="D2435" s="2" t="str">
        <f t="shared" si="37"/>
        <v>Error?</v>
      </c>
    </row>
    <row r="2436" spans="1:4" x14ac:dyDescent="0.2">
      <c r="A2436" s="10">
        <v>2375</v>
      </c>
      <c r="D2436" s="2" t="str">
        <f t="shared" si="37"/>
        <v>OK</v>
      </c>
    </row>
    <row r="2437" spans="1:4" x14ac:dyDescent="0.2">
      <c r="A2437" s="5">
        <v>2376</v>
      </c>
      <c r="B2437" s="138">
        <f>'Assets-Liab 5-6'!D38</f>
        <v>691</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25035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1067573</v>
      </c>
      <c r="C2551" s="2" t="s">
        <v>573</v>
      </c>
      <c r="D2551" s="2" t="str">
        <f t="shared" si="38"/>
        <v>Error?</v>
      </c>
    </row>
    <row r="2552" spans="1:4" x14ac:dyDescent="0.2">
      <c r="A2552" s="10">
        <v>2491</v>
      </c>
      <c r="D2552" s="2" t="str">
        <f t="shared" si="38"/>
        <v>OK</v>
      </c>
    </row>
    <row r="2553" spans="1:4" x14ac:dyDescent="0.2">
      <c r="A2553" s="5">
        <v>2492</v>
      </c>
      <c r="B2553" s="138">
        <f>'Acct Summary 7-8'!C6</f>
        <v>87157</v>
      </c>
      <c r="C2553" s="2" t="s">
        <v>573</v>
      </c>
      <c r="D2553" s="2" t="str">
        <f t="shared" si="38"/>
        <v>Error?</v>
      </c>
    </row>
    <row r="2554" spans="1:4" x14ac:dyDescent="0.2">
      <c r="A2554" s="5">
        <v>2493</v>
      </c>
      <c r="B2554" s="138">
        <f>'Acct Summary 7-8'!C7</f>
        <v>71875</v>
      </c>
      <c r="C2554" s="2" t="s">
        <v>573</v>
      </c>
      <c r="D2554" s="2" t="str">
        <f t="shared" si="38"/>
        <v>Error?</v>
      </c>
    </row>
    <row r="2555" spans="1:4" x14ac:dyDescent="0.2">
      <c r="A2555" s="5">
        <v>2494</v>
      </c>
      <c r="B2555" s="138">
        <f>'Acct Summary 7-8'!C8</f>
        <v>1226605</v>
      </c>
      <c r="C2555" s="2" t="s">
        <v>573</v>
      </c>
      <c r="D2555" s="2" t="str">
        <f t="shared" si="38"/>
        <v>Error?</v>
      </c>
    </row>
    <row r="2556" spans="1:4" x14ac:dyDescent="0.2">
      <c r="A2556" s="5">
        <v>2495</v>
      </c>
      <c r="B2556" s="138">
        <f>'Acct Summary 7-8'!C12</f>
        <v>958422</v>
      </c>
      <c r="C2556" s="2" t="s">
        <v>573</v>
      </c>
      <c r="D2556" s="2" t="str">
        <f t="shared" si="38"/>
        <v>Error?</v>
      </c>
    </row>
    <row r="2557" spans="1:4" x14ac:dyDescent="0.2">
      <c r="A2557" s="5">
        <v>2496</v>
      </c>
      <c r="B2557" s="138">
        <f>'Acct Summary 7-8'!C13</f>
        <v>331947</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79175</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1369544</v>
      </c>
      <c r="C2561" s="2" t="s">
        <v>573</v>
      </c>
      <c r="D2561" s="2" t="str">
        <f t="shared" si="39"/>
        <v>Error?</v>
      </c>
    </row>
    <row r="2562" spans="1:4" x14ac:dyDescent="0.2">
      <c r="A2562" s="5">
        <v>2501</v>
      </c>
      <c r="B2562" s="138">
        <f>'Acct Summary 7-8'!C20</f>
        <v>-142939</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141938</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141938</v>
      </c>
      <c r="C2568" s="2" t="s">
        <v>573</v>
      </c>
      <c r="D2568" s="2" t="str">
        <f t="shared" si="39"/>
        <v>Error?</v>
      </c>
    </row>
    <row r="2569" spans="1:4" x14ac:dyDescent="0.2">
      <c r="A2569" s="5">
        <v>2508</v>
      </c>
      <c r="B2569" s="138">
        <f>'Acct Summary 7-8'!D13</f>
        <v>147907</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147907</v>
      </c>
      <c r="C2573" s="2" t="s">
        <v>573</v>
      </c>
      <c r="D2573" s="2" t="str">
        <f t="shared" si="39"/>
        <v>Error?</v>
      </c>
    </row>
    <row r="2574" spans="1:4" x14ac:dyDescent="0.2">
      <c r="A2574" s="5">
        <v>2513</v>
      </c>
      <c r="B2574" s="138">
        <f>'Acct Summary 7-8'!D20</f>
        <v>-5969</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65334</v>
      </c>
      <c r="C2591" s="2" t="s">
        <v>573</v>
      </c>
      <c r="D2591" s="2" t="str">
        <f t="shared" si="39"/>
        <v>Error?</v>
      </c>
    </row>
    <row r="2592" spans="1:4" x14ac:dyDescent="0.2">
      <c r="A2592" s="10">
        <v>2531</v>
      </c>
      <c r="D2592" s="2" t="str">
        <f t="shared" si="39"/>
        <v>OK</v>
      </c>
    </row>
    <row r="2593" spans="1:4" x14ac:dyDescent="0.2">
      <c r="A2593" s="5">
        <v>2532</v>
      </c>
      <c r="B2593" s="138">
        <f>'Acct Summary 7-8'!F6</f>
        <v>76860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142194</v>
      </c>
      <c r="C2595" s="2" t="s">
        <v>573</v>
      </c>
      <c r="D2595" s="2" t="str">
        <f t="shared" si="39"/>
        <v>Error?</v>
      </c>
    </row>
    <row r="2596" spans="1:4" x14ac:dyDescent="0.2">
      <c r="A2596" s="5">
        <v>2535</v>
      </c>
      <c r="B2596" s="138">
        <f>'Acct Summary 7-8'!F13</f>
        <v>161466</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161466</v>
      </c>
      <c r="C2600" s="2" t="s">
        <v>573</v>
      </c>
      <c r="D2600" s="2" t="str">
        <f t="shared" si="39"/>
        <v>Error?</v>
      </c>
    </row>
    <row r="2601" spans="1:4" x14ac:dyDescent="0.2">
      <c r="A2601" s="5">
        <v>2540</v>
      </c>
      <c r="B2601" s="138">
        <f>'Acct Summary 7-8'!F20</f>
        <v>-19272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41479</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41479</v>
      </c>
      <c r="C2606" s="2" t="s">
        <v>573</v>
      </c>
      <c r="D2606" s="2" t="str">
        <f t="shared" si="39"/>
        <v>Error?</v>
      </c>
    </row>
    <row r="2607" spans="1:4" x14ac:dyDescent="0.2">
      <c r="A2607" s="5">
        <v>2546</v>
      </c>
      <c r="B2607" s="138">
        <f>'Acct Summary 7-8'!G12</f>
        <v>14817</v>
      </c>
      <c r="C2607" s="2" t="s">
        <v>573</v>
      </c>
      <c r="D2607" s="2" t="str">
        <f t="shared" si="39"/>
        <v>Error?</v>
      </c>
    </row>
    <row r="2608" spans="1:4" x14ac:dyDescent="0.2">
      <c r="A2608" s="5">
        <v>2547</v>
      </c>
      <c r="B2608" s="138">
        <f>'Acct Summary 7-8'!G13</f>
        <v>19258</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34075</v>
      </c>
      <c r="C2612" s="2" t="s">
        <v>573</v>
      </c>
      <c r="D2612" s="2" t="str">
        <f t="shared" si="39"/>
        <v>Error?</v>
      </c>
    </row>
    <row r="2613" spans="1:4" x14ac:dyDescent="0.2">
      <c r="A2613" s="5">
        <v>2552</v>
      </c>
      <c r="B2613" s="138">
        <f>'Acct Summary 7-8'!G20</f>
        <v>7404</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104889</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104889</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105208</v>
      </c>
      <c r="C2634" s="2" t="s">
        <v>573</v>
      </c>
      <c r="D2634" s="2" t="str">
        <f t="shared" si="40"/>
        <v>Error?</v>
      </c>
    </row>
    <row r="2635" spans="1:4" x14ac:dyDescent="0.2">
      <c r="A2635" s="5">
        <v>2574</v>
      </c>
      <c r="B2635" s="138">
        <f>'Acct Summary 7-8'!E17</f>
        <v>105208</v>
      </c>
      <c r="C2635" s="2" t="s">
        <v>573</v>
      </c>
      <c r="D2635" s="2" t="str">
        <f t="shared" si="40"/>
        <v>Error?</v>
      </c>
    </row>
    <row r="2636" spans="1:4" x14ac:dyDescent="0.2">
      <c r="A2636" s="5">
        <v>2575</v>
      </c>
      <c r="B2636" s="138">
        <f>'Acct Summary 7-8'!E20</f>
        <v>-319</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26956</v>
      </c>
      <c r="C2789" s="2" t="s">
        <v>573</v>
      </c>
      <c r="D2789" s="2" t="str">
        <f t="shared" si="42"/>
        <v>Error?</v>
      </c>
    </row>
    <row r="2790" spans="1:4" x14ac:dyDescent="0.2">
      <c r="A2790" s="5">
        <v>2729</v>
      </c>
      <c r="B2790" s="138">
        <f>'Expenditures 15-22'!E102</f>
        <v>26956</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222670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11843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222670</v>
      </c>
      <c r="D2912" s="2" t="str">
        <f t="shared" si="44"/>
        <v>Error?</v>
      </c>
    </row>
    <row r="2913" spans="1:4" x14ac:dyDescent="0.2">
      <c r="A2913" s="5">
        <v>2852</v>
      </c>
      <c r="B2913" s="138">
        <f>'Assets-Liab 5-6'!I41</f>
        <v>222670</v>
      </c>
      <c r="C2913" s="2" t="s">
        <v>573</v>
      </c>
      <c r="D2913" s="2" t="str">
        <f t="shared" si="44"/>
        <v>Error?</v>
      </c>
    </row>
    <row r="2914" spans="1:4" x14ac:dyDescent="0.2">
      <c r="A2914" s="5">
        <v>2853</v>
      </c>
      <c r="B2914" s="138">
        <f>'Assets-Liab 5-6'!L33</f>
        <v>11843</v>
      </c>
      <c r="D2914" s="2" t="str">
        <f t="shared" si="44"/>
        <v>Error?</v>
      </c>
    </row>
    <row r="2915" spans="1:4" x14ac:dyDescent="0.2">
      <c r="A2915" s="10">
        <v>2854</v>
      </c>
      <c r="D2915" s="2" t="str">
        <f t="shared" si="44"/>
        <v>OK</v>
      </c>
    </row>
    <row r="2916" spans="1:4" x14ac:dyDescent="0.2">
      <c r="A2916" s="5">
        <v>2855</v>
      </c>
      <c r="B2916" s="138">
        <f>'Assets-Liab 5-6'!L34</f>
        <v>11843</v>
      </c>
      <c r="C2916" s="2" t="s">
        <v>573</v>
      </c>
      <c r="D2916" s="2" t="str">
        <f t="shared" si="44"/>
        <v>Error?</v>
      </c>
    </row>
    <row r="2917" spans="1:4" x14ac:dyDescent="0.2">
      <c r="A2917" s="5">
        <v>2856</v>
      </c>
      <c r="B2917" s="138">
        <f>'Assets-Liab 5-6'!L41</f>
        <v>11843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7320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1500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18136</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15542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22862</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1500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18136</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27384</v>
      </c>
      <c r="C3225" s="2" t="s">
        <v>573</v>
      </c>
      <c r="D3225" s="2" t="str">
        <f t="shared" si="49"/>
        <v>Error?</v>
      </c>
    </row>
    <row r="3226" spans="1:4" x14ac:dyDescent="0.2">
      <c r="A3226" s="5">
        <v>3165</v>
      </c>
      <c r="B3226" s="138">
        <f>'Acct Summary 7-8'!I8</f>
        <v>27384</v>
      </c>
      <c r="C3226" s="2" t="s">
        <v>573</v>
      </c>
      <c r="D3226" s="2" t="str">
        <f t="shared" si="49"/>
        <v>Error?</v>
      </c>
    </row>
    <row r="3227" spans="1:4" x14ac:dyDescent="0.2">
      <c r="A3227" s="5">
        <v>3166</v>
      </c>
      <c r="B3227" s="138">
        <f>'Acct Summary 7-8'!I20</f>
        <v>27384</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-142939</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-5969</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-19272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7404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-319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27384</v>
      </c>
      <c r="C3320" s="2" t="s">
        <v>573</v>
      </c>
      <c r="D3320" s="2" t="str">
        <f t="shared" si="50"/>
        <v>Error?</v>
      </c>
    </row>
    <row r="3321" spans="1:4" x14ac:dyDescent="0.2">
      <c r="A3321" s="5">
        <v>3260</v>
      </c>
      <c r="B3321" s="138">
        <f>'Acct Summary 7-8'!I79</f>
        <v>195286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222670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63666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4135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838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58971</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127685</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12119</v>
      </c>
      <c r="D3387" s="2" t="str">
        <f t="shared" si="51"/>
        <v>Error?</v>
      </c>
    </row>
    <row r="3388" spans="1:4" x14ac:dyDescent="0.2">
      <c r="A3388" s="5">
        <v>3327</v>
      </c>
      <c r="B3388" s="138">
        <f>'Expenditures 15-22'!D217</f>
        <v>2677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12119</v>
      </c>
      <c r="C3390" s="2" t="s">
        <v>573</v>
      </c>
      <c r="D3390" s="2" t="str">
        <f t="shared" si="51"/>
        <v>Error?</v>
      </c>
    </row>
    <row r="3391" spans="1:4" x14ac:dyDescent="0.2">
      <c r="A3391" s="5">
        <v>3330</v>
      </c>
      <c r="B3391" s="138">
        <f>'Expenditures 15-22'!K217</f>
        <v>2677</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409624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61871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69486</v>
      </c>
      <c r="D3417" s="2" t="str">
        <f t="shared" si="52"/>
        <v>Error?</v>
      </c>
    </row>
    <row r="3418" spans="1:4" x14ac:dyDescent="0.2">
      <c r="A3418" s="10">
        <v>3357</v>
      </c>
      <c r="D3418" s="2" t="str">
        <f t="shared" si="52"/>
        <v>OK</v>
      </c>
    </row>
    <row r="3419" spans="1:4" x14ac:dyDescent="0.2">
      <c r="A3419" s="5">
        <v>3358</v>
      </c>
      <c r="B3419" s="138">
        <f>'Assets-Liab 5-6'!F4</f>
        <v>32832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25035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222670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11843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58203</v>
      </c>
      <c r="C3449" s="2" t="s">
        <v>573</v>
      </c>
      <c r="D3449" s="2" t="str">
        <f t="shared" si="52"/>
        <v>Error?</v>
      </c>
    </row>
    <row r="3450" spans="1:4" x14ac:dyDescent="0.2">
      <c r="A3450" s="5">
        <v>3389</v>
      </c>
      <c r="B3450" s="138">
        <f>'Tax Sched 23'!E16</f>
        <v>58203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30450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30450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30450</v>
      </c>
      <c r="D3567" s="2" t="str">
        <f t="shared" si="54"/>
        <v>Error?</v>
      </c>
    </row>
    <row r="3568" spans="1:4" x14ac:dyDescent="0.2">
      <c r="A3568" s="5">
        <v>3507</v>
      </c>
      <c r="B3568" s="138">
        <f>'Assets-Liab 5-6'!K41</f>
        <v>30450</v>
      </c>
      <c r="C3568" s="2" t="s">
        <v>573</v>
      </c>
      <c r="D3568" s="2" t="str">
        <f t="shared" si="54"/>
        <v>Error?</v>
      </c>
    </row>
    <row r="3569" spans="1:4" x14ac:dyDescent="0.2">
      <c r="A3569" s="5">
        <v>3508</v>
      </c>
      <c r="B3569" s="138">
        <f>'Acct Summary 7-8'!K4</f>
        <v>27256</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27256</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27256</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27256</v>
      </c>
      <c r="C3588" s="2" t="s">
        <v>573</v>
      </c>
      <c r="D3588" s="2" t="str">
        <f t="shared" si="55"/>
        <v>Error?</v>
      </c>
    </row>
    <row r="3589" spans="1:4" x14ac:dyDescent="0.2">
      <c r="A3589" s="5">
        <v>3528</v>
      </c>
      <c r="B3589" s="138">
        <f>'Acct Summary 7-8'!K79</f>
        <v>3194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30450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27256</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27190</v>
      </c>
      <c r="C3725" s="2" t="s">
        <v>573</v>
      </c>
      <c r="D3725" s="2" t="str">
        <f t="shared" si="57"/>
        <v>Error?</v>
      </c>
    </row>
    <row r="3726" spans="1:4" x14ac:dyDescent="0.2">
      <c r="A3726" s="5">
        <v>3665</v>
      </c>
      <c r="B3726" s="138">
        <f>'Tax Sched 23'!D13</f>
        <v>27190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10203</v>
      </c>
      <c r="C3728" s="2" t="s">
        <v>573</v>
      </c>
      <c r="D3728" s="2" t="str">
        <f t="shared" si="57"/>
        <v>Error?</v>
      </c>
    </row>
    <row r="3729" spans="1:4" x14ac:dyDescent="0.2">
      <c r="A3729" s="5">
        <v>3668</v>
      </c>
      <c r="B3729" s="138">
        <f>'Tax Sched 23'!E13</f>
        <v>10203</v>
      </c>
      <c r="D3729" s="2" t="str">
        <f t="shared" si="57"/>
        <v>Error?</v>
      </c>
    </row>
    <row r="3730" spans="1:4" x14ac:dyDescent="0.2">
      <c r="A3730" s="5">
        <v>3669</v>
      </c>
      <c r="B3730" s="138">
        <f>'ICR Computation 30'!E10</f>
        <v>15189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89615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1316220</v>
      </c>
      <c r="C4122" s="2" t="s">
        <v>573</v>
      </c>
      <c r="D4122" s="2" t="str">
        <f t="shared" si="63"/>
        <v>Error?</v>
      </c>
    </row>
    <row r="4123" spans="1:4" x14ac:dyDescent="0.2">
      <c r="A4123" s="5">
        <v>4062</v>
      </c>
      <c r="B4123" s="138">
        <f>'Acct Summary 7-8'!D10</f>
        <v>141938</v>
      </c>
      <c r="C4123" s="2" t="s">
        <v>573</v>
      </c>
      <c r="D4123" s="2" t="str">
        <f t="shared" si="63"/>
        <v>Error?</v>
      </c>
    </row>
    <row r="4124" spans="1:4" x14ac:dyDescent="0.2">
      <c r="A4124" s="5">
        <v>4063</v>
      </c>
      <c r="B4124" s="138">
        <f>'Acct Summary 7-8'!E10</f>
        <v>104889</v>
      </c>
      <c r="C4124" s="2" t="s">
        <v>573</v>
      </c>
      <c r="D4124" s="2" t="str">
        <f t="shared" si="63"/>
        <v>Error?</v>
      </c>
    </row>
    <row r="4125" spans="1:4" x14ac:dyDescent="0.2">
      <c r="A4125" s="5">
        <v>4064</v>
      </c>
      <c r="B4125" s="138">
        <f>'Acct Summary 7-8'!F10</f>
        <v>142194</v>
      </c>
      <c r="C4125" s="2" t="s">
        <v>573</v>
      </c>
      <c r="D4125" s="2" t="str">
        <f t="shared" si="63"/>
        <v>Error?</v>
      </c>
    </row>
    <row r="4126" spans="1:4" x14ac:dyDescent="0.2">
      <c r="A4126" s="5">
        <v>4065</v>
      </c>
      <c r="B4126" s="138">
        <f>'Acct Summary 7-8'!G10</f>
        <v>41479</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27384</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27256</v>
      </c>
      <c r="C4130" s="2" t="s">
        <v>573</v>
      </c>
      <c r="D4130" s="2" t="str">
        <f t="shared" si="63"/>
        <v>Error?</v>
      </c>
    </row>
    <row r="4131" spans="1:4" x14ac:dyDescent="0.2">
      <c r="A4131" s="5">
        <v>4070</v>
      </c>
      <c r="B4131" s="138">
        <f>'Acct Summary 7-8'!C18</f>
        <v>89615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1459159</v>
      </c>
      <c r="C4136" s="2" t="s">
        <v>573</v>
      </c>
      <c r="D4136" s="2" t="str">
        <f t="shared" si="63"/>
        <v>Error?</v>
      </c>
    </row>
    <row r="4137" spans="1:4" x14ac:dyDescent="0.2">
      <c r="A4137" s="5">
        <v>4076</v>
      </c>
      <c r="B4137" s="138">
        <f>'Acct Summary 7-8'!D19</f>
        <v>147907</v>
      </c>
      <c r="C4137" s="2" t="s">
        <v>573</v>
      </c>
      <c r="D4137" s="2" t="str">
        <f t="shared" si="63"/>
        <v>Error?</v>
      </c>
    </row>
    <row r="4138" spans="1:4" x14ac:dyDescent="0.2">
      <c r="A4138" s="5">
        <v>4077</v>
      </c>
      <c r="B4138" s="138">
        <f>'Acct Summary 7-8'!E19</f>
        <v>105208</v>
      </c>
      <c r="C4138" s="2" t="s">
        <v>573</v>
      </c>
      <c r="D4138" s="2" t="str">
        <f t="shared" si="63"/>
        <v>Error?</v>
      </c>
    </row>
    <row r="4139" spans="1:4" x14ac:dyDescent="0.2">
      <c r="A4139" s="5">
        <v>4078</v>
      </c>
      <c r="B4139" s="138">
        <f>'Acct Summary 7-8'!F19</f>
        <v>161466</v>
      </c>
      <c r="C4139" s="2" t="s">
        <v>573</v>
      </c>
      <c r="D4139" s="2" t="str">
        <f t="shared" si="63"/>
        <v>Error?</v>
      </c>
    </row>
    <row r="4140" spans="1:4" x14ac:dyDescent="0.2">
      <c r="A4140" s="5">
        <v>4079</v>
      </c>
      <c r="B4140" s="138">
        <f>'Acct Summary 7-8'!G19</f>
        <v>34075</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205000</v>
      </c>
      <c r="C4171" s="2" t="s">
        <v>573</v>
      </c>
      <c r="D4171" s="2" t="str">
        <f t="shared" si="64"/>
        <v>Error?</v>
      </c>
    </row>
    <row r="4172" spans="1:4" x14ac:dyDescent="0.2">
      <c r="A4172" s="5">
        <v>4111</v>
      </c>
      <c r="B4172" s="138">
        <f>'Short-Term Long-Term Debt 24'!J49</f>
        <v>135514</v>
      </c>
      <c r="C4172" s="2" t="s">
        <v>573</v>
      </c>
      <c r="D4172" s="2" t="str">
        <f t="shared" si="64"/>
        <v>Error?</v>
      </c>
    </row>
    <row r="4173" spans="1:4" x14ac:dyDescent="0.2">
      <c r="A4173" s="5">
        <v>4112</v>
      </c>
      <c r="B4173" s="138">
        <f>'Short-Term Long-Term Debt 24'!H49</f>
        <v>95000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1420</v>
      </c>
      <c r="C4265" s="2" t="s">
        <v>573</v>
      </c>
      <c r="D4265" s="2" t="str">
        <f t="shared" si="65"/>
        <v>Error?</v>
      </c>
      <c r="E4265" s="128"/>
    </row>
    <row r="4266" spans="1:5" x14ac:dyDescent="0.2">
      <c r="A4266" s="12">
        <v>4205</v>
      </c>
      <c r="B4266" s="138">
        <f>('FP Info 3'!F10)*100000</f>
        <v>381</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1921.0000000000002</v>
      </c>
      <c r="C4268" s="2" t="s">
        <v>573</v>
      </c>
      <c r="D4268" s="2" t="str">
        <f t="shared" si="65"/>
        <v>Error?</v>
      </c>
    </row>
    <row r="4269" spans="1:5" x14ac:dyDescent="0.2">
      <c r="A4269" s="12">
        <v>4208</v>
      </c>
      <c r="B4269" s="138">
        <f>'FP Info 3'!J16</f>
        <v>726997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5363</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6281</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7558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410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50885608</v>
      </c>
      <c r="D4995" s="2" t="str">
        <f t="shared" si="77"/>
        <v>Error?</v>
      </c>
    </row>
    <row r="4996" spans="1:4" x14ac:dyDescent="0.2">
      <c r="A4996" s="12">
        <v>4935</v>
      </c>
      <c r="B4996" s="138">
        <f>'FP Info 3'!H31</f>
        <v>3511106.9520000005</v>
      </c>
      <c r="D4996" s="2" t="str">
        <f t="shared" si="77"/>
        <v>Error?</v>
      </c>
    </row>
    <row r="4997" spans="1:4" x14ac:dyDescent="0.2">
      <c r="A4997" s="12">
        <v>4936</v>
      </c>
      <c r="B4997" s="138">
        <f>'FP Info 3'!H37</f>
        <v>205000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27190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771181</v>
      </c>
      <c r="D5061" s="2" t="str">
        <f t="shared" si="78"/>
        <v>Error?</v>
      </c>
    </row>
    <row r="5062" spans="1:4" x14ac:dyDescent="0.2">
      <c r="A5062" s="10">
        <v>5001</v>
      </c>
      <c r="D5062" s="2" t="str">
        <f t="shared" si="78"/>
        <v>OK</v>
      </c>
    </row>
    <row r="5063" spans="1:4" x14ac:dyDescent="0.2">
      <c r="A5063" s="5">
        <v>5002</v>
      </c>
      <c r="B5063" s="138">
        <f>'Revenues 9-14'!C7</f>
        <v>10899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809270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63673</v>
      </c>
      <c r="D5069" s="2" t="str">
        <f t="shared" si="78"/>
        <v>Error?</v>
      </c>
    </row>
    <row r="5070" spans="1:4" x14ac:dyDescent="0.2">
      <c r="A5070" s="5">
        <v>5009</v>
      </c>
      <c r="B5070" s="138">
        <f>'Revenues 9-14'!C17</f>
        <v>2760</v>
      </c>
      <c r="D5070" s="2" t="str">
        <f t="shared" si="78"/>
        <v>Error?</v>
      </c>
    </row>
    <row r="5071" spans="1:4" x14ac:dyDescent="0.2">
      <c r="A5071" s="5">
        <v>5010</v>
      </c>
      <c r="B5071" s="138">
        <f>'Revenues 9-14'!C18</f>
        <v>66433</v>
      </c>
      <c r="C5071" s="2" t="s">
        <v>573</v>
      </c>
      <c r="D5071" s="2" t="str">
        <f t="shared" si="78"/>
        <v>Error?</v>
      </c>
    </row>
    <row r="5072" spans="1:4" x14ac:dyDescent="0.2">
      <c r="A5072" s="5">
        <v>5011</v>
      </c>
      <c r="B5072" s="138">
        <f>'Revenues 9-14'!C20</f>
        <v>665</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665</v>
      </c>
      <c r="C5087" s="2" t="s">
        <v>573</v>
      </c>
      <c r="D5087" s="2" t="str">
        <f t="shared" si="78"/>
        <v>Error?</v>
      </c>
    </row>
    <row r="5088" spans="1:4" x14ac:dyDescent="0.2">
      <c r="A5088" s="5">
        <v>5027</v>
      </c>
      <c r="B5088" s="138">
        <f>'Revenues 9-14'!C65</f>
        <v>9514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9514</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561</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15950</v>
      </c>
      <c r="C5096" s="2" t="s">
        <v>573</v>
      </c>
      <c r="D5096" s="2" t="str">
        <f t="shared" si="78"/>
        <v>Error?</v>
      </c>
    </row>
    <row r="5097" spans="1:4" x14ac:dyDescent="0.2">
      <c r="A5097" s="5">
        <v>5036</v>
      </c>
      <c r="B5097" s="138">
        <f>'Revenues 9-14'!C77</f>
        <v>2610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900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3510</v>
      </c>
      <c r="C5102" s="2" t="s">
        <v>573</v>
      </c>
      <c r="D5102" s="2" t="str">
        <f t="shared" si="78"/>
        <v>Error?</v>
      </c>
    </row>
    <row r="5103" spans="1:4" x14ac:dyDescent="0.2">
      <c r="A5103" s="5">
        <v>5042</v>
      </c>
      <c r="B5103" s="138">
        <f>'Revenues 9-14'!C84</f>
        <v>3006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3006</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130002</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2351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26872</v>
      </c>
      <c r="D5119" s="2" t="str">
        <f t="shared" ref="D5119:D5182" si="79">IF(ISBLANK(B5119),"OK",IF(A5119-B5119=0,"OK","Error?"))</f>
        <v>Error?</v>
      </c>
    </row>
    <row r="5120" spans="1:4" x14ac:dyDescent="0.2">
      <c r="A5120" s="5">
        <v>5059</v>
      </c>
      <c r="B5120" s="138">
        <f>'Revenues 9-14'!C108</f>
        <v>159225</v>
      </c>
      <c r="C5120" s="2" t="s">
        <v>573</v>
      </c>
      <c r="D5120" s="2" t="str">
        <f t="shared" si="79"/>
        <v>Error?</v>
      </c>
    </row>
    <row r="5121" spans="1:4" x14ac:dyDescent="0.2">
      <c r="A5121" s="5">
        <v>5060</v>
      </c>
      <c r="B5121" s="138">
        <f>'Revenues 9-14'!C109</f>
        <v>1067573</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62474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62474</v>
      </c>
      <c r="C5132" s="2" t="s">
        <v>573</v>
      </c>
      <c r="D5132" s="2" t="str">
        <f t="shared" si="79"/>
        <v>Error?</v>
      </c>
    </row>
    <row r="5133" spans="1:4" x14ac:dyDescent="0.2">
      <c r="A5133" s="5">
        <v>5072</v>
      </c>
      <c r="B5133" s="138">
        <f>'Revenues 9-14'!C125</f>
        <v>24358</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24358</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325</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24683</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87157</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10764</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4425</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15189</v>
      </c>
      <c r="C5246" s="2" t="s">
        <v>573</v>
      </c>
      <c r="D5246" s="2" t="str">
        <f t="shared" si="80"/>
        <v>Error?</v>
      </c>
    </row>
    <row r="5247" spans="1:4" x14ac:dyDescent="0.2">
      <c r="A5247" s="5">
        <v>5186</v>
      </c>
      <c r="B5247" s="138">
        <f>'Revenues 9-14'!C200</f>
        <v>22646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6281</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22646</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14838</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14838</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71875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71875</v>
      </c>
      <c r="C5326" s="2" t="s">
        <v>573</v>
      </c>
      <c r="D5326" s="2" t="str">
        <f t="shared" si="82"/>
        <v>Error?</v>
      </c>
    </row>
    <row r="5327" spans="1:5" x14ac:dyDescent="0.2">
      <c r="A5327" s="5">
        <v>5266</v>
      </c>
      <c r="B5327" s="138">
        <f>'Revenues 9-14'!C268</f>
        <v>1226605</v>
      </c>
      <c r="C5327" s="2" t="s">
        <v>573</v>
      </c>
      <c r="D5327" s="2" t="str">
        <f t="shared" si="82"/>
        <v>Error?</v>
      </c>
    </row>
    <row r="5328" spans="1:5" x14ac:dyDescent="0.2">
      <c r="A5328" s="5">
        <v>5267</v>
      </c>
      <c r="B5328" s="138">
        <f>'Revenues 9-14'!D5</f>
        <v>135828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135828</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301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301</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5809</v>
      </c>
      <c r="D5354" s="2" t="str">
        <f t="shared" si="82"/>
        <v>Error?</v>
      </c>
    </row>
    <row r="5355" spans="1:4" x14ac:dyDescent="0.2">
      <c r="A5355" s="5">
        <v>5294</v>
      </c>
      <c r="B5355" s="138">
        <f>'Revenues 9-14'!D108</f>
        <v>5809</v>
      </c>
      <c r="C5355" s="2" t="s">
        <v>573</v>
      </c>
      <c r="D5355" s="2" t="str">
        <f t="shared" si="82"/>
        <v>Error?</v>
      </c>
    </row>
    <row r="5356" spans="1:4" x14ac:dyDescent="0.2">
      <c r="A5356" s="5">
        <v>5295</v>
      </c>
      <c r="B5356" s="138">
        <f>'Revenues 9-14'!D109</f>
        <v>141938</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141938</v>
      </c>
      <c r="C5508" s="2" t="s">
        <v>573</v>
      </c>
      <c r="D5508" s="2" t="str">
        <f t="shared" si="85"/>
        <v>Error?</v>
      </c>
    </row>
    <row r="5509" spans="1:4" x14ac:dyDescent="0.2">
      <c r="A5509" s="5">
        <v>5448</v>
      </c>
      <c r="B5509" s="138">
        <f>'Revenues 9-14'!E5</f>
        <v>104654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104654</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235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235</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104889</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104889</v>
      </c>
      <c r="C5552" s="2" t="s">
        <v>573</v>
      </c>
      <c r="D5552" s="2" t="str">
        <f t="shared" si="85"/>
        <v>Error?</v>
      </c>
    </row>
    <row r="5553" spans="1:4" x14ac:dyDescent="0.2">
      <c r="A5553" s="5">
        <v>5492</v>
      </c>
      <c r="B5553" s="138">
        <f>'Revenues 9-14'!F5</f>
        <v>65169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65169</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165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165</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65334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34706</v>
      </c>
      <c r="D5615" s="2" t="str">
        <f t="shared" si="86"/>
        <v>Error?</v>
      </c>
    </row>
    <row r="5616" spans="1:4" x14ac:dyDescent="0.2">
      <c r="A5616" s="10">
        <v>5555</v>
      </c>
      <c r="D5616" s="2" t="str">
        <f t="shared" si="86"/>
        <v>OK</v>
      </c>
    </row>
    <row r="5617" spans="1:5" x14ac:dyDescent="0.2">
      <c r="A5617" s="5">
        <v>5556</v>
      </c>
      <c r="B5617" s="138">
        <f>'Revenues 9-14'!F153</f>
        <v>41744</v>
      </c>
      <c r="D5617" s="2" t="str">
        <f t="shared" si="86"/>
        <v>Error?</v>
      </c>
    </row>
    <row r="5618" spans="1:5" x14ac:dyDescent="0.2">
      <c r="A5618" s="5">
        <v>5557</v>
      </c>
      <c r="B5618" s="138">
        <f>'Revenues 9-14'!F155</f>
        <v>76450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76860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76860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142194</v>
      </c>
      <c r="C5720" s="2" t="s">
        <v>573</v>
      </c>
      <c r="D5720" s="2" t="str">
        <f t="shared" si="88"/>
        <v>Error?</v>
      </c>
    </row>
    <row r="5721" spans="1:4" x14ac:dyDescent="0.2">
      <c r="A5721" s="5">
        <v>5660</v>
      </c>
      <c r="B5721" s="138">
        <f>'Revenues 9-14'!G5</f>
        <v>41384</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41384</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95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95</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41479</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27190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27190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194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194</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27384</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27190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27190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66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66</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27256</v>
      </c>
      <c r="C6023" s="2" t="s">
        <v>573</v>
      </c>
      <c r="D6023" s="2" t="str">
        <f t="shared" si="93"/>
        <v>Error?</v>
      </c>
    </row>
    <row r="6024" spans="1:5" x14ac:dyDescent="0.2">
      <c r="A6024" s="5">
        <v>5963</v>
      </c>
      <c r="B6024" s="138">
        <f>'Revenues 9-14'!G109</f>
        <v>41479</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27384</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27256</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15389</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3150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66.113</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63968</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63968</v>
      </c>
      <c r="D6215" s="2" t="str">
        <f t="shared" si="96"/>
        <v>Error?</v>
      </c>
      <c r="E6215" s="2" t="s">
        <v>190</v>
      </c>
    </row>
    <row r="6216" spans="1:5" x14ac:dyDescent="0.2">
      <c r="A6216">
        <v>6155</v>
      </c>
      <c r="B6216" s="138">
        <f>'Assets-Liab 5-6'!J41</f>
        <v>63968</v>
      </c>
      <c r="D6216" s="2" t="str">
        <f t="shared" si="96"/>
        <v>Error?</v>
      </c>
      <c r="E6216" s="2" t="s">
        <v>190</v>
      </c>
    </row>
    <row r="6217" spans="1:5" x14ac:dyDescent="0.2">
      <c r="A6217">
        <v>6156</v>
      </c>
      <c r="B6217" s="138">
        <f>'Assets-Liab 5-6'!J4</f>
        <v>63968</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43846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43846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43846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39442</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39442</v>
      </c>
      <c r="D6229" s="2" t="str">
        <f t="shared" si="96"/>
        <v>Error?</v>
      </c>
      <c r="E6229" s="2" t="s">
        <v>190</v>
      </c>
    </row>
    <row r="6230" spans="1:5" x14ac:dyDescent="0.2">
      <c r="A6230">
        <v>6169</v>
      </c>
      <c r="B6230" s="138">
        <f>'Acct Summary 7-8'!J20</f>
        <v>4404</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4404</v>
      </c>
      <c r="D6263" s="2" t="str">
        <f t="shared" si="96"/>
        <v>Error?</v>
      </c>
      <c r="E6263" s="2" t="s">
        <v>190</v>
      </c>
    </row>
    <row r="6264" spans="1:5" x14ac:dyDescent="0.2">
      <c r="A6264">
        <v>6203</v>
      </c>
      <c r="B6264" s="138">
        <f>'Acct Summary 7-8'!J79</f>
        <v>59564</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63968</v>
      </c>
      <c r="D6266" s="2" t="str">
        <f t="shared" si="96"/>
        <v>Error?</v>
      </c>
      <c r="E6266" s="2" t="s">
        <v>190</v>
      </c>
    </row>
    <row r="6267" spans="1:5" x14ac:dyDescent="0.2">
      <c r="A6267">
        <v>6206</v>
      </c>
      <c r="B6267" s="138">
        <f>'Acct Summary 7-8'!C82</f>
        <v>-142939</v>
      </c>
      <c r="D6267" s="2" t="str">
        <f t="shared" si="96"/>
        <v>Error?</v>
      </c>
      <c r="E6267" s="2" t="s">
        <v>190</v>
      </c>
    </row>
    <row r="6268" spans="1:5" x14ac:dyDescent="0.2">
      <c r="A6268">
        <v>6207</v>
      </c>
      <c r="B6268" s="138">
        <f>'Acct Summary 7-8'!D82</f>
        <v>-5969</v>
      </c>
      <c r="D6268" s="2" t="str">
        <f t="shared" si="96"/>
        <v>Error?</v>
      </c>
      <c r="E6268" s="2" t="s">
        <v>190</v>
      </c>
    </row>
    <row r="6269" spans="1:5" x14ac:dyDescent="0.2">
      <c r="A6269">
        <v>6208</v>
      </c>
      <c r="B6269" s="138">
        <f>'Acct Summary 7-8'!E82</f>
        <v>-319</v>
      </c>
      <c r="D6269" s="2" t="str">
        <f t="shared" si="96"/>
        <v>Error?</v>
      </c>
      <c r="E6269" s="2" t="s">
        <v>190</v>
      </c>
    </row>
    <row r="6270" spans="1:5" x14ac:dyDescent="0.2">
      <c r="A6270">
        <v>6209</v>
      </c>
      <c r="B6270" s="138">
        <f>'Acct Summary 7-8'!F82</f>
        <v>-19272</v>
      </c>
      <c r="D6270" s="2" t="str">
        <f t="shared" si="96"/>
        <v>Error?</v>
      </c>
      <c r="E6270" s="2" t="s">
        <v>190</v>
      </c>
    </row>
    <row r="6271" spans="1:5" x14ac:dyDescent="0.2">
      <c r="A6271">
        <v>6210</v>
      </c>
      <c r="B6271" s="138">
        <f>'Acct Summary 7-8'!G82</f>
        <v>7404</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27384</v>
      </c>
      <c r="D6273" s="2" t="str">
        <f t="shared" si="97"/>
        <v>Error?</v>
      </c>
      <c r="E6273" s="2" t="s">
        <v>190</v>
      </c>
    </row>
    <row r="6274" spans="1:5" x14ac:dyDescent="0.2">
      <c r="A6274">
        <v>6213</v>
      </c>
      <c r="B6274" s="138">
        <f>'Acct Summary 7-8'!J82</f>
        <v>4404</v>
      </c>
      <c r="D6274" s="2" t="str">
        <f t="shared" si="97"/>
        <v>Error?</v>
      </c>
      <c r="E6274" s="2" t="s">
        <v>190</v>
      </c>
    </row>
    <row r="6275" spans="1:5" x14ac:dyDescent="0.2">
      <c r="A6275">
        <v>6214</v>
      </c>
      <c r="B6275" s="138">
        <f>'Acct Summary 7-8'!K82</f>
        <v>27256</v>
      </c>
      <c r="D6275" s="2" t="str">
        <f t="shared" si="97"/>
        <v>Error?</v>
      </c>
      <c r="E6275" s="2" t="s">
        <v>190</v>
      </c>
    </row>
    <row r="6276" spans="1:5" x14ac:dyDescent="0.2">
      <c r="A6276">
        <v>6215</v>
      </c>
      <c r="B6276" s="138">
        <f>'Acct Summary 7-8'!C83</f>
        <v>-0.34895172157881377</v>
      </c>
      <c r="D6276" s="2" t="str">
        <f t="shared" si="97"/>
        <v>Error?</v>
      </c>
      <c r="E6276" s="2" t="s">
        <v>190</v>
      </c>
    </row>
    <row r="6277" spans="1:5" x14ac:dyDescent="0.2">
      <c r="A6277">
        <v>6216</v>
      </c>
      <c r="B6277" s="138">
        <f>'Acct Summary 7-8'!D83</f>
        <v>-9.6474923631426679E-2</v>
      </c>
      <c r="D6277" s="2" t="str">
        <f t="shared" si="97"/>
        <v>Error?</v>
      </c>
      <c r="E6277" s="2" t="s">
        <v>190</v>
      </c>
    </row>
    <row r="6278" spans="1:5" x14ac:dyDescent="0.2">
      <c r="A6278">
        <v>6217</v>
      </c>
      <c r="B6278" s="138">
        <f>'Acct Summary 7-8'!E83</f>
        <v>-4.5908528336643349E-3</v>
      </c>
      <c r="D6278" s="2" t="str">
        <f t="shared" si="97"/>
        <v>Error?</v>
      </c>
      <c r="E6278" s="2" t="s">
        <v>190</v>
      </c>
    </row>
    <row r="6279" spans="1:5" x14ac:dyDescent="0.2">
      <c r="A6279">
        <v>6218</v>
      </c>
      <c r="B6279" s="138">
        <f>'Acct Summary 7-8'!F83</f>
        <v>-0.58698830409356728</v>
      </c>
      <c r="D6279" s="2" t="str">
        <f t="shared" si="97"/>
        <v>Error?</v>
      </c>
      <c r="E6279" s="2" t="s">
        <v>190</v>
      </c>
    </row>
    <row r="6280" spans="1:5" x14ac:dyDescent="0.2">
      <c r="A6280">
        <v>6219</v>
      </c>
      <c r="B6280" s="138">
        <f>'Acct Summary 7-8'!G83</f>
        <v>0.29574595566207312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0.12298019490726186</v>
      </c>
      <c r="D6282" s="2" t="str">
        <f t="shared" si="97"/>
        <v>Error?</v>
      </c>
      <c r="E6282" s="2" t="s">
        <v>190</v>
      </c>
    </row>
    <row r="6283" spans="1:5" x14ac:dyDescent="0.2">
      <c r="A6283">
        <v>6222</v>
      </c>
      <c r="B6283" s="138">
        <f>'Acct Summary 7-8'!J83</f>
        <v>6.8846923461730866E-2</v>
      </c>
      <c r="D6283" s="2" t="str">
        <f t="shared" si="97"/>
        <v>Error?</v>
      </c>
      <c r="E6283" s="2" t="s">
        <v>190</v>
      </c>
    </row>
    <row r="6284" spans="1:5" x14ac:dyDescent="0.2">
      <c r="A6284">
        <v>6223</v>
      </c>
      <c r="B6284" s="138">
        <f>'Acct Summary 7-8'!K83</f>
        <v>0.89510673234811167</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43481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43481</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365</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365</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43846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27633</v>
      </c>
      <c r="D6880" s="2" t="str">
        <f t="shared" si="106"/>
        <v>Error?</v>
      </c>
    </row>
    <row r="6881" spans="1:4" x14ac:dyDescent="0.2">
      <c r="A6881">
        <v>6820</v>
      </c>
      <c r="B6881" s="138">
        <f>'Expenditures 15-22'!K22</f>
        <v>27633</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36677</v>
      </c>
      <c r="D6983" s="2" t="str">
        <f t="shared" si="108"/>
        <v>Error?</v>
      </c>
    </row>
    <row r="6984" spans="1:4" x14ac:dyDescent="0.2">
      <c r="A6984">
        <v>6923</v>
      </c>
      <c r="B6984" s="138">
        <f>'Expenditures 15-22'!K86</f>
        <v>36677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36677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39442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43846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7292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7292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20104</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20104</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287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287</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39442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39442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39442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39442</v>
      </c>
      <c r="D7224" s="2" t="str">
        <f t="shared" si="111"/>
        <v>Error?</v>
      </c>
    </row>
    <row r="7225" spans="1:4" x14ac:dyDescent="0.2">
      <c r="A7225">
        <v>7164</v>
      </c>
      <c r="B7225" s="138">
        <f>'Expenditures 15-22'!K343</f>
        <v>4404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76594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11759</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11759</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10899</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201600</v>
      </c>
      <c r="D7797" s="2" t="str">
        <f t="shared" si="127"/>
        <v>Error?</v>
      </c>
      <c r="E7797" s="4" t="s">
        <v>1903</v>
      </c>
    </row>
    <row r="7798" spans="1:5" x14ac:dyDescent="0.2">
      <c r="A7798">
        <v>7737</v>
      </c>
      <c r="B7798" s="138">
        <f>'Contracts Paid in CY 29'!F141</f>
        <v>105372</v>
      </c>
      <c r="D7798" s="2" t="str">
        <f t="shared" si="127"/>
        <v>Error?</v>
      </c>
      <c r="E7798" s="4" t="s">
        <v>1903</v>
      </c>
    </row>
    <row r="7799" spans="1:5" x14ac:dyDescent="0.2">
      <c r="A7799">
        <v>7738</v>
      </c>
      <c r="B7799" s="138">
        <f>'Contracts Paid in CY 29'!G141</f>
        <v>96228</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8" t="s">
        <v>1191</v>
      </c>
      <c r="B2" s="2388"/>
      <c r="C2" s="2388"/>
      <c r="D2" s="2388"/>
      <c r="E2" s="2388"/>
      <c r="F2" s="2388"/>
      <c r="G2" s="2388"/>
      <c r="H2" s="2388"/>
      <c r="I2" s="2388"/>
      <c r="J2" s="2388"/>
      <c r="K2" s="2388"/>
      <c r="L2" s="2388"/>
    </row>
    <row r="3" spans="1:29" ht="13.5" customHeight="1" x14ac:dyDescent="0.2">
      <c r="A3" s="2419" t="s">
        <v>1190</v>
      </c>
      <c r="B3" s="2419"/>
      <c r="C3" s="2419"/>
      <c r="D3" s="2419"/>
      <c r="E3" s="2419"/>
      <c r="F3" s="2419"/>
      <c r="G3" s="2419"/>
      <c r="H3" s="2419"/>
      <c r="I3" s="2419"/>
      <c r="J3" s="2419"/>
      <c r="K3" s="2419"/>
      <c r="L3" s="2419"/>
    </row>
    <row r="4" spans="1:29" ht="13.5" customHeight="1" x14ac:dyDescent="0.2">
      <c r="A4" s="2388" t="s">
        <v>1987</v>
      </c>
      <c r="B4" s="2409"/>
      <c r="C4" s="2409"/>
      <c r="D4" s="2409"/>
      <c r="E4" s="2409"/>
      <c r="F4" s="2409"/>
      <c r="G4" s="2409"/>
      <c r="H4" s="2409"/>
      <c r="I4" s="2409"/>
      <c r="J4" s="2409"/>
      <c r="K4" s="2409"/>
      <c r="L4" s="240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10" t="str">
        <f>COVER!A17</f>
        <v>Allen-Otter Creek CCSD 65</v>
      </c>
      <c r="B7" s="2411"/>
      <c r="C7" s="2411"/>
      <c r="D7" s="2412"/>
      <c r="E7" s="2413">
        <f>COVER!A13</f>
        <v>35050065004</v>
      </c>
      <c r="F7" s="2414"/>
      <c r="G7" s="2420" t="str">
        <f>COVER!T23</f>
        <v>066-005100</v>
      </c>
      <c r="H7" s="2421"/>
      <c r="I7" s="2421"/>
      <c r="J7" s="2421"/>
      <c r="K7" s="2421"/>
      <c r="L7" s="242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23"/>
      <c r="B9" s="2424"/>
      <c r="C9" s="2424"/>
      <c r="D9" s="2424"/>
      <c r="E9" s="2424"/>
      <c r="F9" s="2425"/>
      <c r="G9" s="2394" t="str">
        <f>COVER!T13</f>
        <v>Mack &amp; Associates, P.C.</v>
      </c>
      <c r="H9" s="2426"/>
      <c r="I9" s="2426"/>
      <c r="J9" s="2426"/>
      <c r="K9" s="2426"/>
      <c r="L9" s="2427"/>
    </row>
    <row r="10" spans="1:29" ht="13.5" customHeight="1" x14ac:dyDescent="0.2">
      <c r="A10" s="2400" t="str">
        <f>COVER!A38</f>
        <v>Mary Pat Baima</v>
      </c>
      <c r="B10" s="2401"/>
      <c r="C10" s="2401"/>
      <c r="D10" s="2401"/>
      <c r="E10" s="2401"/>
      <c r="F10" s="2402"/>
      <c r="G10" s="2394" t="str">
        <f>COVER!T17</f>
        <v>116 E. Washington St., Suite One</v>
      </c>
      <c r="H10" s="2395"/>
      <c r="I10" s="2395"/>
      <c r="J10" s="2395"/>
      <c r="K10" s="2395"/>
      <c r="L10" s="2396"/>
    </row>
    <row r="11" spans="1:29" ht="13.5" customHeight="1" x14ac:dyDescent="0.2">
      <c r="A11" s="1184" t="s">
        <v>1519</v>
      </c>
      <c r="B11" s="1185"/>
      <c r="C11" s="1186"/>
      <c r="D11" s="1191"/>
      <c r="E11" s="1186"/>
      <c r="F11" s="1190"/>
      <c r="G11" s="2394" t="str">
        <f>COVER!T19</f>
        <v>Morris</v>
      </c>
      <c r="H11" s="2395"/>
      <c r="I11" s="2395"/>
      <c r="J11" s="2395"/>
      <c r="K11" s="2395"/>
      <c r="L11" s="2396"/>
    </row>
    <row r="12" spans="1:29" ht="13.5" customHeight="1" x14ac:dyDescent="0.2">
      <c r="A12" s="2403" t="s">
        <v>1518</v>
      </c>
      <c r="B12" s="2404"/>
      <c r="C12" s="2404"/>
      <c r="D12" s="2404"/>
      <c r="E12" s="2404"/>
      <c r="F12" s="2405"/>
      <c r="G12" s="2397"/>
      <c r="H12" s="2398"/>
      <c r="I12" s="2398"/>
      <c r="J12" s="2398"/>
      <c r="K12" s="2398"/>
      <c r="L12" s="2399"/>
    </row>
    <row r="13" spans="1:29" ht="13.5" customHeight="1" x14ac:dyDescent="0.2">
      <c r="A13" s="2394"/>
      <c r="B13" s="2395"/>
      <c r="C13" s="2395"/>
      <c r="D13" s="2395"/>
      <c r="E13" s="2395"/>
      <c r="F13" s="2396"/>
      <c r="G13" s="2389" t="s">
        <v>1520</v>
      </c>
      <c r="H13" s="2390"/>
      <c r="I13" s="2406" t="str">
        <f>COVER!T25</f>
        <v>tmack@mackcpas.com</v>
      </c>
      <c r="J13" s="2407"/>
      <c r="K13" s="2407"/>
      <c r="L13" s="2408"/>
    </row>
    <row r="14" spans="1:29" ht="13.5" customHeight="1" x14ac:dyDescent="0.2">
      <c r="A14" s="2394" t="str">
        <f>COVER!A19</f>
        <v>400 S. Lane Street</v>
      </c>
      <c r="B14" s="2395"/>
      <c r="C14" s="2395"/>
      <c r="D14" s="2395"/>
      <c r="E14" s="2395"/>
      <c r="F14" s="2396"/>
      <c r="G14" s="1195" t="s">
        <v>1185</v>
      </c>
      <c r="H14" s="1193"/>
      <c r="I14" s="1193"/>
      <c r="J14" s="1193"/>
      <c r="K14" s="1193"/>
      <c r="L14" s="1194"/>
    </row>
    <row r="15" spans="1:29" ht="13.5" customHeight="1" x14ac:dyDescent="0.2">
      <c r="A15" s="2394" t="str">
        <f>COVER!A21</f>
        <v>Ransom</v>
      </c>
      <c r="B15" s="2395"/>
      <c r="C15" s="2395"/>
      <c r="D15" s="2395"/>
      <c r="E15" s="2395"/>
      <c r="F15" s="2396"/>
      <c r="G15" s="2391" t="str">
        <f>COVER!T15</f>
        <v>Tawnya Mack, CPA</v>
      </c>
      <c r="H15" s="2392"/>
      <c r="I15" s="2392"/>
      <c r="J15" s="2392"/>
      <c r="K15" s="2392"/>
      <c r="L15" s="2393"/>
    </row>
    <row r="16" spans="1:29" ht="12.2" customHeight="1" x14ac:dyDescent="0.2">
      <c r="A16" s="2416">
        <f>COVER!A25</f>
        <v>60470</v>
      </c>
      <c r="B16" s="2417"/>
      <c r="C16" s="2417"/>
      <c r="D16" s="2417"/>
      <c r="E16" s="2417"/>
      <c r="F16" s="2418"/>
      <c r="G16" s="2428"/>
      <c r="H16" s="2429"/>
      <c r="I16" s="2429"/>
      <c r="J16" s="2429"/>
      <c r="K16" s="2429"/>
      <c r="L16" s="2430"/>
    </row>
    <row r="17" spans="1:13" ht="12.2" customHeight="1" x14ac:dyDescent="0.2">
      <c r="A17" s="2431"/>
      <c r="B17" s="2417"/>
      <c r="C17" s="2417"/>
      <c r="D17" s="2417"/>
      <c r="E17" s="2417"/>
      <c r="F17" s="2418"/>
      <c r="G17" s="1195" t="s">
        <v>1184</v>
      </c>
      <c r="H17" s="1193"/>
      <c r="I17" s="1193"/>
      <c r="J17" s="1193"/>
      <c r="K17" s="1197" t="s">
        <v>1183</v>
      </c>
      <c r="L17" s="1190"/>
      <c r="M17" s="1183"/>
    </row>
    <row r="18" spans="1:13" ht="12.2" customHeight="1" x14ac:dyDescent="0.2">
      <c r="A18" s="2400"/>
      <c r="B18" s="2401"/>
      <c r="C18" s="2401"/>
      <c r="D18" s="2401"/>
      <c r="E18" s="2401"/>
      <c r="F18" s="2402"/>
      <c r="G18" s="2410" t="str">
        <f>COVER!T21</f>
        <v>815-942-3306</v>
      </c>
      <c r="H18" s="2411"/>
      <c r="I18" s="2411"/>
      <c r="J18" s="2411"/>
      <c r="K18" s="2410" t="str">
        <f>COVER!X21</f>
        <v>815-942-9430</v>
      </c>
      <c r="L18" s="241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2" t="str">
        <f>'Single Audit Cover'!A7</f>
        <v>Allen-Otter Creek CCSD 65</v>
      </c>
      <c r="B1" s="2409"/>
      <c r="C1" s="2409"/>
      <c r="D1" s="2409"/>
    </row>
    <row r="2" spans="1:11" s="1212" customFormat="1" ht="12.75" x14ac:dyDescent="0.2">
      <c r="A2" s="2433">
        <f>'Single Audit Cover'!E7</f>
        <v>35050065004</v>
      </c>
      <c r="B2" s="2434"/>
      <c r="C2" s="2434"/>
      <c r="D2" s="2434"/>
    </row>
    <row r="3" spans="1:11" s="1212" customFormat="1" ht="12.75" x14ac:dyDescent="0.2">
      <c r="A3" s="2432" t="s">
        <v>1513</v>
      </c>
      <c r="B3" s="2409"/>
      <c r="C3" s="2409"/>
      <c r="D3" s="240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6" t="str">
        <f>'Single Audit Cover'!A7</f>
        <v>Allen-Otter Creek CCSD 65</v>
      </c>
      <c r="B1" s="2436"/>
      <c r="C1" s="2436"/>
      <c r="D1" s="2436"/>
      <c r="E1" s="2436"/>
    </row>
    <row r="2" spans="1:5" x14ac:dyDescent="0.2">
      <c r="A2" s="2437">
        <f>'Single Audit Cover'!E7</f>
        <v>35050065004</v>
      </c>
      <c r="B2" s="2437"/>
      <c r="C2" s="2437"/>
      <c r="D2" s="2437"/>
      <c r="E2" s="2437"/>
    </row>
    <row r="3" spans="1:5" ht="4.5" customHeight="1" x14ac:dyDescent="0.2"/>
    <row r="4" spans="1:5" x14ac:dyDescent="0.2">
      <c r="A4" s="2436" t="s">
        <v>1245</v>
      </c>
      <c r="B4" s="2436"/>
      <c r="C4" s="2436"/>
      <c r="D4" s="2436"/>
      <c r="E4" s="2436"/>
    </row>
    <row r="5" spans="1:5" x14ac:dyDescent="0.2">
      <c r="A5" s="2439" t="str">
        <f>'Single Audit Cover'!A4</f>
        <v>Year Ending June 30, 2019</v>
      </c>
      <c r="B5" s="2439"/>
      <c r="C5" s="2439"/>
      <c r="D5" s="2439"/>
      <c r="E5" s="2439"/>
    </row>
    <row r="6" spans="1:5" x14ac:dyDescent="0.2">
      <c r="A6" s="2436" t="s">
        <v>1244</v>
      </c>
      <c r="B6" s="2436"/>
      <c r="C6" s="2436"/>
      <c r="D6" s="2436"/>
      <c r="E6" s="2436"/>
    </row>
    <row r="8" spans="1:5" x14ac:dyDescent="0.2">
      <c r="A8" s="1257" t="s">
        <v>1243</v>
      </c>
    </row>
    <row r="10" spans="1:5" x14ac:dyDescent="0.2">
      <c r="A10" s="1258" t="s">
        <v>1242</v>
      </c>
      <c r="B10" s="1259" t="s">
        <v>1241</v>
      </c>
      <c r="C10" s="1259"/>
      <c r="D10" s="1260">
        <f>SUM('Acct Summary 7-8'!C7:K7)</f>
        <v>71875</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3150</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-5363</v>
      </c>
    </row>
    <row r="19" spans="1:4" ht="13.5" thickBot="1" x14ac:dyDescent="0.25">
      <c r="A19" s="1262" t="s">
        <v>1235</v>
      </c>
      <c r="D19" s="1263">
        <f>SUM(D10:D17)</f>
        <v>69662</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8"/>
      <c r="B24" s="2438"/>
      <c r="D24" s="1265"/>
    </row>
    <row r="25" spans="1:4" x14ac:dyDescent="0.2">
      <c r="A25" s="2435"/>
      <c r="B25" s="2435"/>
      <c r="D25" s="1265"/>
    </row>
    <row r="26" spans="1:4" x14ac:dyDescent="0.2">
      <c r="A26" s="2435"/>
      <c r="B26" s="2435"/>
      <c r="D26" s="1265"/>
    </row>
    <row r="27" spans="1:4" x14ac:dyDescent="0.2">
      <c r="A27" s="2435"/>
      <c r="B27" s="2435"/>
      <c r="D27" s="1265"/>
    </row>
    <row r="28" spans="1:4" x14ac:dyDescent="0.2">
      <c r="A28" s="2435"/>
      <c r="B28" s="2435"/>
      <c r="D28" s="1265"/>
    </row>
    <row r="29" spans="1:4" x14ac:dyDescent="0.2">
      <c r="A29" s="2435"/>
      <c r="B29" s="2435"/>
      <c r="D29" s="1265"/>
    </row>
    <row r="30" spans="1:4" x14ac:dyDescent="0.2">
      <c r="A30" s="2435"/>
      <c r="B30" s="2435"/>
      <c r="D30" s="1265"/>
    </row>
    <row r="32" spans="1:4" x14ac:dyDescent="0.2">
      <c r="A32" s="1257" t="s">
        <v>1233</v>
      </c>
      <c r="D32" s="1260">
        <f>SUM(D19:D30)</f>
        <v>69662</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5"/>
      <c r="B40" s="2435"/>
      <c r="D40" s="1265"/>
    </row>
    <row r="41" spans="1:4" x14ac:dyDescent="0.2">
      <c r="A41" s="2435"/>
      <c r="B41" s="2435"/>
      <c r="D41" s="1268"/>
    </row>
    <row r="42" spans="1:4" x14ac:dyDescent="0.2">
      <c r="A42" s="2435"/>
      <c r="B42" s="2435"/>
      <c r="D42" s="1268"/>
    </row>
    <row r="43" spans="1:4" x14ac:dyDescent="0.2">
      <c r="A43" s="2435"/>
      <c r="B43" s="2435"/>
      <c r="D43" s="1268"/>
    </row>
    <row r="44" spans="1:4" x14ac:dyDescent="0.2">
      <c r="A44" s="2435"/>
      <c r="B44" s="2435"/>
      <c r="D44" s="1268"/>
    </row>
    <row r="45" spans="1:4" x14ac:dyDescent="0.2">
      <c r="A45" s="2435"/>
      <c r="B45" s="2435"/>
      <c r="D45" s="1268"/>
    </row>
    <row r="47" spans="1:4" x14ac:dyDescent="0.2">
      <c r="B47" s="1269" t="s">
        <v>1227</v>
      </c>
      <c r="C47" s="1269"/>
      <c r="D47" s="1270">
        <f>SUM(D35:D45)</f>
        <v>0</v>
      </c>
    </row>
    <row r="49" spans="2:4" x14ac:dyDescent="0.2">
      <c r="B49" s="1269" t="s">
        <v>1226</v>
      </c>
      <c r="C49" s="1269"/>
      <c r="D49" s="1270">
        <f>D32-D47</f>
        <v>69662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9" t="str">
        <f>'Single Audit Cover'!A7</f>
        <v>Allen-Otter Creek CCSD 65</v>
      </c>
      <c r="C1" s="2440"/>
      <c r="D1" s="2440"/>
      <c r="E1" s="2440"/>
      <c r="F1" s="2440"/>
      <c r="G1" s="2440"/>
      <c r="H1" s="2440"/>
      <c r="I1" s="2440"/>
      <c r="J1" s="2440"/>
      <c r="K1" s="2440"/>
      <c r="L1" s="2440"/>
      <c r="M1" s="2440"/>
    </row>
    <row r="2" spans="2:14" ht="15" x14ac:dyDescent="0.2">
      <c r="B2" s="2441">
        <f>'Single Audit Cover'!E7</f>
        <v>35050065004</v>
      </c>
      <c r="C2" s="2441"/>
      <c r="D2" s="2441"/>
      <c r="E2" s="2441"/>
      <c r="F2" s="2441"/>
      <c r="G2" s="2441"/>
      <c r="H2" s="2441"/>
      <c r="I2" s="2441"/>
      <c r="J2" s="2441"/>
      <c r="K2" s="2441"/>
      <c r="L2" s="2441"/>
      <c r="M2" s="2441"/>
      <c r="N2" s="1299"/>
    </row>
    <row r="3" spans="2:14" ht="15" x14ac:dyDescent="0.2">
      <c r="B3" s="2442" t="s">
        <v>1219</v>
      </c>
      <c r="C3" s="2442"/>
      <c r="D3" s="2442"/>
      <c r="E3" s="2442"/>
      <c r="F3" s="2442"/>
      <c r="G3" s="2442"/>
      <c r="H3" s="2442"/>
      <c r="I3" s="2442"/>
      <c r="J3" s="2442"/>
      <c r="K3" s="2442"/>
      <c r="L3" s="2442"/>
      <c r="M3" s="2442"/>
      <c r="N3" s="1299"/>
    </row>
    <row r="4" spans="2:14" ht="15" x14ac:dyDescent="0.2">
      <c r="B4" s="2443" t="str">
        <f>'Single Audit Cover'!A4</f>
        <v>Year Ending June 30, 2019</v>
      </c>
      <c r="C4" s="2443"/>
      <c r="D4" s="2443"/>
      <c r="E4" s="2443"/>
      <c r="F4" s="2443"/>
      <c r="G4" s="2443"/>
      <c r="H4" s="2443"/>
      <c r="I4" s="2443"/>
      <c r="J4" s="2443"/>
      <c r="K4" s="2443"/>
      <c r="L4" s="2443"/>
      <c r="M4" s="2443"/>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3" t="str">
        <f>'Single Audit Cover'!A7</f>
        <v>Allen-Otter Creek CCSD 65</v>
      </c>
      <c r="B1" s="2453"/>
      <c r="C1" s="2453"/>
      <c r="D1" s="2453"/>
      <c r="E1" s="2453"/>
      <c r="F1" s="2453"/>
    </row>
    <row r="2" spans="1:7" ht="13.5" customHeight="1" x14ac:dyDescent="0.2">
      <c r="A2" s="2441">
        <f>'Single Audit Cover'!E7</f>
        <v>35050065004</v>
      </c>
      <c r="B2" s="2441"/>
      <c r="C2" s="2441"/>
      <c r="D2" s="2441"/>
      <c r="E2" s="2441"/>
      <c r="F2" s="2441"/>
      <c r="G2" s="1272"/>
    </row>
    <row r="3" spans="1:7" ht="15.75" customHeight="1" x14ac:dyDescent="0.2">
      <c r="A3" s="2454" t="s">
        <v>1271</v>
      </c>
      <c r="B3" s="2454"/>
      <c r="C3" s="2454"/>
      <c r="D3" s="2454"/>
      <c r="E3" s="2454"/>
      <c r="F3" s="2454"/>
    </row>
    <row r="4" spans="1:7" ht="13.5" customHeight="1" x14ac:dyDescent="0.2">
      <c r="A4" s="2455" t="str">
        <f>'Single Audit Cover'!A4</f>
        <v>Year Ending June 30, 2019</v>
      </c>
      <c r="B4" s="2455"/>
      <c r="C4" s="2455"/>
      <c r="D4" s="2455"/>
      <c r="E4" s="2455"/>
      <c r="F4" s="2455"/>
    </row>
    <row r="5" spans="1:7" ht="8.25" customHeight="1" x14ac:dyDescent="0.2">
      <c r="C5" s="317"/>
      <c r="D5" s="317"/>
    </row>
    <row r="6" spans="1:7" ht="13.5" customHeight="1" x14ac:dyDescent="0.2">
      <c r="A6" s="1273" t="s">
        <v>1728</v>
      </c>
      <c r="C6" s="317"/>
      <c r="D6" s="317"/>
    </row>
    <row r="7" spans="1:7" ht="60.95" customHeight="1" x14ac:dyDescent="0.2">
      <c r="A7" s="2452" t="s">
        <v>1729</v>
      </c>
      <c r="B7" s="2452"/>
      <c r="C7" s="2452"/>
      <c r="D7" s="2452"/>
      <c r="E7" s="2452"/>
      <c r="F7" s="2452"/>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1"/>
      <c r="D11" s="1277"/>
      <c r="E11" s="1901"/>
      <c r="F11" s="1277"/>
      <c r="G11" s="1275"/>
    </row>
    <row r="12" spans="1:7" x14ac:dyDescent="0.2">
      <c r="A12" s="1273" t="s">
        <v>1587</v>
      </c>
      <c r="C12" s="1257"/>
      <c r="D12" s="1257"/>
    </row>
    <row r="13" spans="1:7" ht="15" customHeight="1" x14ac:dyDescent="0.2">
      <c r="A13" s="2452" t="s">
        <v>1731</v>
      </c>
      <c r="B13" s="2452"/>
      <c r="C13" s="2452"/>
      <c r="D13" s="2452"/>
      <c r="E13" s="2452"/>
      <c r="F13" s="2452"/>
    </row>
    <row r="14" spans="1:7" ht="9.75" customHeight="1" x14ac:dyDescent="0.2">
      <c r="C14" s="1257"/>
      <c r="D14" s="1257"/>
    </row>
    <row r="15" spans="1:7" ht="13.5" customHeight="1" x14ac:dyDescent="0.2">
      <c r="C15" s="1846" t="s">
        <v>1270</v>
      </c>
      <c r="D15" s="2450" t="s">
        <v>1269</v>
      </c>
      <c r="E15" s="2450"/>
      <c r="F15" s="2450"/>
    </row>
    <row r="16" spans="1:7" ht="13.5" customHeight="1" x14ac:dyDescent="0.2">
      <c r="A16" s="1279"/>
      <c r="B16" s="1273" t="s">
        <v>1268</v>
      </c>
      <c r="C16" s="1846" t="s">
        <v>1267</v>
      </c>
      <c r="D16" s="2451" t="s">
        <v>1588</v>
      </c>
      <c r="E16" s="2451"/>
      <c r="F16" s="2451"/>
    </row>
    <row r="17" spans="1:6" ht="20.45" customHeight="1" x14ac:dyDescent="0.2">
      <c r="A17" s="1280"/>
      <c r="B17" s="1281"/>
      <c r="C17" s="1282"/>
      <c r="D17" s="2445"/>
      <c r="E17" s="2445"/>
      <c r="F17" s="2445"/>
    </row>
    <row r="18" spans="1:6" ht="20.65" customHeight="1" x14ac:dyDescent="0.2">
      <c r="A18" s="1280"/>
      <c r="B18" s="1281"/>
      <c r="C18" s="1282"/>
      <c r="D18" s="2445"/>
      <c r="E18" s="2445"/>
      <c r="F18" s="2445"/>
    </row>
    <row r="19" spans="1:6" ht="20.65" customHeight="1" x14ac:dyDescent="0.2">
      <c r="A19" s="1280"/>
      <c r="B19" s="1281"/>
      <c r="C19" s="1282"/>
      <c r="D19" s="2445"/>
      <c r="E19" s="2445"/>
      <c r="F19" s="2445"/>
    </row>
    <row r="20" spans="1:6" ht="20.65" customHeight="1" x14ac:dyDescent="0.2">
      <c r="A20" s="1280"/>
      <c r="B20" s="1281"/>
      <c r="C20" s="1282"/>
      <c r="D20" s="2445"/>
      <c r="E20" s="2445"/>
      <c r="F20" s="2445"/>
    </row>
    <row r="21" spans="1:6" ht="20.65" customHeight="1" x14ac:dyDescent="0.2">
      <c r="A21" s="1280"/>
      <c r="B21" s="1281"/>
      <c r="C21" s="1282"/>
      <c r="D21" s="2445"/>
      <c r="E21" s="2445"/>
      <c r="F21" s="2445"/>
    </row>
    <row r="22" spans="1:6" ht="20.65" customHeight="1" x14ac:dyDescent="0.2">
      <c r="A22" s="1280"/>
      <c r="B22" s="1281"/>
      <c r="C22" s="1282"/>
      <c r="D22" s="2445"/>
      <c r="E22" s="2445"/>
      <c r="F22" s="2445"/>
    </row>
    <row r="23" spans="1:6" ht="20.65" customHeight="1" x14ac:dyDescent="0.2">
      <c r="A23" s="1280"/>
      <c r="B23" s="1281"/>
      <c r="C23" s="1282"/>
      <c r="D23" s="2445"/>
      <c r="E23" s="2445"/>
      <c r="F23" s="2445"/>
    </row>
    <row r="24" spans="1:6" ht="20.65" customHeight="1" x14ac:dyDescent="0.2">
      <c r="A24" s="1280"/>
      <c r="B24" s="1281"/>
      <c r="C24" s="1282"/>
      <c r="D24" s="2445"/>
      <c r="E24" s="2445"/>
      <c r="F24" s="2445"/>
    </row>
    <row r="25" spans="1:6" ht="20.65" customHeight="1" x14ac:dyDescent="0.2">
      <c r="A25" s="1280"/>
      <c r="B25" s="1281"/>
      <c r="C25" s="1282"/>
      <c r="D25" s="2445"/>
      <c r="E25" s="2445"/>
      <c r="F25" s="2445"/>
    </row>
    <row r="26" spans="1:6" ht="20.65" customHeight="1" x14ac:dyDescent="0.2">
      <c r="A26" s="1280"/>
      <c r="B26" s="1281"/>
      <c r="C26" s="1282"/>
      <c r="D26" s="2445"/>
      <c r="E26" s="2445"/>
      <c r="F26" s="2445"/>
    </row>
    <row r="27" spans="1:6" ht="20.65" customHeight="1" x14ac:dyDescent="0.2">
      <c r="A27" s="1280"/>
      <c r="B27" s="1281"/>
      <c r="C27" s="1282"/>
      <c r="D27" s="2445"/>
      <c r="E27" s="2445"/>
      <c r="F27" s="2445"/>
    </row>
    <row r="28" spans="1:6" ht="20.65" customHeight="1" x14ac:dyDescent="0.2">
      <c r="A28" s="1280"/>
      <c r="B28" s="1281"/>
      <c r="C28" s="1282"/>
      <c r="D28" s="2445"/>
      <c r="E28" s="2445"/>
      <c r="F28" s="2445"/>
    </row>
    <row r="29" spans="1:6" ht="20.65" customHeight="1" x14ac:dyDescent="0.2">
      <c r="A29" s="1280"/>
      <c r="B29" s="1281"/>
      <c r="C29" s="1282"/>
      <c r="D29" s="2445"/>
      <c r="E29" s="2445"/>
      <c r="F29" s="2445"/>
    </row>
    <row r="30" spans="1:6" ht="12" customHeight="1" x14ac:dyDescent="0.2">
      <c r="A30" s="328"/>
      <c r="B30" s="328"/>
      <c r="C30" s="1462"/>
      <c r="D30" s="1902"/>
      <c r="E30" s="1283"/>
    </row>
    <row r="31" spans="1:6" ht="12" customHeight="1" x14ac:dyDescent="0.2">
      <c r="A31" s="1284" t="s">
        <v>1549</v>
      </c>
      <c r="B31" s="328"/>
      <c r="C31" s="1462"/>
      <c r="D31" s="1902"/>
      <c r="E31" s="1283"/>
    </row>
    <row r="32" spans="1:6" ht="30" customHeight="1" x14ac:dyDescent="0.2">
      <c r="A32" s="2446" t="s">
        <v>1732</v>
      </c>
      <c r="B32" s="2446"/>
      <c r="C32" s="2446"/>
      <c r="D32" s="2446"/>
      <c r="E32" s="2446"/>
      <c r="F32" s="2446"/>
    </row>
    <row r="33" spans="1:6" ht="13.5" customHeight="1" x14ac:dyDescent="0.2">
      <c r="A33" s="328" t="s">
        <v>1434</v>
      </c>
      <c r="B33" s="328"/>
      <c r="C33" s="1285">
        <v>0</v>
      </c>
      <c r="D33" s="1902"/>
      <c r="E33" s="1283"/>
    </row>
    <row r="34" spans="1:6" ht="13.5" customHeight="1" x14ac:dyDescent="0.2">
      <c r="A34" s="328" t="s">
        <v>1838</v>
      </c>
      <c r="B34" s="328"/>
      <c r="C34" s="1286">
        <v>0</v>
      </c>
      <c r="D34" s="1902" t="s">
        <v>1589</v>
      </c>
      <c r="E34" s="2447">
        <f>+C33+C34</f>
        <v>0</v>
      </c>
      <c r="F34" s="2448"/>
    </row>
    <row r="35" spans="1:6" ht="12" customHeight="1" x14ac:dyDescent="0.2">
      <c r="A35" s="328"/>
      <c r="B35" s="328"/>
      <c r="C35" s="1903"/>
      <c r="D35" s="1902"/>
      <c r="E35" s="1287"/>
      <c r="F35" s="1288"/>
    </row>
    <row r="36" spans="1:6" ht="13.5" customHeight="1" x14ac:dyDescent="0.2">
      <c r="A36" s="1284" t="s">
        <v>1550</v>
      </c>
      <c r="B36" s="328"/>
      <c r="C36" s="1462"/>
      <c r="D36" s="1902"/>
      <c r="E36" s="1283"/>
    </row>
    <row r="37" spans="1:6" ht="14.25" customHeight="1" x14ac:dyDescent="0.2">
      <c r="A37" s="328" t="s">
        <v>1484</v>
      </c>
      <c r="B37" s="328"/>
      <c r="C37" s="1904"/>
      <c r="D37" s="1902"/>
      <c r="E37" s="1283"/>
    </row>
    <row r="38" spans="1:6" ht="14.25" customHeight="1" x14ac:dyDescent="0.2">
      <c r="A38" s="328"/>
      <c r="B38" s="328" t="s">
        <v>1435</v>
      </c>
      <c r="C38" s="1289"/>
      <c r="D38" s="1902"/>
      <c r="E38" s="1283"/>
    </row>
    <row r="39" spans="1:6" ht="14.25" customHeight="1" x14ac:dyDescent="0.2">
      <c r="A39" s="328"/>
      <c r="B39" s="328" t="s">
        <v>1436</v>
      </c>
      <c r="C39" s="1289"/>
      <c r="D39" s="1902"/>
      <c r="E39" s="1283"/>
    </row>
    <row r="40" spans="1:6" ht="14.25" customHeight="1" x14ac:dyDescent="0.2">
      <c r="A40" s="328"/>
      <c r="B40" s="328" t="s">
        <v>1437</v>
      </c>
      <c r="C40" s="1289"/>
      <c r="D40" s="1902"/>
      <c r="E40" s="1283"/>
    </row>
    <row r="41" spans="1:6" ht="14.25" customHeight="1" x14ac:dyDescent="0.2">
      <c r="A41" s="328"/>
      <c r="B41" s="328" t="s">
        <v>1438</v>
      </c>
      <c r="C41" s="1289"/>
      <c r="D41" s="1902"/>
      <c r="E41" s="1283"/>
    </row>
    <row r="42" spans="1:6" ht="14.25" customHeight="1" x14ac:dyDescent="0.2">
      <c r="A42" s="328" t="s">
        <v>1439</v>
      </c>
      <c r="B42" s="328"/>
      <c r="C42" s="1900"/>
      <c r="D42" s="1902"/>
      <c r="E42" s="1283"/>
    </row>
    <row r="43" spans="1:6" ht="14.25" customHeight="1" x14ac:dyDescent="0.2">
      <c r="A43" s="328" t="s">
        <v>1440</v>
      </c>
      <c r="B43" s="328"/>
      <c r="C43" s="1290"/>
      <c r="D43" s="1902"/>
      <c r="E43" s="1283"/>
    </row>
    <row r="44" spans="1:6" ht="14.25" customHeight="1" x14ac:dyDescent="0.2">
      <c r="A44" s="328"/>
      <c r="B44" s="328"/>
      <c r="C44" s="1904" t="s">
        <v>1441</v>
      </c>
      <c r="D44" s="1902"/>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9" t="s">
        <v>1590</v>
      </c>
      <c r="C49" s="2449"/>
      <c r="D49" s="2449"/>
      <c r="E49" s="1396"/>
    </row>
    <row r="50" spans="1:5" s="1297" customFormat="1" ht="3.75" customHeight="1" x14ac:dyDescent="0.2">
      <c r="A50" s="1296"/>
      <c r="B50" s="1845"/>
      <c r="C50" s="1845"/>
      <c r="D50" s="1845"/>
      <c r="E50" s="1396"/>
    </row>
    <row r="51" spans="1:5" s="1297" customFormat="1" ht="20.25" customHeight="1" x14ac:dyDescent="0.2">
      <c r="A51" s="1298">
        <v>6</v>
      </c>
      <c r="B51" s="2444" t="s">
        <v>1551</v>
      </c>
      <c r="C51" s="2444"/>
      <c r="D51" s="2444"/>
    </row>
    <row r="52" spans="1:5" ht="14.25" customHeight="1" x14ac:dyDescent="0.2">
      <c r="A52" s="1298"/>
      <c r="B52" s="2444"/>
      <c r="C52" s="2444"/>
      <c r="D52" s="2444"/>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sheetPr>
  <dimension ref="A1:K143"/>
  <sheetViews>
    <sheetView showGridLines="0" defaultGridColor="0" topLeftCell="A7" colorId="8" zoomScale="110" zoomScaleNormal="110" workbookViewId="0">
      <selection activeCell="B28" sqref="B2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1" t="s">
        <v>1168</v>
      </c>
      <c r="B2" s="2061"/>
      <c r="C2" s="2061"/>
      <c r="D2" s="2061"/>
      <c r="E2" s="2061"/>
      <c r="F2" s="2061"/>
      <c r="G2" s="2061"/>
      <c r="H2" s="2061"/>
      <c r="I2" s="2061"/>
      <c r="J2" s="206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t="s">
        <v>2073</v>
      </c>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5" t="s">
        <v>1633</v>
      </c>
      <c r="B35" s="2076"/>
      <c r="C35" s="2076"/>
      <c r="D35" s="2076"/>
      <c r="E35" s="2077"/>
      <c r="F35" s="2077"/>
      <c r="G35" s="2077"/>
      <c r="H35" s="2077"/>
      <c r="I35" s="207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5" t="s">
        <v>313</v>
      </c>
      <c r="B47" s="2078"/>
      <c r="C47" s="2078"/>
      <c r="D47" s="2078"/>
      <c r="E47" s="2079"/>
      <c r="F47" s="2079"/>
      <c r="G47" s="2079"/>
      <c r="H47" s="2079"/>
      <c r="I47" s="207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2073</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2"/>
      <c r="C57" s="2083"/>
      <c r="D57" s="2083"/>
      <c r="E57" s="2083"/>
      <c r="F57" s="2083"/>
      <c r="G57" s="2083"/>
      <c r="H57" s="2083"/>
      <c r="I57" s="2083"/>
      <c r="J57" s="2084"/>
    </row>
    <row r="58" spans="1:10" s="181" customFormat="1" x14ac:dyDescent="0.2">
      <c r="A58" s="253"/>
      <c r="B58" s="2085"/>
      <c r="C58" s="2086"/>
      <c r="D58" s="2086"/>
      <c r="E58" s="2086"/>
      <c r="F58" s="2086"/>
      <c r="G58" s="2086"/>
      <c r="H58" s="2086"/>
      <c r="I58" s="2086"/>
      <c r="J58" s="2087"/>
    </row>
    <row r="59" spans="1:10" s="181" customFormat="1" x14ac:dyDescent="0.2">
      <c r="A59" s="253"/>
      <c r="B59" s="2085"/>
      <c r="C59" s="2086"/>
      <c r="D59" s="2086"/>
      <c r="E59" s="2086"/>
      <c r="F59" s="2086"/>
      <c r="G59" s="2086"/>
      <c r="H59" s="2086"/>
      <c r="I59" s="2086"/>
      <c r="J59" s="2087"/>
    </row>
    <row r="60" spans="1:10" s="181" customFormat="1" x14ac:dyDescent="0.2">
      <c r="A60" s="253"/>
      <c r="B60" s="2085"/>
      <c r="C60" s="2086"/>
      <c r="D60" s="2086"/>
      <c r="E60" s="2086"/>
      <c r="F60" s="2086"/>
      <c r="G60" s="2086"/>
      <c r="H60" s="2086"/>
      <c r="I60" s="2086"/>
      <c r="J60" s="2087"/>
    </row>
    <row r="61" spans="1:10" s="181" customFormat="1" x14ac:dyDescent="0.2">
      <c r="A61" s="253"/>
      <c r="B61" s="2085"/>
      <c r="C61" s="2086"/>
      <c r="D61" s="2086"/>
      <c r="E61" s="2086"/>
      <c r="F61" s="2086"/>
      <c r="G61" s="2086"/>
      <c r="H61" s="2086"/>
      <c r="I61" s="2086"/>
      <c r="J61" s="2087"/>
    </row>
    <row r="62" spans="1:10" s="181" customFormat="1" x14ac:dyDescent="0.2">
      <c r="A62" s="253"/>
      <c r="B62" s="2085"/>
      <c r="C62" s="2086"/>
      <c r="D62" s="2086"/>
      <c r="E62" s="2086"/>
      <c r="F62" s="2086"/>
      <c r="G62" s="2086"/>
      <c r="H62" s="2086"/>
      <c r="I62" s="2086"/>
      <c r="J62" s="2087"/>
    </row>
    <row r="63" spans="1:10" s="181" customFormat="1" x14ac:dyDescent="0.2">
      <c r="A63" s="253"/>
      <c r="B63" s="2085"/>
      <c r="C63" s="2086"/>
      <c r="D63" s="2086"/>
      <c r="E63" s="2086"/>
      <c r="F63" s="2086"/>
      <c r="G63" s="2086"/>
      <c r="H63" s="2086"/>
      <c r="I63" s="2086"/>
      <c r="J63" s="2087"/>
    </row>
    <row r="64" spans="1:10" s="181" customFormat="1" x14ac:dyDescent="0.2">
      <c r="A64" s="253"/>
      <c r="B64" s="2085"/>
      <c r="C64" s="2086"/>
      <c r="D64" s="2086"/>
      <c r="E64" s="2086"/>
      <c r="F64" s="2086"/>
      <c r="G64" s="2086"/>
      <c r="H64" s="2086"/>
      <c r="I64" s="2086"/>
      <c r="J64" s="2087"/>
    </row>
    <row r="65" spans="1:10" s="181" customFormat="1" x14ac:dyDescent="0.2">
      <c r="A65" s="253"/>
      <c r="B65" s="2085"/>
      <c r="C65" s="2086"/>
      <c r="D65" s="2086"/>
      <c r="E65" s="2086"/>
      <c r="F65" s="2086"/>
      <c r="G65" s="2086"/>
      <c r="H65" s="2086"/>
      <c r="I65" s="2086"/>
      <c r="J65" s="2087"/>
    </row>
    <row r="66" spans="1:10" s="181" customFormat="1" x14ac:dyDescent="0.2">
      <c r="A66" s="253"/>
      <c r="B66" s="2085"/>
      <c r="C66" s="2086"/>
      <c r="D66" s="2086"/>
      <c r="E66" s="2086"/>
      <c r="F66" s="2086"/>
      <c r="G66" s="2086"/>
      <c r="H66" s="2086"/>
      <c r="I66" s="2086"/>
      <c r="J66" s="2087"/>
    </row>
    <row r="67" spans="1:10" s="181" customFormat="1" ht="9" customHeight="1" x14ac:dyDescent="0.2">
      <c r="A67" s="254"/>
      <c r="B67" s="2088"/>
      <c r="C67" s="2089"/>
      <c r="D67" s="2089"/>
      <c r="E67" s="2089"/>
      <c r="F67" s="2089"/>
      <c r="G67" s="2089"/>
      <c r="H67" s="2089"/>
      <c r="I67" s="2089"/>
      <c r="J67" s="209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5" t="s">
        <v>1323</v>
      </c>
      <c r="B70" s="2078"/>
      <c r="C70" s="2078"/>
      <c r="D70" s="2078"/>
      <c r="E70" s="2079"/>
      <c r="F70" s="2079"/>
      <c r="G70" s="2079"/>
      <c r="H70" s="2079"/>
      <c r="I70" s="207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0" t="s">
        <v>1320</v>
      </c>
      <c r="B83" s="2080"/>
      <c r="C83" s="2080"/>
      <c r="D83" s="208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2"/>
      <c r="C102" s="2063"/>
      <c r="D102" s="2063"/>
      <c r="E102" s="2063"/>
      <c r="F102" s="2063"/>
      <c r="G102" s="2063"/>
      <c r="H102" s="2063"/>
      <c r="I102" s="2064"/>
    </row>
    <row r="103" spans="1:9" s="181" customFormat="1" ht="11.25" customHeight="1" x14ac:dyDescent="0.2">
      <c r="A103" s="316"/>
      <c r="B103" s="2065"/>
      <c r="C103" s="2066"/>
      <c r="D103" s="2066"/>
      <c r="E103" s="2066"/>
      <c r="F103" s="2066"/>
      <c r="G103" s="2066"/>
      <c r="H103" s="2066"/>
      <c r="I103" s="2067"/>
    </row>
    <row r="104" spans="1:9" s="181" customFormat="1" ht="11.25" customHeight="1" x14ac:dyDescent="0.2">
      <c r="A104" s="316"/>
      <c r="B104" s="2065"/>
      <c r="C104" s="2066"/>
      <c r="D104" s="2066"/>
      <c r="E104" s="2066"/>
      <c r="F104" s="2066"/>
      <c r="G104" s="2066"/>
      <c r="H104" s="2066"/>
      <c r="I104" s="2067"/>
    </row>
    <row r="105" spans="1:9" s="181" customFormat="1" x14ac:dyDescent="0.2">
      <c r="A105" s="316"/>
      <c r="B105" s="2065"/>
      <c r="C105" s="2066"/>
      <c r="D105" s="2066"/>
      <c r="E105" s="2066"/>
      <c r="F105" s="2066"/>
      <c r="G105" s="2066"/>
      <c r="H105" s="2066"/>
      <c r="I105" s="2067"/>
    </row>
    <row r="106" spans="1:9" s="181" customFormat="1" ht="11.25" customHeight="1" x14ac:dyDescent="0.2">
      <c r="A106" s="316"/>
      <c r="B106" s="2065"/>
      <c r="C106" s="2066"/>
      <c r="D106" s="2066"/>
      <c r="E106" s="2066"/>
      <c r="F106" s="2066"/>
      <c r="G106" s="2066"/>
      <c r="H106" s="2066"/>
      <c r="I106" s="2067"/>
    </row>
    <row r="107" spans="1:9" s="181" customFormat="1" ht="11.25" customHeight="1" x14ac:dyDescent="0.2">
      <c r="A107" s="316"/>
      <c r="B107" s="2065"/>
      <c r="C107" s="2066"/>
      <c r="D107" s="2066"/>
      <c r="E107" s="2066"/>
      <c r="F107" s="2066"/>
      <c r="G107" s="2066"/>
      <c r="H107" s="2066"/>
      <c r="I107" s="2067"/>
    </row>
    <row r="108" spans="1:9" s="181" customFormat="1" ht="11.25" customHeight="1" x14ac:dyDescent="0.2">
      <c r="A108" s="316"/>
      <c r="B108" s="2065"/>
      <c r="C108" s="2066"/>
      <c r="D108" s="2066"/>
      <c r="E108" s="2066"/>
      <c r="F108" s="2066"/>
      <c r="G108" s="2066"/>
      <c r="H108" s="2066"/>
      <c r="I108" s="2067"/>
    </row>
    <row r="109" spans="1:9" s="181" customFormat="1" ht="11.25" customHeight="1" x14ac:dyDescent="0.2">
      <c r="A109" s="316"/>
      <c r="B109" s="2065"/>
      <c r="C109" s="2066"/>
      <c r="D109" s="2066"/>
      <c r="E109" s="2066"/>
      <c r="F109" s="2066"/>
      <c r="G109" s="2066"/>
      <c r="H109" s="2066"/>
      <c r="I109" s="2067"/>
    </row>
    <row r="110" spans="1:9" s="181" customFormat="1" ht="11.25" customHeight="1" x14ac:dyDescent="0.2">
      <c r="A110" s="316"/>
      <c r="B110" s="2065"/>
      <c r="C110" s="2066"/>
      <c r="D110" s="2066"/>
      <c r="E110" s="2066"/>
      <c r="F110" s="2066"/>
      <c r="G110" s="2066"/>
      <c r="H110" s="2066"/>
      <c r="I110" s="2067"/>
    </row>
    <row r="111" spans="1:9" s="181" customFormat="1" ht="11.25" customHeight="1" x14ac:dyDescent="0.2">
      <c r="A111" s="316"/>
      <c r="B111" s="2065"/>
      <c r="C111" s="2066"/>
      <c r="D111" s="2066"/>
      <c r="E111" s="2066"/>
      <c r="F111" s="2066"/>
      <c r="G111" s="2066"/>
      <c r="H111" s="2066"/>
      <c r="I111" s="2067"/>
    </row>
    <row r="112" spans="1:9" s="181" customFormat="1" ht="11.25" customHeight="1" x14ac:dyDescent="0.2">
      <c r="A112" s="316"/>
      <c r="B112" s="2068"/>
      <c r="C112" s="2069"/>
      <c r="D112" s="2069"/>
      <c r="E112" s="2069"/>
      <c r="F112" s="2069"/>
      <c r="G112" s="2069"/>
      <c r="H112" s="2069"/>
      <c r="I112" s="207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1" t="s">
        <v>2064</v>
      </c>
      <c r="D114" s="207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2" t="s">
        <v>1330</v>
      </c>
      <c r="D117" s="2073"/>
      <c r="E117" s="2074"/>
      <c r="F117" s="2074"/>
      <c r="G117" s="2074"/>
      <c r="H117" s="2074"/>
      <c r="I117" s="304"/>
    </row>
    <row r="118" spans="1:9" s="181" customFormat="1" ht="24" customHeight="1" x14ac:dyDescent="0.2">
      <c r="A118" s="316"/>
      <c r="B118" s="316"/>
      <c r="C118" s="316"/>
      <c r="D118" s="323" t="s">
        <v>2081</v>
      </c>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7" t="str">
        <f>'Single Audit Cover'!A7</f>
        <v>Allen-Otter Creek CCSD 65</v>
      </c>
      <c r="C1" s="2468"/>
      <c r="D1" s="2468"/>
      <c r="E1" s="2468"/>
      <c r="F1" s="2468"/>
      <c r="G1" s="2468"/>
      <c r="H1" s="2468"/>
      <c r="I1" s="2468"/>
      <c r="J1" s="1406"/>
    </row>
    <row r="2" spans="2:10" s="317" customFormat="1" ht="12.75" customHeight="1" x14ac:dyDescent="0.2">
      <c r="B2" s="2469">
        <f>'Single Audit Cover'!E7</f>
        <v>35050065004</v>
      </c>
      <c r="C2" s="2470"/>
      <c r="D2" s="2470"/>
      <c r="E2" s="2470"/>
      <c r="F2" s="2470"/>
      <c r="G2" s="2470"/>
      <c r="H2" s="2470"/>
      <c r="I2" s="2470"/>
      <c r="J2" s="1406"/>
    </row>
    <row r="3" spans="2:10" s="317" customFormat="1" ht="12.75" customHeight="1" x14ac:dyDescent="0.2">
      <c r="B3" s="2471" t="s">
        <v>1285</v>
      </c>
      <c r="C3" s="2472"/>
      <c r="D3" s="2472"/>
      <c r="E3" s="2472"/>
      <c r="F3" s="2472"/>
      <c r="G3" s="2472"/>
      <c r="H3" s="2472"/>
      <c r="I3" s="2472"/>
      <c r="J3" s="1407"/>
    </row>
    <row r="4" spans="2:10" s="317" customFormat="1" ht="12.75" customHeight="1" x14ac:dyDescent="0.2">
      <c r="B4" s="2471" t="str">
        <f>'Single Audit Cover'!A4</f>
        <v>Year Ending June 30, 2019</v>
      </c>
      <c r="C4" s="2472"/>
      <c r="D4" s="2472"/>
      <c r="E4" s="2472"/>
      <c r="F4" s="2472"/>
      <c r="G4" s="2472"/>
      <c r="H4" s="2472"/>
      <c r="I4" s="2472"/>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71" t="s">
        <v>1284</v>
      </c>
      <c r="C7" s="2472"/>
      <c r="D7" s="2472"/>
      <c r="E7" s="2472"/>
      <c r="F7" s="2472"/>
      <c r="G7" s="2472"/>
      <c r="H7" s="2472"/>
      <c r="I7" s="2472"/>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73"/>
      <c r="D11" s="2473"/>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4"/>
      <c r="E29" s="2474"/>
      <c r="F29" s="2474"/>
      <c r="G29" s="2474"/>
      <c r="H29" s="2474"/>
      <c r="I29" s="2474"/>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75" t="s">
        <v>1751</v>
      </c>
      <c r="D37" s="2476"/>
      <c r="E37" s="2476"/>
      <c r="F37" s="2477"/>
      <c r="G37" s="2475" t="s">
        <v>1592</v>
      </c>
      <c r="H37" s="2476"/>
      <c r="I37" s="2477"/>
    </row>
    <row r="38" spans="2:9" ht="16.5" customHeight="1" x14ac:dyDescent="0.2">
      <c r="B38" s="1428"/>
      <c r="C38" s="2463"/>
      <c r="D38" s="2464"/>
      <c r="E38" s="2464"/>
      <c r="F38" s="2465"/>
      <c r="G38" s="2478"/>
      <c r="H38" s="2479"/>
      <c r="I38" s="2480"/>
    </row>
    <row r="39" spans="2:9" ht="16.5" customHeight="1" x14ac:dyDescent="0.2">
      <c r="B39" s="1428"/>
      <c r="C39" s="2463"/>
      <c r="D39" s="2464"/>
      <c r="E39" s="2464"/>
      <c r="F39" s="2465"/>
      <c r="G39" s="2466"/>
      <c r="H39" s="2466"/>
      <c r="I39" s="2466"/>
    </row>
    <row r="40" spans="2:9" ht="16.5" customHeight="1" x14ac:dyDescent="0.2">
      <c r="B40" s="1428"/>
      <c r="C40" s="2463"/>
      <c r="D40" s="2464"/>
      <c r="E40" s="2464"/>
      <c r="F40" s="2465"/>
      <c r="G40" s="2466"/>
      <c r="H40" s="2466"/>
      <c r="I40" s="2466"/>
    </row>
    <row r="41" spans="2:9" ht="16.5" customHeight="1" x14ac:dyDescent="0.2">
      <c r="B41" s="1428"/>
      <c r="C41" s="2463"/>
      <c r="D41" s="2464"/>
      <c r="E41" s="2464"/>
      <c r="F41" s="2465"/>
      <c r="G41" s="2466"/>
      <c r="H41" s="2466"/>
      <c r="I41" s="2466"/>
    </row>
    <row r="42" spans="2:9" ht="16.5" customHeight="1" x14ac:dyDescent="0.2">
      <c r="B42" s="1428"/>
      <c r="C42" s="2463"/>
      <c r="D42" s="2464"/>
      <c r="E42" s="2464"/>
      <c r="F42" s="2465"/>
      <c r="G42" s="2466"/>
      <c r="H42" s="2466"/>
      <c r="I42" s="2466"/>
    </row>
    <row r="43" spans="2:9" ht="16.5" customHeight="1" x14ac:dyDescent="0.2">
      <c r="B43" s="1428"/>
      <c r="C43" s="2456" t="s">
        <v>1593</v>
      </c>
      <c r="D43" s="2457"/>
      <c r="E43" s="2457"/>
      <c r="F43" s="2458"/>
      <c r="G43" s="2459">
        <f>SUM(G38:I42)</f>
        <v>0</v>
      </c>
      <c r="H43" s="2459"/>
      <c r="I43" s="2459"/>
    </row>
    <row r="44" spans="2:9" ht="12.75" customHeight="1" x14ac:dyDescent="0.2"/>
    <row r="45" spans="2:9" ht="12.75" customHeight="1" x14ac:dyDescent="0.2">
      <c r="B45" s="1419" t="s">
        <v>2062</v>
      </c>
      <c r="D45" s="2460">
        <v>0</v>
      </c>
      <c r="E45" s="2461"/>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62"/>
      <c r="F49" s="2462"/>
      <c r="G49" s="2462"/>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9"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7" t="str">
        <f>'Single Audit Cover'!A7</f>
        <v>Allen-Otter Creek CCSD 65</v>
      </c>
      <c r="C1" s="2467"/>
      <c r="D1" s="2467"/>
      <c r="E1" s="2467"/>
      <c r="F1" s="2467"/>
      <c r="G1" s="2467"/>
      <c r="H1" s="2467"/>
      <c r="I1" s="2467"/>
      <c r="J1" s="2467"/>
      <c r="K1" s="2467"/>
      <c r="L1" s="1371"/>
      <c r="M1" s="1371"/>
    </row>
    <row r="2" spans="1:13" ht="12" customHeight="1" x14ac:dyDescent="0.2">
      <c r="B2" s="2469">
        <f>'Single Audit Cover'!E7</f>
        <v>35050065004</v>
      </c>
      <c r="C2" s="2469"/>
      <c r="D2" s="2469"/>
      <c r="E2" s="2469"/>
      <c r="F2" s="2469"/>
      <c r="G2" s="2469"/>
      <c r="H2" s="2469"/>
      <c r="I2" s="2469"/>
      <c r="J2" s="2469"/>
      <c r="K2" s="2469"/>
      <c r="L2" s="1372"/>
      <c r="M2" s="1373"/>
    </row>
    <row r="3" spans="1:13" ht="10.35" customHeight="1" x14ac:dyDescent="0.2">
      <c r="B3" s="2483" t="s">
        <v>1285</v>
      </c>
      <c r="C3" s="2483"/>
      <c r="D3" s="2483"/>
      <c r="E3" s="2483"/>
      <c r="F3" s="2483"/>
      <c r="G3" s="2483"/>
      <c r="H3" s="2483"/>
      <c r="I3" s="2483"/>
      <c r="J3" s="2483"/>
      <c r="K3" s="2483"/>
      <c r="L3" s="1374"/>
      <c r="M3" s="1374"/>
    </row>
    <row r="4" spans="1:13" ht="14.25" customHeight="1" x14ac:dyDescent="0.2">
      <c r="B4" s="2484" t="str">
        <f>'Single Audit Cover'!A4</f>
        <v>Year Ending June 30, 2019</v>
      </c>
      <c r="C4" s="2484"/>
      <c r="D4" s="2484"/>
      <c r="E4" s="2484"/>
      <c r="F4" s="2484"/>
      <c r="G4" s="2484"/>
      <c r="H4" s="2484"/>
      <c r="I4" s="2484"/>
      <c r="J4" s="2484"/>
      <c r="K4" s="248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4" t="s">
        <v>1296</v>
      </c>
      <c r="C7" s="2484"/>
      <c r="D7" s="2485"/>
      <c r="E7" s="2485"/>
      <c r="F7" s="2485"/>
      <c r="G7" s="2485"/>
      <c r="H7" s="2485"/>
      <c r="I7" s="2485"/>
      <c r="J7" s="2485"/>
      <c r="K7" s="248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2"/>
      <c r="C14" s="2482"/>
      <c r="D14" s="2482"/>
      <c r="E14" s="2482"/>
      <c r="F14" s="2482"/>
      <c r="G14" s="2482"/>
      <c r="H14" s="2482"/>
      <c r="I14" s="2482"/>
      <c r="J14" s="2482"/>
      <c r="K14" s="248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2"/>
      <c r="C17" s="2482"/>
      <c r="D17" s="2482"/>
      <c r="E17" s="2482"/>
      <c r="F17" s="2482"/>
      <c r="G17" s="2482"/>
      <c r="H17" s="2482"/>
      <c r="I17" s="2482"/>
      <c r="J17" s="2482"/>
      <c r="K17" s="2482"/>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6"/>
      <c r="C20" s="2486"/>
      <c r="D20" s="2482"/>
      <c r="E20" s="2482"/>
      <c r="F20" s="2482"/>
      <c r="G20" s="2482"/>
      <c r="H20" s="2482"/>
      <c r="I20" s="2482"/>
      <c r="J20" s="2482"/>
      <c r="K20" s="2482"/>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2"/>
      <c r="C23" s="2482"/>
      <c r="D23" s="2482"/>
      <c r="E23" s="2482"/>
      <c r="F23" s="2482"/>
      <c r="G23" s="2482"/>
      <c r="H23" s="2482"/>
      <c r="I23" s="2482"/>
      <c r="J23" s="2482"/>
      <c r="K23" s="2482"/>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2"/>
      <c r="C26" s="2482"/>
      <c r="D26" s="2482"/>
      <c r="E26" s="2482"/>
      <c r="F26" s="2482"/>
      <c r="G26" s="2482"/>
      <c r="H26" s="2482"/>
      <c r="I26" s="2482"/>
      <c r="J26" s="2482"/>
      <c r="K26" s="2482"/>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1"/>
      <c r="C29" s="2481"/>
      <c r="D29" s="2482"/>
      <c r="E29" s="2482"/>
      <c r="F29" s="2482"/>
      <c r="G29" s="2482"/>
      <c r="H29" s="2482"/>
      <c r="I29" s="2482"/>
      <c r="J29" s="2482"/>
      <c r="K29" s="248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81"/>
      <c r="C32" s="2481"/>
      <c r="D32" s="2482"/>
      <c r="E32" s="2482"/>
      <c r="F32" s="2482"/>
      <c r="G32" s="2482"/>
      <c r="H32" s="2482"/>
      <c r="I32" s="2482"/>
      <c r="J32" s="2482"/>
      <c r="K32" s="248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0" t="str">
        <f>'Single Audit Cover'!A7</f>
        <v>Allen-Otter Creek CCSD 65</v>
      </c>
      <c r="C1" s="2490"/>
      <c r="D1" s="2490"/>
      <c r="E1" s="2490"/>
      <c r="F1" s="2490"/>
      <c r="G1" s="2490"/>
      <c r="H1" s="2490"/>
      <c r="I1" s="2490"/>
      <c r="J1" s="2490"/>
      <c r="K1" s="2490"/>
      <c r="L1" s="1449"/>
    </row>
    <row r="2" spans="1:12" ht="12.75" customHeight="1" x14ac:dyDescent="0.2">
      <c r="B2" s="2491">
        <f>'Single Audit Cover'!E7</f>
        <v>35050065004</v>
      </c>
      <c r="C2" s="2491"/>
      <c r="D2" s="2491"/>
      <c r="E2" s="2491"/>
      <c r="F2" s="2491"/>
      <c r="G2" s="2491"/>
      <c r="H2" s="2491"/>
      <c r="I2" s="2491"/>
      <c r="J2" s="2491"/>
      <c r="K2" s="2491"/>
      <c r="L2" s="1450"/>
    </row>
    <row r="3" spans="1:12" ht="12.75" customHeight="1" x14ac:dyDescent="0.2">
      <c r="B3" s="2483" t="s">
        <v>1285</v>
      </c>
      <c r="C3" s="2483"/>
      <c r="D3" s="2483"/>
      <c r="E3" s="2483"/>
      <c r="F3" s="2483"/>
      <c r="G3" s="2483"/>
      <c r="H3" s="2483"/>
      <c r="I3" s="2483"/>
      <c r="J3" s="2483"/>
      <c r="K3" s="2483"/>
      <c r="L3" s="1374"/>
    </row>
    <row r="4" spans="1:12" ht="12.75" customHeight="1" x14ac:dyDescent="0.2">
      <c r="B4" s="2483" t="str">
        <f>'Single Audit Cover'!A4</f>
        <v>Year Ending June 30, 2019</v>
      </c>
      <c r="C4" s="2483"/>
      <c r="D4" s="2483"/>
      <c r="E4" s="2483"/>
      <c r="F4" s="2483"/>
      <c r="G4" s="2483"/>
      <c r="H4" s="2483"/>
      <c r="I4" s="2483"/>
      <c r="J4" s="2483"/>
      <c r="K4" s="2483"/>
      <c r="L4" s="1374"/>
    </row>
    <row r="5" spans="1:12" ht="5.25" customHeight="1" x14ac:dyDescent="0.2">
      <c r="B5" s="1257" t="s">
        <v>1169</v>
      </c>
      <c r="C5" s="1257"/>
      <c r="L5" s="322"/>
    </row>
    <row r="6" spans="1:12" ht="30.75" customHeight="1" x14ac:dyDescent="0.2">
      <c r="A6" s="322"/>
      <c r="B6" s="2492" t="s">
        <v>1308</v>
      </c>
      <c r="C6" s="2492"/>
      <c r="D6" s="2492"/>
      <c r="E6" s="2492"/>
      <c r="F6" s="2492"/>
      <c r="G6" s="2492"/>
      <c r="H6" s="2492"/>
      <c r="I6" s="2492"/>
      <c r="J6" s="2492"/>
      <c r="K6" s="2492"/>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4"/>
      <c r="G12" s="2474"/>
      <c r="H12" s="2474"/>
      <c r="I12" s="2474"/>
      <c r="J12" s="2474"/>
      <c r="K12" s="2474"/>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7"/>
      <c r="E14" s="2487"/>
      <c r="F14" s="2487"/>
      <c r="H14" s="1459" t="s">
        <v>1303</v>
      </c>
      <c r="I14" s="2488"/>
      <c r="J14" s="2488"/>
      <c r="K14" s="2488"/>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8"/>
      <c r="E16" s="2488"/>
      <c r="F16" s="2488"/>
      <c r="G16" s="2488"/>
      <c r="H16" s="2488"/>
      <c r="I16" s="2488"/>
      <c r="J16" s="2488"/>
      <c r="K16" s="2488"/>
      <c r="L16" s="322"/>
    </row>
    <row r="17" spans="2:12" ht="13.5" customHeight="1" x14ac:dyDescent="0.2">
      <c r="B17" s="1384" t="s">
        <v>1301</v>
      </c>
      <c r="C17" s="1384"/>
      <c r="D17" s="2489"/>
      <c r="E17" s="2489"/>
      <c r="F17" s="2489"/>
      <c r="G17" s="2489"/>
      <c r="H17" s="2489"/>
      <c r="I17" s="2489"/>
      <c r="J17" s="2489"/>
      <c r="K17" s="2489"/>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2"/>
      <c r="C20" s="2482"/>
      <c r="D20" s="2482"/>
      <c r="E20" s="2482"/>
      <c r="F20" s="2482"/>
      <c r="G20" s="2482"/>
      <c r="H20" s="2482"/>
      <c r="I20" s="2482"/>
      <c r="J20" s="2482"/>
      <c r="K20" s="2482"/>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82"/>
      <c r="C23" s="2482"/>
      <c r="D23" s="2482"/>
      <c r="E23" s="2482"/>
      <c r="F23" s="2482"/>
      <c r="G23" s="2482"/>
      <c r="H23" s="2482"/>
      <c r="I23" s="2482"/>
      <c r="J23" s="2482"/>
      <c r="K23" s="2482"/>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82"/>
      <c r="C26" s="2482"/>
      <c r="D26" s="2482"/>
      <c r="E26" s="2482"/>
      <c r="F26" s="2482"/>
      <c r="G26" s="2482"/>
      <c r="H26" s="2482"/>
      <c r="I26" s="2482"/>
      <c r="J26" s="2482"/>
      <c r="K26" s="2482"/>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82"/>
      <c r="C29" s="2482"/>
      <c r="D29" s="2482"/>
      <c r="E29" s="2482"/>
      <c r="F29" s="2482"/>
      <c r="G29" s="2482"/>
      <c r="H29" s="2482"/>
      <c r="I29" s="2482"/>
      <c r="J29" s="2482"/>
      <c r="K29" s="2482"/>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2"/>
      <c r="C32" s="2482"/>
      <c r="D32" s="2482"/>
      <c r="E32" s="2482"/>
      <c r="F32" s="2482"/>
      <c r="G32" s="2482"/>
      <c r="H32" s="2482"/>
      <c r="I32" s="2482"/>
      <c r="J32" s="2482"/>
      <c r="K32" s="2482"/>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2"/>
      <c r="C35" s="2482"/>
      <c r="D35" s="2482"/>
      <c r="E35" s="2482"/>
      <c r="F35" s="2482"/>
      <c r="G35" s="2482"/>
      <c r="H35" s="2482"/>
      <c r="I35" s="2482"/>
      <c r="J35" s="2482"/>
      <c r="K35" s="2482"/>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2"/>
      <c r="C38" s="2482"/>
      <c r="D38" s="2482"/>
      <c r="E38" s="2482"/>
      <c r="F38" s="2482"/>
      <c r="G38" s="2482"/>
      <c r="H38" s="2482"/>
      <c r="I38" s="2482"/>
      <c r="J38" s="2482"/>
      <c r="K38" s="248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82"/>
      <c r="C41" s="2482"/>
      <c r="D41" s="2482"/>
      <c r="E41" s="2482"/>
      <c r="F41" s="2482"/>
      <c r="G41" s="2482"/>
      <c r="H41" s="2482"/>
      <c r="I41" s="2482"/>
      <c r="J41" s="2482"/>
      <c r="K41" s="2482"/>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7" t="str">
        <f>'Single Audit Cover'!A7</f>
        <v>Allen-Otter Creek CCSD 65</v>
      </c>
      <c r="C1" s="2467"/>
      <c r="D1" s="2467"/>
      <c r="E1" s="1469"/>
    </row>
    <row r="2" spans="2:5" s="1279" customFormat="1" ht="12.75" customHeight="1" x14ac:dyDescent="0.2">
      <c r="B2" s="2469">
        <f>'Single Audit Cover'!E7</f>
        <v>35050065004</v>
      </c>
      <c r="C2" s="2469"/>
      <c r="D2" s="2469"/>
      <c r="E2" s="1470"/>
    </row>
    <row r="3" spans="2:5" ht="12.75" customHeight="1" x14ac:dyDescent="0.2">
      <c r="B3" s="2483" t="s">
        <v>1766</v>
      </c>
      <c r="C3" s="2483"/>
      <c r="D3" s="2483"/>
      <c r="E3" s="1271"/>
    </row>
    <row r="4" spans="2:5" s="1279" customFormat="1" ht="12.75" customHeight="1" x14ac:dyDescent="0.2">
      <c r="B4" s="2493" t="str">
        <f>'Single Audit Cover'!A4</f>
        <v>Year Ending June 30, 2019</v>
      </c>
      <c r="C4" s="2493"/>
      <c r="D4" s="2493"/>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sheetPr>
  <dimension ref="A1:N72"/>
  <sheetViews>
    <sheetView showGridLines="0" defaultGridColor="0" colorId="8" zoomScale="110" zoomScaleNormal="110" workbookViewId="0">
      <selection activeCell="L31" sqref="L3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1" t="s">
        <v>386</v>
      </c>
      <c r="B1" s="2091"/>
      <c r="C1" s="2091"/>
      <c r="D1" s="2091"/>
      <c r="E1" s="2091"/>
      <c r="F1" s="2091"/>
      <c r="G1" s="2091"/>
      <c r="H1" s="2091"/>
      <c r="I1" s="2091"/>
      <c r="J1" s="2091"/>
      <c r="K1" s="2091"/>
      <c r="L1" s="2091"/>
      <c r="M1" s="209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50885608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1.4200000000000001E-2</v>
      </c>
      <c r="E10" s="356" t="s">
        <v>1005</v>
      </c>
      <c r="F10" s="355">
        <v>3.81E-3</v>
      </c>
      <c r="G10" s="356" t="s">
        <v>1005</v>
      </c>
      <c r="H10" s="355">
        <v>1.1999999999999999E-3</v>
      </c>
      <c r="I10" s="356" t="s">
        <v>1006</v>
      </c>
      <c r="J10" s="1732">
        <f>ROUND(D10+F10+H10,5)</f>
        <v>1.9210000000000001E-2</v>
      </c>
      <c r="K10" s="222"/>
      <c r="L10" s="355">
        <v>5.0000000000000001E-4</v>
      </c>
      <c r="M10" s="222"/>
    </row>
    <row r="11" spans="1:14" ht="7.5" customHeight="1" x14ac:dyDescent="0.2">
      <c r="B11" s="222"/>
      <c r="C11" s="222"/>
      <c r="D11" s="2101" t="str">
        <f>IF(SUM(J10)&lt;=0.0999999,"","Enter the Tax Rates by moving the decimal two places to the left.")</f>
        <v/>
      </c>
      <c r="E11" s="2102"/>
      <c r="F11" s="2102"/>
      <c r="G11" s="2102"/>
      <c r="H11" s="2102"/>
      <c r="I11" s="2102"/>
      <c r="J11" s="210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1538121</v>
      </c>
      <c r="E16" s="356"/>
      <c r="F16" s="1733">
        <f>SUM('Acct Summary 7-8'!C17,'Acct Summary 7-8'!D17,'Acct Summary 7-8'!F17)</f>
        <v>1678917</v>
      </c>
      <c r="G16" s="356"/>
      <c r="H16" s="1733">
        <f>SUM(D16-F16)</f>
        <v>-140796</v>
      </c>
      <c r="I16" s="222"/>
      <c r="J16" s="1733">
        <f>SUM('Acct Summary 7-8'!C81,'Acct Summary 7-8'!D81,'Acct Summary 7-8'!F81,'Acct Summary 7-8'!I81)</f>
        <v>726997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2073</v>
      </c>
      <c r="C31" s="367" t="s">
        <v>586</v>
      </c>
      <c r="D31" s="237" t="s">
        <v>1072</v>
      </c>
      <c r="E31" s="222"/>
      <c r="F31" s="222"/>
      <c r="G31" s="363"/>
      <c r="H31" s="1735">
        <f>IF(B31="X",(J7*0.069),IF(B32="X",(J7*0.138),"Enter x in a.or b."))</f>
        <v>3511106.9520000005</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205000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2"/>
      <c r="C54" s="2093"/>
      <c r="D54" s="2093"/>
      <c r="E54" s="2093"/>
      <c r="F54" s="2093"/>
      <c r="G54" s="2093"/>
      <c r="H54" s="2093"/>
      <c r="I54" s="2093"/>
      <c r="J54" s="2093"/>
      <c r="K54" s="2093"/>
      <c r="L54" s="2094"/>
      <c r="M54" s="380"/>
    </row>
    <row r="55" spans="1:13" ht="12.75" customHeight="1" x14ac:dyDescent="0.2">
      <c r="B55" s="2095"/>
      <c r="C55" s="2096"/>
      <c r="D55" s="2096"/>
      <c r="E55" s="2096"/>
      <c r="F55" s="2096"/>
      <c r="G55" s="2096"/>
      <c r="H55" s="2096"/>
      <c r="I55" s="2096"/>
      <c r="J55" s="2096"/>
      <c r="K55" s="2096"/>
      <c r="L55" s="2097"/>
      <c r="M55" s="380"/>
    </row>
    <row r="56" spans="1:13" ht="12.75" customHeight="1" x14ac:dyDescent="0.2">
      <c r="B56" s="2095"/>
      <c r="C56" s="2096"/>
      <c r="D56" s="2096"/>
      <c r="E56" s="2096"/>
      <c r="F56" s="2096"/>
      <c r="G56" s="2096"/>
      <c r="H56" s="2096"/>
      <c r="I56" s="2096"/>
      <c r="J56" s="2096"/>
      <c r="K56" s="2096"/>
      <c r="L56" s="2097"/>
      <c r="M56" s="222"/>
    </row>
    <row r="57" spans="1:13" ht="12.75" customHeight="1" x14ac:dyDescent="0.2">
      <c r="B57" s="2095"/>
      <c r="C57" s="2096"/>
      <c r="D57" s="2096"/>
      <c r="E57" s="2096"/>
      <c r="F57" s="2096"/>
      <c r="G57" s="2096"/>
      <c r="H57" s="2096"/>
      <c r="I57" s="2096"/>
      <c r="J57" s="2096"/>
      <c r="K57" s="2096"/>
      <c r="L57" s="2097"/>
      <c r="M57" s="222"/>
    </row>
    <row r="58" spans="1:13" x14ac:dyDescent="0.2">
      <c r="B58" s="2098"/>
      <c r="C58" s="2099"/>
      <c r="D58" s="2099"/>
      <c r="E58" s="2099"/>
      <c r="F58" s="2099"/>
      <c r="G58" s="2099"/>
      <c r="H58" s="2099"/>
      <c r="I58" s="2099"/>
      <c r="J58" s="2099"/>
      <c r="K58" s="2099"/>
      <c r="L58" s="210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3"/>
      <c r="D61" s="210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6"/>
      <c r="B1" s="2107"/>
      <c r="C1" s="2107"/>
      <c r="D1" s="384"/>
      <c r="E1" s="384"/>
      <c r="F1" s="384"/>
      <c r="G1" s="384"/>
      <c r="H1" s="384"/>
      <c r="I1" s="384"/>
      <c r="J1" s="384"/>
      <c r="K1" s="384"/>
      <c r="L1" s="384"/>
      <c r="M1" s="384"/>
      <c r="N1" s="384"/>
      <c r="O1" s="2106"/>
      <c r="P1" s="2107"/>
      <c r="Q1" s="2107"/>
    </row>
    <row r="2" spans="1:18" ht="15" x14ac:dyDescent="0.2">
      <c r="A2" s="2110" t="s">
        <v>556</v>
      </c>
      <c r="B2" s="2110"/>
      <c r="C2" s="2110"/>
      <c r="D2" s="2110"/>
      <c r="E2" s="2110"/>
      <c r="F2" s="2110"/>
      <c r="G2" s="2110"/>
      <c r="H2" s="2110"/>
      <c r="I2" s="2110"/>
      <c r="J2" s="2110"/>
      <c r="K2" s="2110"/>
      <c r="L2" s="2110"/>
      <c r="M2" s="2110"/>
      <c r="N2" s="2110"/>
      <c r="O2" s="2110"/>
      <c r="P2" s="2110"/>
      <c r="Q2" s="2110"/>
      <c r="R2" s="2110"/>
    </row>
    <row r="3" spans="1:18" ht="12.75" x14ac:dyDescent="0.2">
      <c r="A3" s="2111" t="s">
        <v>1413</v>
      </c>
      <c r="B3" s="2111"/>
      <c r="C3" s="2111"/>
      <c r="D3" s="2111"/>
      <c r="E3" s="2111"/>
      <c r="F3" s="2111"/>
      <c r="G3" s="2111"/>
      <c r="H3" s="2111"/>
      <c r="I3" s="2111"/>
      <c r="J3" s="2111"/>
      <c r="K3" s="2111"/>
      <c r="L3" s="2111"/>
      <c r="M3" s="2111"/>
      <c r="N3" s="2111"/>
      <c r="O3" s="2111"/>
      <c r="P3" s="2111"/>
      <c r="Q3" s="2111"/>
      <c r="R3" s="2111"/>
    </row>
    <row r="4" spans="1:18" x14ac:dyDescent="0.2">
      <c r="A4" s="2112" t="s">
        <v>1554</v>
      </c>
      <c r="B4" s="2112"/>
      <c r="C4" s="2112"/>
      <c r="D4" s="2112"/>
      <c r="E4" s="2112"/>
      <c r="F4" s="2112"/>
      <c r="G4" s="2112"/>
      <c r="H4" s="2112"/>
      <c r="I4" s="2112"/>
      <c r="J4" s="2112"/>
      <c r="K4" s="2112"/>
      <c r="L4" s="2112"/>
      <c r="M4" s="2112"/>
      <c r="N4" s="2112"/>
      <c r="O4" s="2112"/>
      <c r="P4" s="2112"/>
      <c r="Q4" s="2112"/>
      <c r="R4" s="211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Allen-Otter Creek CCSD 65</v>
      </c>
      <c r="E7" s="391"/>
      <c r="G7" s="252"/>
      <c r="H7" s="387"/>
      <c r="I7" s="387"/>
      <c r="J7" s="387"/>
      <c r="K7" s="387"/>
      <c r="L7" s="329"/>
      <c r="M7" s="329"/>
      <c r="N7" s="329"/>
      <c r="O7" s="329"/>
      <c r="P7" s="329"/>
    </row>
    <row r="8" spans="1:18" ht="12.75" x14ac:dyDescent="0.2">
      <c r="A8" s="329"/>
      <c r="B8" s="329"/>
      <c r="C8" s="389" t="s">
        <v>1125</v>
      </c>
      <c r="D8" s="392">
        <f>COVER!A13</f>
        <v>35050065004</v>
      </c>
      <c r="E8" s="393"/>
      <c r="G8" s="329"/>
      <c r="H8" s="329"/>
      <c r="I8" s="329"/>
      <c r="J8" s="329"/>
      <c r="K8" s="329"/>
      <c r="L8" s="329"/>
      <c r="M8" s="329"/>
      <c r="N8" s="329"/>
      <c r="O8" s="329"/>
      <c r="P8" s="329"/>
    </row>
    <row r="9" spans="1:18" ht="12.75" x14ac:dyDescent="0.2">
      <c r="A9" s="329"/>
      <c r="B9" s="329"/>
      <c r="C9" s="389" t="s">
        <v>713</v>
      </c>
      <c r="D9" s="394" t="str">
        <f>COVER!A15</f>
        <v>LaSalle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726997</v>
      </c>
      <c r="I12" s="404"/>
      <c r="J12" s="404"/>
      <c r="K12" s="405">
        <f>TRUNC((H12/H13*100000),5)/100000</f>
        <v>0.47265267160000002</v>
      </c>
      <c r="L12" s="406"/>
      <c r="M12" s="360" t="s">
        <v>1144</v>
      </c>
      <c r="N12" s="360"/>
      <c r="O12" s="407">
        <v>0.35</v>
      </c>
      <c r="P12" s="218"/>
      <c r="Q12" s="218"/>
    </row>
    <row r="13" spans="1:18" s="408" customFormat="1" ht="12.75" x14ac:dyDescent="0.2">
      <c r="A13" s="218"/>
      <c r="B13" s="401"/>
      <c r="C13" s="2108" t="s">
        <v>1324</v>
      </c>
      <c r="D13" s="2109"/>
      <c r="E13" s="218"/>
      <c r="F13" s="409" t="s">
        <v>793</v>
      </c>
      <c r="G13" s="402"/>
      <c r="H13" s="403">
        <f>SUM('Acct Summary 7-8'!C8+'Acct Summary 7-8'!D8+'Acct Summary 7-8'!F8+'Acct Summary 7-8'!I8)+H14</f>
        <v>1538121</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1678917</v>
      </c>
      <c r="I17" s="404"/>
      <c r="J17" s="416"/>
      <c r="K17" s="405">
        <f>TRUNC((H17/H18*100000),5)/100000</f>
        <v>1.0915376618000001</v>
      </c>
      <c r="L17" s="406"/>
      <c r="M17" s="417" t="s">
        <v>1171</v>
      </c>
      <c r="O17" s="418" t="str">
        <f>IF(AND(O16="2", J20 &gt; 2),"1",IF(AND(O16 = "1", J20 &gt; 2),"2",IF(AND(O16="1", J20 &gt;1),"1","0")))</f>
        <v>0</v>
      </c>
      <c r="P17" s="218"/>
    </row>
    <row r="18" spans="1:18" s="408" customFormat="1" ht="11.25" x14ac:dyDescent="0.2">
      <c r="A18" s="218"/>
      <c r="B18" s="401"/>
      <c r="C18" s="2108" t="s">
        <v>1317</v>
      </c>
      <c r="D18" s="2109"/>
      <c r="E18" s="218"/>
      <c r="F18" s="419" t="s">
        <v>794</v>
      </c>
      <c r="G18" s="402"/>
      <c r="H18" s="403">
        <f>SUM('Acct Summary 7-8'!C8+'Acct Summary 7-8'!D8+'Acct Summary 7-8'!F8+'Acct Summary 7-8'!I8)+H19</f>
        <v>1538121</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4.0710310999999999</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05" t="s">
        <v>1412</v>
      </c>
      <c r="D24" s="2105"/>
      <c r="E24" s="218"/>
      <c r="F24" s="218" t="s">
        <v>445</v>
      </c>
      <c r="G24" s="402"/>
      <c r="H24" s="403">
        <f>SUM('Assets-Liab 5-6'!C4+'Assets-Liab 5-6'!D4+'Assets-Liab 5-6'!F4+'Assets-Liab 5-6'!I4+'Assets-Liab 5-6'!C5+'Assets-Liab 5-6'!D5+'Assets-Liab 5-6'!F5+'Assets-Liab 5-6'!I5)</f>
        <v>726997</v>
      </c>
      <c r="I24" s="422"/>
      <c r="J24" s="422"/>
      <c r="K24" s="423">
        <f>TRUNC(((H24/H25*100000)/100000),2)</f>
        <v>155.88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4663.6583300000002</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830885.65023000003</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205000</v>
      </c>
      <c r="I32" s="420"/>
      <c r="J32" s="420"/>
      <c r="K32" s="423">
        <f>TRUNC(100-((((H32/H33*100))*100)/100),2)</f>
        <v>94.16</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3511106.9520000005</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3.55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sheetPr>
  <dimension ref="A1:N44"/>
  <sheetViews>
    <sheetView showGridLines="0" defaultGridColor="0" colorId="8" zoomScale="80" zoomScaleNormal="80" workbookViewId="0">
      <pane ySplit="2" topLeftCell="A18" activePane="bottomLeft" state="frozen"/>
      <selection pane="bottomLeft" activeCell="D44" sqref="D4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5" t="s">
        <v>973</v>
      </c>
      <c r="B3" s="2116"/>
      <c r="C3" s="1559"/>
      <c r="D3" s="1560"/>
      <c r="E3" s="1560"/>
      <c r="F3" s="1560"/>
      <c r="G3" s="1560"/>
      <c r="H3" s="1560"/>
      <c r="I3" s="1560"/>
      <c r="J3" s="1560"/>
      <c r="K3" s="1560"/>
      <c r="L3" s="1560"/>
      <c r="M3" s="1561"/>
      <c r="N3" s="1562"/>
    </row>
    <row r="4" spans="1:14" ht="13.5" customHeight="1" x14ac:dyDescent="0.2">
      <c r="A4" s="463" t="s">
        <v>1651</v>
      </c>
      <c r="B4" s="464"/>
      <c r="C4" s="465">
        <v>409624</v>
      </c>
      <c r="D4" s="466">
        <v>61871</v>
      </c>
      <c r="E4" s="466">
        <v>69486</v>
      </c>
      <c r="F4" s="466">
        <v>32832</v>
      </c>
      <c r="G4" s="466">
        <v>25035</v>
      </c>
      <c r="H4" s="466"/>
      <c r="I4" s="466">
        <v>222670</v>
      </c>
      <c r="J4" s="467">
        <v>63968</v>
      </c>
      <c r="K4" s="466">
        <v>30450</v>
      </c>
      <c r="L4" s="466">
        <v>11843</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409624</v>
      </c>
      <c r="D13" s="1737">
        <f t="shared" ref="D13:L13" si="0">SUM(D4:D12)</f>
        <v>61871</v>
      </c>
      <c r="E13" s="1737">
        <f t="shared" si="0"/>
        <v>69486</v>
      </c>
      <c r="F13" s="1737">
        <f t="shared" si="0"/>
        <v>32832</v>
      </c>
      <c r="G13" s="1737">
        <f t="shared" si="0"/>
        <v>25035</v>
      </c>
      <c r="H13" s="1737">
        <f t="shared" si="0"/>
        <v>0</v>
      </c>
      <c r="I13" s="1737">
        <f t="shared" si="0"/>
        <v>222670</v>
      </c>
      <c r="J13" s="1737">
        <f t="shared" si="0"/>
        <v>63968</v>
      </c>
      <c r="K13" s="1737">
        <f t="shared" si="0"/>
        <v>30450</v>
      </c>
      <c r="L13" s="1737">
        <f t="shared" si="0"/>
        <v>11843</v>
      </c>
      <c r="M13" s="468"/>
      <c r="N13" s="469"/>
    </row>
    <row r="14" spans="1:14" ht="18" customHeight="1" thickTop="1" x14ac:dyDescent="0.2">
      <c r="A14" s="2117" t="s">
        <v>147</v>
      </c>
      <c r="B14" s="2118"/>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201200</v>
      </c>
      <c r="N16" s="484"/>
    </row>
    <row r="17" spans="1:14" s="485" customFormat="1" ht="12.75" customHeight="1" x14ac:dyDescent="0.2">
      <c r="A17" s="482" t="s">
        <v>1403</v>
      </c>
      <c r="B17" s="483">
        <v>230</v>
      </c>
      <c r="C17" s="477"/>
      <c r="D17" s="477"/>
      <c r="E17" s="477"/>
      <c r="F17" s="477"/>
      <c r="G17" s="477"/>
      <c r="H17" s="477"/>
      <c r="I17" s="477"/>
      <c r="J17" s="477"/>
      <c r="K17" s="477"/>
      <c r="L17" s="477"/>
      <c r="M17" s="467">
        <v>685550</v>
      </c>
      <c r="N17" s="484"/>
    </row>
    <row r="18" spans="1:14" s="485" customFormat="1" ht="12.75" customHeight="1" x14ac:dyDescent="0.2">
      <c r="A18" s="482" t="s">
        <v>1404</v>
      </c>
      <c r="B18" s="483">
        <v>240</v>
      </c>
      <c r="C18" s="477"/>
      <c r="D18" s="477"/>
      <c r="E18" s="477"/>
      <c r="F18" s="477"/>
      <c r="G18" s="477"/>
      <c r="H18" s="477"/>
      <c r="I18" s="477"/>
      <c r="J18" s="477"/>
      <c r="K18" s="477"/>
      <c r="L18" s="477"/>
      <c r="M18" s="467">
        <v>46204</v>
      </c>
      <c r="N18" s="484"/>
    </row>
    <row r="19" spans="1:14" s="485" customFormat="1" ht="12.75" customHeight="1" x14ac:dyDescent="0.2">
      <c r="A19" s="482" t="s">
        <v>1405</v>
      </c>
      <c r="B19" s="483">
        <v>250</v>
      </c>
      <c r="C19" s="477"/>
      <c r="D19" s="477"/>
      <c r="E19" s="477"/>
      <c r="F19" s="477"/>
      <c r="G19" s="477"/>
      <c r="H19" s="477"/>
      <c r="I19" s="477"/>
      <c r="J19" s="477"/>
      <c r="K19" s="477"/>
      <c r="L19" s="477"/>
      <c r="M19" s="467">
        <v>79477</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69486</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135514</v>
      </c>
    </row>
    <row r="23" spans="1:14" ht="13.5" customHeight="1" thickBot="1" x14ac:dyDescent="0.25">
      <c r="A23" s="1736" t="s">
        <v>643</v>
      </c>
      <c r="B23" s="1741"/>
      <c r="C23" s="468"/>
      <c r="D23" s="468"/>
      <c r="E23" s="468"/>
      <c r="F23" s="468"/>
      <c r="G23" s="468"/>
      <c r="H23" s="468"/>
      <c r="I23" s="468"/>
      <c r="J23" s="468"/>
      <c r="K23" s="468"/>
      <c r="L23" s="468"/>
      <c r="M23" s="1688">
        <f>SUM(M15:M22)</f>
        <v>1012431</v>
      </c>
      <c r="N23" s="1688">
        <f>SUM(N21:N22)</f>
        <v>205000</v>
      </c>
    </row>
    <row r="24" spans="1:14" ht="18" customHeight="1" thickTop="1" x14ac:dyDescent="0.2">
      <c r="A24" s="2119" t="s">
        <v>598</v>
      </c>
      <c r="B24" s="2120"/>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11843</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11843</v>
      </c>
      <c r="M34" s="468"/>
      <c r="N34" s="480"/>
    </row>
    <row r="35" spans="1:14" ht="18" customHeight="1" thickTop="1" x14ac:dyDescent="0.2">
      <c r="A35" s="2121" t="s">
        <v>529</v>
      </c>
      <c r="B35" s="2122"/>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205000</v>
      </c>
    </row>
    <row r="37" spans="1:14" ht="13.5" thickBot="1" x14ac:dyDescent="0.25">
      <c r="A37" s="1736" t="s">
        <v>653</v>
      </c>
      <c r="B37" s="1741"/>
      <c r="C37" s="477"/>
      <c r="D37" s="477"/>
      <c r="E37" s="477"/>
      <c r="F37" s="477"/>
      <c r="G37" s="477"/>
      <c r="H37" s="477"/>
      <c r="I37" s="477"/>
      <c r="J37" s="477"/>
      <c r="K37" s="477"/>
      <c r="L37" s="480"/>
      <c r="M37" s="468"/>
      <c r="N37" s="1688">
        <f>SUM(N36:N36)</f>
        <v>205000</v>
      </c>
    </row>
    <row r="38" spans="1:14" s="329" customFormat="1" ht="13.5" customHeight="1" thickTop="1" x14ac:dyDescent="0.2">
      <c r="A38" s="496" t="s">
        <v>420</v>
      </c>
      <c r="B38" s="483">
        <v>714</v>
      </c>
      <c r="C38" s="466">
        <v>182812</v>
      </c>
      <c r="D38" s="466">
        <v>691</v>
      </c>
      <c r="E38" s="466"/>
      <c r="F38" s="466"/>
      <c r="G38" s="466">
        <v>25035</v>
      </c>
      <c r="H38" s="466"/>
      <c r="I38" s="466"/>
      <c r="J38" s="467"/>
      <c r="K38" s="466"/>
      <c r="L38" s="481"/>
      <c r="M38" s="497"/>
      <c r="N38" s="497"/>
    </row>
    <row r="39" spans="1:14" s="329" customFormat="1" ht="13.5" customHeight="1" x14ac:dyDescent="0.2">
      <c r="A39" s="496" t="s">
        <v>342</v>
      </c>
      <c r="B39" s="483">
        <v>730</v>
      </c>
      <c r="C39" s="466">
        <v>226812</v>
      </c>
      <c r="D39" s="466">
        <v>61180</v>
      </c>
      <c r="E39" s="466">
        <v>69486</v>
      </c>
      <c r="F39" s="466">
        <v>32832</v>
      </c>
      <c r="G39" s="466"/>
      <c r="H39" s="466"/>
      <c r="I39" s="466">
        <v>222670</v>
      </c>
      <c r="J39" s="467">
        <v>63968</v>
      </c>
      <c r="K39" s="466">
        <v>30450</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1012431</v>
      </c>
      <c r="N40" s="497"/>
    </row>
    <row r="41" spans="1:14" ht="13.5" customHeight="1" thickBot="1" x14ac:dyDescent="0.25">
      <c r="A41" s="1736" t="s">
        <v>655</v>
      </c>
      <c r="B41" s="1706"/>
      <c r="C41" s="1688">
        <f>(SUM(C34,C37,C38,C39))</f>
        <v>409624</v>
      </c>
      <c r="D41" s="1688">
        <f t="shared" ref="D41:L41" si="2">SUM(D34,D37,D38:D39)</f>
        <v>61871</v>
      </c>
      <c r="E41" s="1688">
        <f t="shared" si="2"/>
        <v>69486</v>
      </c>
      <c r="F41" s="1688">
        <f t="shared" si="2"/>
        <v>32832</v>
      </c>
      <c r="G41" s="1688">
        <f t="shared" si="2"/>
        <v>25035</v>
      </c>
      <c r="H41" s="1688">
        <f t="shared" si="2"/>
        <v>0</v>
      </c>
      <c r="I41" s="1688">
        <f t="shared" si="2"/>
        <v>222670</v>
      </c>
      <c r="J41" s="1688">
        <f t="shared" si="2"/>
        <v>63968</v>
      </c>
      <c r="K41" s="1688">
        <f t="shared" si="2"/>
        <v>30450</v>
      </c>
      <c r="L41" s="1688">
        <f t="shared" si="2"/>
        <v>11843</v>
      </c>
      <c r="M41" s="1688">
        <f>SUM(M40)</f>
        <v>1012431</v>
      </c>
      <c r="N41" s="1688">
        <f>SUM(N37)</f>
        <v>205000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M87"/>
  <sheetViews>
    <sheetView showGridLines="0" defaultGridColor="0" colorId="8" zoomScale="80" zoomScaleNormal="80" zoomScaleSheetLayoutView="100" workbookViewId="0">
      <pane ySplit="2" topLeftCell="A60" activePane="bottomLeft" state="frozen"/>
      <selection pane="bottomLeft" activeCell="K80" sqref="K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3" t="s">
        <v>1175</v>
      </c>
      <c r="B3" s="2144"/>
      <c r="C3" s="1573"/>
      <c r="D3" s="1574"/>
      <c r="E3" s="1574"/>
      <c r="F3" s="1574"/>
      <c r="G3" s="1574"/>
      <c r="H3" s="1574"/>
      <c r="I3" s="1574"/>
      <c r="J3" s="1574"/>
      <c r="K3" s="1575"/>
      <c r="L3" s="506"/>
    </row>
    <row r="4" spans="1:13" ht="15.75" customHeight="1" x14ac:dyDescent="0.2">
      <c r="A4" s="1927" t="s">
        <v>1499</v>
      </c>
      <c r="B4" s="1928">
        <v>1000</v>
      </c>
      <c r="C4" s="1742">
        <f>'Revenues 9-14'!C109</f>
        <v>1067573</v>
      </c>
      <c r="D4" s="1742">
        <f>'Revenues 9-14'!D109</f>
        <v>141938</v>
      </c>
      <c r="E4" s="1742">
        <f>'Revenues 9-14'!E109</f>
        <v>104889</v>
      </c>
      <c r="F4" s="1742">
        <f>'Revenues 9-14'!F109</f>
        <v>65334</v>
      </c>
      <c r="G4" s="1742">
        <f>'Revenues 9-14'!G109</f>
        <v>41479</v>
      </c>
      <c r="H4" s="1742">
        <f>'Revenues 9-14'!H109</f>
        <v>0</v>
      </c>
      <c r="I4" s="1742">
        <f>'Revenues 9-14'!I109</f>
        <v>27384</v>
      </c>
      <c r="J4" s="1742">
        <f>'Revenues 9-14'!J109</f>
        <v>43846</v>
      </c>
      <c r="K4" s="1742">
        <f>'Revenues 9-14'!K109</f>
        <v>27256</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87157</v>
      </c>
      <c r="D6" s="1743">
        <f>'Revenues 9-14'!D170</f>
        <v>0</v>
      </c>
      <c r="E6" s="1743">
        <f>'Revenues 9-14'!E170</f>
        <v>0</v>
      </c>
      <c r="F6" s="1743">
        <f>'Revenues 9-14'!F170</f>
        <v>76860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71875</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1226605</v>
      </c>
      <c r="D8" s="1688">
        <f t="shared" ref="D8:K8" si="0">SUM(D4:D7)</f>
        <v>141938</v>
      </c>
      <c r="E8" s="1688">
        <f t="shared" si="0"/>
        <v>104889</v>
      </c>
      <c r="F8" s="1688">
        <f t="shared" si="0"/>
        <v>142194</v>
      </c>
      <c r="G8" s="1688">
        <f t="shared" si="0"/>
        <v>41479</v>
      </c>
      <c r="H8" s="1688">
        <f t="shared" si="0"/>
        <v>0</v>
      </c>
      <c r="I8" s="1688">
        <f t="shared" si="0"/>
        <v>27384</v>
      </c>
      <c r="J8" s="1688">
        <f t="shared" si="0"/>
        <v>43846</v>
      </c>
      <c r="K8" s="1688">
        <f t="shared" si="0"/>
        <v>27256</v>
      </c>
      <c r="L8" s="347"/>
    </row>
    <row r="9" spans="1:13" ht="15.75" thickTop="1" x14ac:dyDescent="0.2">
      <c r="A9" s="514" t="s">
        <v>1653</v>
      </c>
      <c r="B9" s="515">
        <v>3998</v>
      </c>
      <c r="C9" s="481">
        <v>89615</v>
      </c>
      <c r="D9" s="516"/>
      <c r="E9" s="481"/>
      <c r="F9" s="481"/>
      <c r="G9" s="517"/>
      <c r="H9" s="481"/>
      <c r="I9" s="509" t="s">
        <v>1169</v>
      </c>
      <c r="J9" s="478"/>
      <c r="K9" s="481"/>
      <c r="L9" s="347"/>
    </row>
    <row r="10" spans="1:13" s="519" customFormat="1" ht="13.5" thickBot="1" x14ac:dyDescent="0.25">
      <c r="A10" s="1736" t="s">
        <v>1173</v>
      </c>
      <c r="B10" s="1709"/>
      <c r="C10" s="1688">
        <f>SUM(C8:C9)</f>
        <v>1316220</v>
      </c>
      <c r="D10" s="1688">
        <f t="shared" ref="D10:K10" si="1">SUM(D8:D9)</f>
        <v>141938</v>
      </c>
      <c r="E10" s="1688">
        <f t="shared" si="1"/>
        <v>104889</v>
      </c>
      <c r="F10" s="1688">
        <f t="shared" si="1"/>
        <v>142194</v>
      </c>
      <c r="G10" s="1688">
        <f t="shared" si="1"/>
        <v>41479</v>
      </c>
      <c r="H10" s="1688">
        <f t="shared" si="1"/>
        <v>0</v>
      </c>
      <c r="I10" s="1688">
        <f t="shared" si="1"/>
        <v>27384</v>
      </c>
      <c r="J10" s="1688">
        <f t="shared" si="1"/>
        <v>43846</v>
      </c>
      <c r="K10" s="1688">
        <f t="shared" si="1"/>
        <v>27256</v>
      </c>
      <c r="L10" s="518"/>
    </row>
    <row r="11" spans="1:13" s="519" customFormat="1" ht="16.7" customHeight="1" thickTop="1" x14ac:dyDescent="0.2">
      <c r="A11" s="2117" t="s">
        <v>1176</v>
      </c>
      <c r="B11" s="2118"/>
      <c r="C11" s="1570"/>
      <c r="D11" s="1571"/>
      <c r="E11" s="1571"/>
      <c r="F11" s="1571"/>
      <c r="G11" s="1571"/>
      <c r="H11" s="1571"/>
      <c r="I11" s="1571"/>
      <c r="J11" s="1571"/>
      <c r="K11" s="1572"/>
      <c r="L11" s="518"/>
    </row>
    <row r="12" spans="1:13" ht="15.75" customHeight="1" x14ac:dyDescent="0.2">
      <c r="A12" s="1576" t="s">
        <v>456</v>
      </c>
      <c r="B12" s="1578">
        <v>1000</v>
      </c>
      <c r="C12" s="1742">
        <f>'Expenditures 15-22'!K33</f>
        <v>958422</v>
      </c>
      <c r="D12" s="520" t="s">
        <v>1169</v>
      </c>
      <c r="E12" s="468" t="s">
        <v>1169</v>
      </c>
      <c r="F12" s="468" t="s">
        <v>1169</v>
      </c>
      <c r="G12" s="1742">
        <f>'Expenditures 15-22'!K229</f>
        <v>14817</v>
      </c>
      <c r="H12" s="521"/>
      <c r="I12" s="468" t="s">
        <v>1169</v>
      </c>
      <c r="J12" s="468" t="s">
        <v>1169</v>
      </c>
      <c r="K12" s="521" t="s">
        <v>1169</v>
      </c>
      <c r="L12" s="347"/>
    </row>
    <row r="13" spans="1:13" ht="15.75" customHeight="1" x14ac:dyDescent="0.2">
      <c r="A13" s="1576" t="s">
        <v>457</v>
      </c>
      <c r="B13" s="1578">
        <v>2000</v>
      </c>
      <c r="C13" s="1743">
        <f>'Expenditures 15-22'!K74</f>
        <v>331947</v>
      </c>
      <c r="D13" s="1743">
        <f>'Expenditures 15-22'!K129</f>
        <v>147907</v>
      </c>
      <c r="E13" s="469" t="s">
        <v>1169</v>
      </c>
      <c r="F13" s="1743">
        <f>'Expenditures 15-22'!K184</f>
        <v>161466</v>
      </c>
      <c r="G13" s="1743">
        <f>'Expenditures 15-22'!K279</f>
        <v>19258</v>
      </c>
      <c r="H13" s="1743">
        <f>'Expenditures 15-22'!K303</f>
        <v>0</v>
      </c>
      <c r="I13" s="468" t="s">
        <v>1169</v>
      </c>
      <c r="J13" s="1743">
        <f>'Expenditures 15-22'!K330</f>
        <v>39442</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79175</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105208</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1369544</v>
      </c>
      <c r="D17" s="1688">
        <f t="shared" si="2"/>
        <v>147907</v>
      </c>
      <c r="E17" s="1688">
        <f t="shared" si="2"/>
        <v>105208</v>
      </c>
      <c r="F17" s="1688">
        <f t="shared" si="2"/>
        <v>161466</v>
      </c>
      <c r="G17" s="1688">
        <f t="shared" si="2"/>
        <v>34075</v>
      </c>
      <c r="H17" s="1688">
        <f t="shared" si="2"/>
        <v>0</v>
      </c>
      <c r="I17" s="468"/>
      <c r="J17" s="1688">
        <f>SUM(J12:J16)</f>
        <v>39442</v>
      </c>
      <c r="K17" s="1688">
        <f>SUM(K12:K16)</f>
        <v>0</v>
      </c>
      <c r="L17" s="347"/>
    </row>
    <row r="18" spans="1:12" ht="15" customHeight="1" thickTop="1" x14ac:dyDescent="0.2">
      <c r="A18" s="1744" t="s">
        <v>1654</v>
      </c>
      <c r="B18" s="1745">
        <v>4180</v>
      </c>
      <c r="C18" s="1742">
        <f t="shared" ref="C18:H18" si="3">C9</f>
        <v>89615</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1459159</v>
      </c>
      <c r="D19" s="1688">
        <f t="shared" si="4"/>
        <v>147907</v>
      </c>
      <c r="E19" s="1688">
        <f t="shared" si="4"/>
        <v>105208</v>
      </c>
      <c r="F19" s="1688">
        <f t="shared" si="4"/>
        <v>161466</v>
      </c>
      <c r="G19" s="1688">
        <f t="shared" si="4"/>
        <v>34075</v>
      </c>
      <c r="H19" s="1688">
        <f t="shared" si="4"/>
        <v>0</v>
      </c>
      <c r="I19" s="468"/>
      <c r="J19" s="1688">
        <f>SUM(J17:J18)</f>
        <v>39442</v>
      </c>
      <c r="K19" s="1688">
        <f>SUM(K17:K18)</f>
        <v>0</v>
      </c>
      <c r="L19" s="347"/>
    </row>
    <row r="20" spans="1:12" ht="16.5" thickTop="1" thickBot="1" x14ac:dyDescent="0.25">
      <c r="A20" s="2133" t="s">
        <v>1655</v>
      </c>
      <c r="B20" s="2134"/>
      <c r="C20" s="1746">
        <f>C8-C17</f>
        <v>-142939</v>
      </c>
      <c r="D20" s="1746">
        <f t="shared" ref="D20:K20" si="5">D8-D17</f>
        <v>-5969</v>
      </c>
      <c r="E20" s="1746">
        <f t="shared" si="5"/>
        <v>-319</v>
      </c>
      <c r="F20" s="1746">
        <f t="shared" si="5"/>
        <v>-19272</v>
      </c>
      <c r="G20" s="1746">
        <f t="shared" si="5"/>
        <v>7404</v>
      </c>
      <c r="H20" s="1746">
        <f t="shared" si="5"/>
        <v>0</v>
      </c>
      <c r="I20" s="1746">
        <f t="shared" si="5"/>
        <v>27384</v>
      </c>
      <c r="J20" s="1746">
        <f t="shared" si="5"/>
        <v>4404</v>
      </c>
      <c r="K20" s="1746">
        <f t="shared" si="5"/>
        <v>27256</v>
      </c>
      <c r="L20" s="347"/>
    </row>
    <row r="21" spans="1:12" ht="16.7" customHeight="1" thickTop="1" x14ac:dyDescent="0.2">
      <c r="A21" s="2145" t="s">
        <v>595</v>
      </c>
      <c r="B21" s="2146"/>
      <c r="C21" s="1570"/>
      <c r="D21" s="1571"/>
      <c r="E21" s="1571"/>
      <c r="F21" s="1571"/>
      <c r="G21" s="1571"/>
      <c r="H21" s="1571"/>
      <c r="I21" s="1571"/>
      <c r="J21" s="1571"/>
      <c r="K21" s="1572"/>
      <c r="L21" s="524"/>
    </row>
    <row r="22" spans="1:12" ht="15.75" customHeight="1" collapsed="1" x14ac:dyDescent="0.2">
      <c r="A22" s="2141" t="s">
        <v>596</v>
      </c>
      <c r="B22" s="2142"/>
      <c r="C22" s="477"/>
      <c r="D22" s="477"/>
      <c r="E22" s="477"/>
      <c r="F22" s="477"/>
      <c r="G22" s="477"/>
      <c r="H22" s="477"/>
      <c r="I22" s="477"/>
      <c r="J22" s="477"/>
      <c r="K22" s="477"/>
      <c r="L22" s="347"/>
    </row>
    <row r="23" spans="1:12" s="485" customFormat="1" ht="15.75" customHeight="1" x14ac:dyDescent="0.2">
      <c r="A23" s="2137" t="s">
        <v>293</v>
      </c>
      <c r="B23" s="2138"/>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9" t="s">
        <v>981</v>
      </c>
      <c r="B32" s="2140"/>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7" t="s">
        <v>374</v>
      </c>
      <c r="B44" s="2148"/>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41" t="s">
        <v>108</v>
      </c>
      <c r="B45" s="2142"/>
      <c r="C45" s="528"/>
      <c r="D45" s="528"/>
      <c r="E45" s="528"/>
      <c r="F45" s="528"/>
      <c r="G45" s="528"/>
      <c r="H45" s="528"/>
      <c r="I45" s="528"/>
      <c r="J45" s="528"/>
      <c r="K45" s="528"/>
      <c r="L45" s="347"/>
    </row>
    <row r="46" spans="1:12" s="485" customFormat="1" ht="15.75" customHeight="1" x14ac:dyDescent="0.2">
      <c r="A46" s="2149" t="s">
        <v>109</v>
      </c>
      <c r="B46" s="2150"/>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3" t="s">
        <v>440</v>
      </c>
      <c r="B76" s="2124"/>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5" t="s">
        <v>1177</v>
      </c>
      <c r="B77" s="2126"/>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9" t="s">
        <v>597</v>
      </c>
      <c r="B78" s="2130"/>
      <c r="C78" s="1702">
        <f t="shared" ref="C78:K78" si="9">C20+C77</f>
        <v>-142939</v>
      </c>
      <c r="D78" s="1702">
        <f t="shared" si="9"/>
        <v>-5969</v>
      </c>
      <c r="E78" s="1702">
        <f t="shared" si="9"/>
        <v>-319</v>
      </c>
      <c r="F78" s="1702">
        <f t="shared" si="9"/>
        <v>-19272</v>
      </c>
      <c r="G78" s="1702">
        <f t="shared" si="9"/>
        <v>7404</v>
      </c>
      <c r="H78" s="1702">
        <f t="shared" si="9"/>
        <v>0</v>
      </c>
      <c r="I78" s="1702">
        <f t="shared" si="9"/>
        <v>27384</v>
      </c>
      <c r="J78" s="1702">
        <f t="shared" si="9"/>
        <v>4404</v>
      </c>
      <c r="K78" s="1702">
        <f t="shared" si="9"/>
        <v>27256</v>
      </c>
      <c r="L78" s="533"/>
    </row>
    <row r="79" spans="1:12" ht="13.5" thickTop="1" x14ac:dyDescent="0.2">
      <c r="A79" s="1494" t="s">
        <v>1947</v>
      </c>
      <c r="B79" s="534"/>
      <c r="C79" s="478">
        <v>552563</v>
      </c>
      <c r="D79" s="535">
        <v>67840</v>
      </c>
      <c r="E79" s="535">
        <v>69805</v>
      </c>
      <c r="F79" s="535">
        <v>52104</v>
      </c>
      <c r="G79" s="535">
        <v>17631</v>
      </c>
      <c r="H79" s="535"/>
      <c r="I79" s="535">
        <v>195286</v>
      </c>
      <c r="J79" s="535">
        <v>59564</v>
      </c>
      <c r="K79" s="535">
        <v>3194</v>
      </c>
      <c r="L79" s="347"/>
    </row>
    <row r="80" spans="1:12" x14ac:dyDescent="0.2">
      <c r="A80" s="2135" t="s">
        <v>1795</v>
      </c>
      <c r="B80" s="2136"/>
      <c r="C80" s="467"/>
      <c r="D80" s="467"/>
      <c r="E80" s="467"/>
      <c r="F80" s="467"/>
      <c r="G80" s="467"/>
      <c r="H80" s="467"/>
      <c r="I80" s="467"/>
      <c r="J80" s="467"/>
      <c r="K80" s="467"/>
      <c r="L80" s="347"/>
    </row>
    <row r="81" spans="1:12" ht="13.5" thickBot="1" x14ac:dyDescent="0.25">
      <c r="A81" s="2127" t="s">
        <v>1948</v>
      </c>
      <c r="B81" s="2128"/>
      <c r="C81" s="1688">
        <f>(SUM(C78:C80))</f>
        <v>409624</v>
      </c>
      <c r="D81" s="1688">
        <f>SUM(D78:D80)</f>
        <v>61871</v>
      </c>
      <c r="E81" s="1688">
        <f t="shared" ref="E81:K81" si="10">SUM(E78:E80)</f>
        <v>69486</v>
      </c>
      <c r="F81" s="1688">
        <f t="shared" si="10"/>
        <v>32832</v>
      </c>
      <c r="G81" s="1688">
        <f t="shared" si="10"/>
        <v>25035</v>
      </c>
      <c r="H81" s="1688">
        <f t="shared" si="10"/>
        <v>0</v>
      </c>
      <c r="I81" s="1688">
        <f t="shared" si="10"/>
        <v>222670</v>
      </c>
      <c r="J81" s="1688">
        <f t="shared" si="10"/>
        <v>63968</v>
      </c>
      <c r="K81" s="1688">
        <f t="shared" si="10"/>
        <v>30450</v>
      </c>
      <c r="L81" s="347"/>
    </row>
    <row r="82" spans="1:12" ht="0.75" customHeight="1" thickTop="1" thickBot="1" x14ac:dyDescent="0.25">
      <c r="A82" s="536" t="s">
        <v>343</v>
      </c>
      <c r="B82" s="537"/>
      <c r="C82" s="538">
        <f>(C81-C79)</f>
        <v>-142939</v>
      </c>
      <c r="D82" s="538">
        <f t="shared" ref="D82:K82" si="11">(D81-D79)</f>
        <v>-5969</v>
      </c>
      <c r="E82" s="538">
        <f t="shared" si="11"/>
        <v>-319</v>
      </c>
      <c r="F82" s="538">
        <f t="shared" si="11"/>
        <v>-19272</v>
      </c>
      <c r="G82" s="538">
        <f t="shared" si="11"/>
        <v>7404</v>
      </c>
      <c r="H82" s="538">
        <f t="shared" si="11"/>
        <v>0</v>
      </c>
      <c r="I82" s="538">
        <f t="shared" si="11"/>
        <v>27384</v>
      </c>
      <c r="J82" s="538">
        <f t="shared" si="11"/>
        <v>4404</v>
      </c>
      <c r="K82" s="538">
        <f t="shared" si="11"/>
        <v>27256</v>
      </c>
    </row>
    <row r="83" spans="1:12" ht="14.25" hidden="1" thickTop="1" thickBot="1" x14ac:dyDescent="0.25">
      <c r="A83" s="539" t="s">
        <v>344</v>
      </c>
      <c r="B83" s="464"/>
      <c r="C83" s="540">
        <f>C82/C81</f>
        <v>-0.34895172157881377</v>
      </c>
      <c r="D83" s="540">
        <f t="shared" ref="D83:K83" si="12">D82/D81</f>
        <v>-9.6474923631426679E-2</v>
      </c>
      <c r="E83" s="540">
        <f t="shared" si="12"/>
        <v>-4.5908528336643349E-3</v>
      </c>
      <c r="F83" s="540">
        <f t="shared" si="12"/>
        <v>-0.58698830409356728</v>
      </c>
      <c r="G83" s="540">
        <f t="shared" si="12"/>
        <v>0.29574595566207312</v>
      </c>
      <c r="H83" s="540" t="e">
        <f t="shared" si="12"/>
        <v>#DIV/0!</v>
      </c>
      <c r="I83" s="540">
        <f t="shared" si="12"/>
        <v>0.12298019490726186</v>
      </c>
      <c r="J83" s="540">
        <f t="shared" si="12"/>
        <v>6.8846923461730866E-2</v>
      </c>
      <c r="K83" s="540">
        <f t="shared" si="12"/>
        <v>0.89510673234811167</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92D050"/>
  </sheetPr>
  <dimension ref="A1:L279"/>
  <sheetViews>
    <sheetView showGridLines="0" defaultGridColor="0" colorId="8" zoomScale="90" zoomScaleNormal="90" zoomScaleSheetLayoutView="75" workbookViewId="0">
      <pane ySplit="2" topLeftCell="A210" activePane="bottomLeft" state="frozen"/>
      <selection pane="bottomLeft" activeCell="C259" sqref="C25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1" t="s">
        <v>1802</v>
      </c>
      <c r="B1" s="452"/>
      <c r="C1" s="453" t="s">
        <v>425</v>
      </c>
      <c r="D1" s="453" t="s">
        <v>426</v>
      </c>
      <c r="E1" s="453" t="s">
        <v>427</v>
      </c>
      <c r="F1" s="453" t="s">
        <v>428</v>
      </c>
      <c r="G1" s="453" t="s">
        <v>429</v>
      </c>
      <c r="H1" s="453" t="s">
        <v>430</v>
      </c>
      <c r="I1" s="453" t="s">
        <v>431</v>
      </c>
      <c r="J1" s="453" t="s">
        <v>432</v>
      </c>
      <c r="K1" s="453" t="s">
        <v>756</v>
      </c>
    </row>
    <row r="2" spans="1:12" ht="36" x14ac:dyDescent="0.2">
      <c r="A2" s="213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771181</v>
      </c>
      <c r="D5" s="481">
        <v>135828</v>
      </c>
      <c r="E5" s="466">
        <v>104654</v>
      </c>
      <c r="F5" s="548">
        <v>65169</v>
      </c>
      <c r="G5" s="466">
        <v>41384</v>
      </c>
      <c r="H5" s="466"/>
      <c r="I5" s="466">
        <v>27190</v>
      </c>
      <c r="J5" s="467">
        <v>43481</v>
      </c>
      <c r="K5" s="466">
        <v>27190</v>
      </c>
    </row>
    <row r="6" spans="1:12" ht="15" x14ac:dyDescent="0.2">
      <c r="A6" s="463" t="s">
        <v>1662</v>
      </c>
      <c r="B6" s="470">
        <v>1130</v>
      </c>
      <c r="C6" s="466">
        <v>27190</v>
      </c>
      <c r="D6" s="466"/>
      <c r="E6" s="475"/>
      <c r="F6" s="475"/>
      <c r="G6" s="468"/>
      <c r="H6" s="468"/>
      <c r="I6" s="468"/>
      <c r="J6" s="468"/>
      <c r="K6" s="468"/>
    </row>
    <row r="7" spans="1:12" x14ac:dyDescent="0.2">
      <c r="A7" s="463" t="s">
        <v>110</v>
      </c>
      <c r="B7" s="549">
        <v>1140</v>
      </c>
      <c r="C7" s="466">
        <v>10899</v>
      </c>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809270</v>
      </c>
      <c r="D12" s="1707">
        <f t="shared" si="0"/>
        <v>135828</v>
      </c>
      <c r="E12" s="1707">
        <f t="shared" si="0"/>
        <v>104654</v>
      </c>
      <c r="F12" s="1707">
        <f t="shared" si="0"/>
        <v>65169</v>
      </c>
      <c r="G12" s="1707">
        <f t="shared" si="0"/>
        <v>41384</v>
      </c>
      <c r="H12" s="1707">
        <f t="shared" si="0"/>
        <v>0</v>
      </c>
      <c r="I12" s="1707">
        <f t="shared" si="0"/>
        <v>27190</v>
      </c>
      <c r="J12" s="1707">
        <f t="shared" si="0"/>
        <v>43481</v>
      </c>
      <c r="K12" s="1688">
        <f t="shared" si="0"/>
        <v>27190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63673</v>
      </c>
      <c r="D16" s="466"/>
      <c r="E16" s="466"/>
      <c r="F16" s="466"/>
      <c r="G16" s="466"/>
      <c r="H16" s="466"/>
      <c r="I16" s="466"/>
      <c r="J16" s="467"/>
      <c r="K16" s="466"/>
    </row>
    <row r="17" spans="1:11" ht="12.75" customHeight="1" x14ac:dyDescent="0.2">
      <c r="A17" s="463" t="s">
        <v>807</v>
      </c>
      <c r="B17" s="470">
        <v>1290</v>
      </c>
      <c r="C17" s="551">
        <v>2760</v>
      </c>
      <c r="D17" s="466"/>
      <c r="E17" s="466"/>
      <c r="F17" s="466"/>
      <c r="G17" s="466"/>
      <c r="H17" s="466"/>
      <c r="I17" s="466"/>
      <c r="J17" s="467"/>
      <c r="K17" s="466"/>
    </row>
    <row r="18" spans="1:11" ht="12.75" customHeight="1" thickBot="1" x14ac:dyDescent="0.25">
      <c r="A18" s="1708" t="s">
        <v>537</v>
      </c>
      <c r="B18" s="1709"/>
      <c r="C18" s="1710">
        <f>SUM(C14:C17)</f>
        <v>66433</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665</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665</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9514</v>
      </c>
      <c r="D65" s="466">
        <v>301</v>
      </c>
      <c r="E65" s="466">
        <v>235</v>
      </c>
      <c r="F65" s="467">
        <v>165</v>
      </c>
      <c r="G65" s="466">
        <v>95</v>
      </c>
      <c r="H65" s="466"/>
      <c r="I65" s="466">
        <v>194</v>
      </c>
      <c r="J65" s="467">
        <v>365</v>
      </c>
      <c r="K65" s="466">
        <v>66</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9514</v>
      </c>
      <c r="D67" s="1688">
        <f t="shared" ref="D67:K67" si="2">SUM(D65:D66)</f>
        <v>301</v>
      </c>
      <c r="E67" s="1688">
        <f t="shared" si="2"/>
        <v>235</v>
      </c>
      <c r="F67" s="1688">
        <f t="shared" si="2"/>
        <v>165</v>
      </c>
      <c r="G67" s="1688">
        <f t="shared" si="2"/>
        <v>95</v>
      </c>
      <c r="H67" s="1688">
        <f t="shared" si="2"/>
        <v>0</v>
      </c>
      <c r="I67" s="1688">
        <f t="shared" si="2"/>
        <v>194</v>
      </c>
      <c r="J67" s="1688">
        <f t="shared" si="2"/>
        <v>365</v>
      </c>
      <c r="K67" s="1688">
        <f t="shared" si="2"/>
        <v>66</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15389</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561</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15950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2610</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900</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3510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3006</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3006</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130002</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2351</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26872</v>
      </c>
      <c r="D107" s="466">
        <v>5809</v>
      </c>
      <c r="E107" s="466"/>
      <c r="F107" s="466"/>
      <c r="G107" s="466"/>
      <c r="H107" s="466"/>
      <c r="I107" s="466"/>
      <c r="J107" s="467"/>
      <c r="K107" s="466"/>
    </row>
    <row r="108" spans="1:12" ht="12.75" customHeight="1" thickBot="1" x14ac:dyDescent="0.25">
      <c r="A108" s="1708" t="s">
        <v>487</v>
      </c>
      <c r="B108" s="1712"/>
      <c r="C108" s="1707">
        <f>SUM(C95:C107)</f>
        <v>159225</v>
      </c>
      <c r="D108" s="1707">
        <f t="shared" ref="D108:K108" si="3">SUM(D95:D107)</f>
        <v>5809</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1067573</v>
      </c>
      <c r="D109" s="1715">
        <f t="shared" si="4"/>
        <v>141938</v>
      </c>
      <c r="E109" s="1715">
        <f t="shared" si="4"/>
        <v>104889</v>
      </c>
      <c r="F109" s="1715">
        <f t="shared" si="4"/>
        <v>65334</v>
      </c>
      <c r="G109" s="1715">
        <f t="shared" si="4"/>
        <v>41479</v>
      </c>
      <c r="H109" s="1715">
        <f t="shared" si="4"/>
        <v>0</v>
      </c>
      <c r="I109" s="1715">
        <f t="shared" si="4"/>
        <v>27384</v>
      </c>
      <c r="J109" s="1715">
        <f t="shared" si="4"/>
        <v>43846</v>
      </c>
      <c r="K109" s="1702">
        <f t="shared" si="4"/>
        <v>27256</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62474</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29"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62474</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24358</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24358</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325</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34706</v>
      </c>
      <c r="G152" s="467"/>
      <c r="H152" s="468"/>
      <c r="I152" s="468"/>
      <c r="J152" s="468"/>
      <c r="K152" s="468"/>
    </row>
    <row r="153" spans="1:11" ht="12.75" customHeight="1" x14ac:dyDescent="0.2">
      <c r="A153" s="463" t="s">
        <v>1057</v>
      </c>
      <c r="B153" s="562">
        <v>3510</v>
      </c>
      <c r="C153" s="551"/>
      <c r="D153" s="466"/>
      <c r="E153" s="561"/>
      <c r="F153" s="466">
        <v>41744</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76450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v>410</v>
      </c>
      <c r="G168" s="581"/>
      <c r="H168" s="582"/>
      <c r="I168" s="581"/>
      <c r="J168" s="581"/>
      <c r="K168" s="582"/>
    </row>
    <row r="169" spans="1:11" ht="12.75" customHeight="1" thickTop="1" thickBot="1" x14ac:dyDescent="0.25">
      <c r="A169" s="2151" t="s">
        <v>398</v>
      </c>
      <c r="B169" s="2152"/>
      <c r="C169" s="1722">
        <f t="shared" ref="C169:K169" si="6">SUM(C132,C141,C145,C146:C150,C155,C156:C167,C168)</f>
        <v>24683</v>
      </c>
      <c r="D169" s="1722">
        <f t="shared" si="6"/>
        <v>0</v>
      </c>
      <c r="E169" s="1722">
        <f t="shared" si="6"/>
        <v>0</v>
      </c>
      <c r="F169" s="1722">
        <f t="shared" si="6"/>
        <v>76860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87157</v>
      </c>
      <c r="D170" s="1715">
        <f t="shared" si="7"/>
        <v>0</v>
      </c>
      <c r="E170" s="1715">
        <f t="shared" si="7"/>
        <v>0</v>
      </c>
      <c r="F170" s="1715">
        <f t="shared" si="7"/>
        <v>76860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3" t="s">
        <v>1492</v>
      </c>
      <c r="B172" s="2154"/>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7" t="s">
        <v>1665</v>
      </c>
      <c r="B175" s="2158"/>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1" t="s">
        <v>1664</v>
      </c>
      <c r="B176" s="2162"/>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9" t="s">
        <v>785</v>
      </c>
      <c r="B181" s="2160"/>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5" t="s">
        <v>1803</v>
      </c>
      <c r="B182" s="2156"/>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10764</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4425</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15189</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22646</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22646</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6281</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6281</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14838</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14838</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7558</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9" t="s">
        <v>1935</v>
      </c>
      <c r="B261" s="470">
        <v>4981</v>
      </c>
      <c r="C261" s="575"/>
      <c r="D261" s="576"/>
      <c r="E261" s="468"/>
      <c r="F261" s="576"/>
      <c r="G261" s="576"/>
      <c r="H261" s="468"/>
      <c r="I261" s="468"/>
      <c r="J261" s="468"/>
      <c r="K261" s="468"/>
    </row>
    <row r="262" spans="1:11" ht="12.75" customHeight="1" thickTop="1" thickBot="1" x14ac:dyDescent="0.25">
      <c r="A262" s="1930"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v>5363</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71875</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71875</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1226605</v>
      </c>
      <c r="D268" s="1715">
        <f t="shared" si="12"/>
        <v>141938</v>
      </c>
      <c r="E268" s="1715">
        <f t="shared" si="12"/>
        <v>104889</v>
      </c>
      <c r="F268" s="1715">
        <f t="shared" si="12"/>
        <v>142194</v>
      </c>
      <c r="G268" s="1715">
        <f t="shared" si="12"/>
        <v>41479</v>
      </c>
      <c r="H268" s="1715">
        <f t="shared" si="12"/>
        <v>0</v>
      </c>
      <c r="I268" s="1715">
        <f t="shared" si="12"/>
        <v>27384</v>
      </c>
      <c r="J268" s="1715">
        <f t="shared" si="12"/>
        <v>43846</v>
      </c>
      <c r="K268" s="1702">
        <f t="shared" si="12"/>
        <v>27256</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92D050"/>
  </sheetPr>
  <dimension ref="A1:N368"/>
  <sheetViews>
    <sheetView showGridLines="0" defaultGridColor="0" colorId="8" zoomScale="90" zoomScaleNormal="90" workbookViewId="0">
      <pane ySplit="2" topLeftCell="A207" activePane="bottomLeft" state="frozen"/>
      <selection pane="bottomLeft" activeCell="L224" sqref="L224"/>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1"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3"/>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9" t="s">
        <v>297</v>
      </c>
      <c r="B3" s="2170"/>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630335</v>
      </c>
      <c r="D5" s="466">
        <v>66349</v>
      </c>
      <c r="E5" s="466">
        <v>47944</v>
      </c>
      <c r="F5" s="466">
        <v>40874</v>
      </c>
      <c r="G5" s="466">
        <v>5853</v>
      </c>
      <c r="H5" s="466">
        <v>828</v>
      </c>
      <c r="I5" s="467"/>
      <c r="J5" s="467"/>
      <c r="K5" s="1671">
        <f>SUM(C5:J5)</f>
        <v>792183</v>
      </c>
      <c r="L5" s="466">
        <v>740170</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63666</v>
      </c>
      <c r="D8" s="466">
        <v>4135</v>
      </c>
      <c r="E8" s="466">
        <v>75</v>
      </c>
      <c r="F8" s="466">
        <v>838</v>
      </c>
      <c r="G8" s="466"/>
      <c r="H8" s="466">
        <v>58971</v>
      </c>
      <c r="I8" s="467"/>
      <c r="J8" s="467"/>
      <c r="K8" s="1671">
        <f t="shared" si="0"/>
        <v>127685</v>
      </c>
      <c r="L8" s="466">
        <v>63234</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v>26327</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1464</v>
      </c>
      <c r="D14" s="466">
        <v>23</v>
      </c>
      <c r="E14" s="466">
        <v>3978</v>
      </c>
      <c r="F14" s="466">
        <v>1640</v>
      </c>
      <c r="G14" s="466"/>
      <c r="H14" s="466">
        <v>3816</v>
      </c>
      <c r="I14" s="467"/>
      <c r="J14" s="467"/>
      <c r="K14" s="1671">
        <f t="shared" si="0"/>
        <v>10921</v>
      </c>
      <c r="L14" s="466">
        <v>32521</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v>27633</v>
      </c>
      <c r="I22" s="616"/>
      <c r="J22" s="477"/>
      <c r="K22" s="1671">
        <f t="shared" si="0"/>
        <v>27633</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695465</v>
      </c>
      <c r="D33" s="1670">
        <f t="shared" ref="D33:L33" si="1">SUM(D5:D32)</f>
        <v>70507</v>
      </c>
      <c r="E33" s="1670">
        <f t="shared" si="1"/>
        <v>51997</v>
      </c>
      <c r="F33" s="1670">
        <f t="shared" si="1"/>
        <v>43352</v>
      </c>
      <c r="G33" s="1670">
        <f t="shared" si="1"/>
        <v>5853</v>
      </c>
      <c r="H33" s="1670">
        <f t="shared" si="1"/>
        <v>91248</v>
      </c>
      <c r="I33" s="1670">
        <f t="shared" si="1"/>
        <v>0</v>
      </c>
      <c r="J33" s="1670">
        <f t="shared" si="1"/>
        <v>0</v>
      </c>
      <c r="K33" s="1670">
        <f t="shared" si="1"/>
        <v>958422</v>
      </c>
      <c r="L33" s="1670">
        <f t="shared" si="1"/>
        <v>862252</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v>7146</v>
      </c>
      <c r="F36" s="481"/>
      <c r="G36" s="481"/>
      <c r="H36" s="481"/>
      <c r="I36" s="467"/>
      <c r="J36" s="467"/>
      <c r="K36" s="1671">
        <f t="shared" ref="K36:K41" si="2">SUM(C36:J36)</f>
        <v>7146</v>
      </c>
      <c r="L36" s="466">
        <v>14000</v>
      </c>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c r="D38" s="466"/>
      <c r="E38" s="466">
        <v>126</v>
      </c>
      <c r="F38" s="466"/>
      <c r="G38" s="466"/>
      <c r="H38" s="466"/>
      <c r="I38" s="467"/>
      <c r="J38" s="467"/>
      <c r="K38" s="1671">
        <f t="shared" si="2"/>
        <v>126</v>
      </c>
      <c r="L38" s="466">
        <v>1900</v>
      </c>
    </row>
    <row r="39" spans="1:14" x14ac:dyDescent="0.2">
      <c r="A39" s="1504" t="s">
        <v>199</v>
      </c>
      <c r="B39" s="614">
        <v>2140</v>
      </c>
      <c r="C39" s="466"/>
      <c r="D39" s="466"/>
      <c r="E39" s="466"/>
      <c r="F39" s="466"/>
      <c r="G39" s="466"/>
      <c r="H39" s="466"/>
      <c r="I39" s="467"/>
      <c r="J39" s="467"/>
      <c r="K39" s="1671">
        <f t="shared" si="2"/>
        <v>0</v>
      </c>
      <c r="L39" s="466">
        <v>500</v>
      </c>
    </row>
    <row r="40" spans="1:14" x14ac:dyDescent="0.2">
      <c r="A40" s="1504" t="s">
        <v>200</v>
      </c>
      <c r="B40" s="614">
        <v>2150</v>
      </c>
      <c r="C40" s="466">
        <v>40548</v>
      </c>
      <c r="D40" s="466"/>
      <c r="E40" s="466"/>
      <c r="F40" s="466"/>
      <c r="G40" s="466"/>
      <c r="H40" s="466"/>
      <c r="I40" s="467"/>
      <c r="J40" s="467"/>
      <c r="K40" s="1671">
        <f t="shared" si="2"/>
        <v>40548</v>
      </c>
      <c r="L40" s="466">
        <v>44000</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40548</v>
      </c>
      <c r="D42" s="1670">
        <f t="shared" ref="D42:L42" si="3">SUM(D36:D41)</f>
        <v>0</v>
      </c>
      <c r="E42" s="1670">
        <f t="shared" si="3"/>
        <v>7272</v>
      </c>
      <c r="F42" s="1670">
        <f t="shared" si="3"/>
        <v>0</v>
      </c>
      <c r="G42" s="1670">
        <f t="shared" si="3"/>
        <v>0</v>
      </c>
      <c r="H42" s="1670">
        <f t="shared" si="3"/>
        <v>0</v>
      </c>
      <c r="I42" s="1670">
        <f t="shared" si="3"/>
        <v>0</v>
      </c>
      <c r="J42" s="1670">
        <f t="shared" si="3"/>
        <v>0</v>
      </c>
      <c r="K42" s="1670">
        <f t="shared" si="3"/>
        <v>47820</v>
      </c>
      <c r="L42" s="1670">
        <f t="shared" si="3"/>
        <v>60400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v>1411</v>
      </c>
      <c r="E44" s="481">
        <v>6027</v>
      </c>
      <c r="F44" s="481"/>
      <c r="G44" s="481"/>
      <c r="H44" s="481"/>
      <c r="I44" s="467"/>
      <c r="J44" s="467"/>
      <c r="K44" s="1672">
        <f>SUM(C44:J44)</f>
        <v>7438</v>
      </c>
      <c r="L44" s="481">
        <v>4865</v>
      </c>
    </row>
    <row r="45" spans="1:14" x14ac:dyDescent="0.2">
      <c r="A45" s="1504" t="s">
        <v>815</v>
      </c>
      <c r="B45" s="614">
        <v>2220</v>
      </c>
      <c r="C45" s="466">
        <v>1500</v>
      </c>
      <c r="D45" s="466"/>
      <c r="E45" s="466"/>
      <c r="F45" s="466"/>
      <c r="G45" s="466"/>
      <c r="H45" s="466"/>
      <c r="I45" s="467"/>
      <c r="J45" s="467"/>
      <c r="K45" s="1672">
        <f>SUM(C45:J45)</f>
        <v>1500</v>
      </c>
      <c r="L45" s="466"/>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1500</v>
      </c>
      <c r="D47" s="1670">
        <f t="shared" ref="D47:K47" si="4">SUM(D44:D46)</f>
        <v>1411</v>
      </c>
      <c r="E47" s="1670">
        <f t="shared" si="4"/>
        <v>6027</v>
      </c>
      <c r="F47" s="1670">
        <f t="shared" si="4"/>
        <v>0</v>
      </c>
      <c r="G47" s="1670">
        <f t="shared" si="4"/>
        <v>0</v>
      </c>
      <c r="H47" s="1670">
        <f t="shared" si="4"/>
        <v>0</v>
      </c>
      <c r="I47" s="1670">
        <f t="shared" si="4"/>
        <v>0</v>
      </c>
      <c r="J47" s="1670">
        <f t="shared" si="4"/>
        <v>0</v>
      </c>
      <c r="K47" s="1670">
        <f t="shared" si="4"/>
        <v>8938</v>
      </c>
      <c r="L47" s="1670">
        <f>SUM(L44:L46)</f>
        <v>4865</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16709</v>
      </c>
      <c r="F49" s="481">
        <v>3286</v>
      </c>
      <c r="G49" s="481"/>
      <c r="H49" s="481">
        <v>1172</v>
      </c>
      <c r="I49" s="467"/>
      <c r="J49" s="467"/>
      <c r="K49" s="1672">
        <f>SUM(C49:J49)</f>
        <v>21167</v>
      </c>
      <c r="L49" s="481">
        <v>11800</v>
      </c>
    </row>
    <row r="50" spans="1:14" x14ac:dyDescent="0.2">
      <c r="A50" s="1504" t="s">
        <v>818</v>
      </c>
      <c r="B50" s="614">
        <v>2320</v>
      </c>
      <c r="C50" s="466">
        <v>58080</v>
      </c>
      <c r="D50" s="466">
        <v>1038</v>
      </c>
      <c r="E50" s="466">
        <v>3817</v>
      </c>
      <c r="F50" s="466">
        <v>3394</v>
      </c>
      <c r="G50" s="466"/>
      <c r="H50" s="466">
        <v>2463</v>
      </c>
      <c r="I50" s="467"/>
      <c r="J50" s="467"/>
      <c r="K50" s="1672">
        <f>SUM(C50:J50)</f>
        <v>68792</v>
      </c>
      <c r="L50" s="466">
        <v>73400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58080</v>
      </c>
      <c r="D53" s="1670">
        <f t="shared" ref="D53:L53" si="5">SUM(D49:D52)</f>
        <v>1038</v>
      </c>
      <c r="E53" s="1670">
        <f t="shared" si="5"/>
        <v>20526</v>
      </c>
      <c r="F53" s="1670">
        <f t="shared" si="5"/>
        <v>6680</v>
      </c>
      <c r="G53" s="1670">
        <f t="shared" si="5"/>
        <v>0</v>
      </c>
      <c r="H53" s="1670">
        <f t="shared" si="5"/>
        <v>3635</v>
      </c>
      <c r="I53" s="1670">
        <f t="shared" si="5"/>
        <v>0</v>
      </c>
      <c r="J53" s="1670">
        <f t="shared" si="5"/>
        <v>0</v>
      </c>
      <c r="K53" s="1670">
        <f t="shared" si="5"/>
        <v>89959</v>
      </c>
      <c r="L53" s="1670">
        <f t="shared" si="5"/>
        <v>85200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60000</v>
      </c>
      <c r="D55" s="481">
        <v>1039</v>
      </c>
      <c r="E55" s="481"/>
      <c r="F55" s="481"/>
      <c r="G55" s="481"/>
      <c r="H55" s="481"/>
      <c r="I55" s="467"/>
      <c r="J55" s="467"/>
      <c r="K55" s="1672">
        <f>SUM(C55:J55)</f>
        <v>61039</v>
      </c>
      <c r="L55" s="481">
        <v>64500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60000</v>
      </c>
      <c r="D57" s="1674">
        <f t="shared" ref="D57:K57" si="6">SUM(D55:D56)</f>
        <v>1039</v>
      </c>
      <c r="E57" s="1674">
        <f t="shared" si="6"/>
        <v>0</v>
      </c>
      <c r="F57" s="1674">
        <f t="shared" si="6"/>
        <v>0</v>
      </c>
      <c r="G57" s="1674">
        <f t="shared" si="6"/>
        <v>0</v>
      </c>
      <c r="H57" s="1674">
        <f t="shared" si="6"/>
        <v>0</v>
      </c>
      <c r="I57" s="1674">
        <f t="shared" si="6"/>
        <v>0</v>
      </c>
      <c r="J57" s="1674">
        <f t="shared" si="6"/>
        <v>0</v>
      </c>
      <c r="K57" s="1674">
        <f t="shared" si="6"/>
        <v>61039</v>
      </c>
      <c r="L57" s="1670">
        <f>SUM(L55:L56)</f>
        <v>64500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53428</v>
      </c>
      <c r="D60" s="466">
        <v>3218</v>
      </c>
      <c r="E60" s="466"/>
      <c r="F60" s="466"/>
      <c r="G60" s="466"/>
      <c r="H60" s="466"/>
      <c r="I60" s="467"/>
      <c r="J60" s="467"/>
      <c r="K60" s="1672">
        <f t="shared" si="7"/>
        <v>56646</v>
      </c>
      <c r="L60" s="466">
        <v>57400</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41476</v>
      </c>
      <c r="D63" s="466"/>
      <c r="E63" s="466">
        <v>852</v>
      </c>
      <c r="F63" s="466">
        <v>23869</v>
      </c>
      <c r="G63" s="466"/>
      <c r="H63" s="466">
        <v>228</v>
      </c>
      <c r="I63" s="467"/>
      <c r="J63" s="467"/>
      <c r="K63" s="1672">
        <f t="shared" si="7"/>
        <v>66425</v>
      </c>
      <c r="L63" s="466">
        <v>64300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94904</v>
      </c>
      <c r="D65" s="1670">
        <f t="shared" ref="D65:L65" si="8">SUM(D59:D64)</f>
        <v>3218</v>
      </c>
      <c r="E65" s="1670">
        <f t="shared" si="8"/>
        <v>852</v>
      </c>
      <c r="F65" s="1670">
        <f t="shared" si="8"/>
        <v>23869</v>
      </c>
      <c r="G65" s="1670">
        <f t="shared" si="8"/>
        <v>0</v>
      </c>
      <c r="H65" s="1670">
        <f t="shared" si="8"/>
        <v>228</v>
      </c>
      <c r="I65" s="1670">
        <f t="shared" si="8"/>
        <v>0</v>
      </c>
      <c r="J65" s="1670">
        <f t="shared" si="8"/>
        <v>0</v>
      </c>
      <c r="K65" s="1670">
        <f t="shared" si="8"/>
        <v>123071</v>
      </c>
      <c r="L65" s="1670">
        <f t="shared" si="8"/>
        <v>121700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v>1120</v>
      </c>
      <c r="G73" s="573"/>
      <c r="H73" s="573"/>
      <c r="I73" s="531"/>
      <c r="J73" s="531"/>
      <c r="K73" s="1670">
        <f>SUM(C73:J73)</f>
        <v>1120</v>
      </c>
      <c r="L73" s="576">
        <v>1100</v>
      </c>
      <c r="M73" s="609"/>
      <c r="N73" s="609"/>
    </row>
    <row r="74" spans="1:14" ht="12.75" customHeight="1" thickTop="1" thickBot="1" x14ac:dyDescent="0.25">
      <c r="A74" s="1668" t="s">
        <v>811</v>
      </c>
      <c r="B74" s="1676">
        <v>2000</v>
      </c>
      <c r="C74" s="1677">
        <f>SUM(C42,C47,C53,C57,C65,C72,C73)</f>
        <v>255032</v>
      </c>
      <c r="D74" s="1677">
        <f t="shared" ref="D74:K74" si="10">SUM(D42,D47,D53,D57,D65,D72,D73)</f>
        <v>6706</v>
      </c>
      <c r="E74" s="1677">
        <f t="shared" si="10"/>
        <v>34677</v>
      </c>
      <c r="F74" s="1677">
        <f t="shared" si="10"/>
        <v>31669</v>
      </c>
      <c r="G74" s="1677">
        <f t="shared" si="10"/>
        <v>0</v>
      </c>
      <c r="H74" s="1677">
        <f t="shared" si="10"/>
        <v>3863</v>
      </c>
      <c r="I74" s="1677">
        <f t="shared" si="10"/>
        <v>0</v>
      </c>
      <c r="J74" s="1677">
        <f t="shared" si="10"/>
        <v>0</v>
      </c>
      <c r="K74" s="1677">
        <f t="shared" si="10"/>
        <v>331947</v>
      </c>
      <c r="L74" s="1677">
        <f>SUM(L42,L47,L53,L57,L65,L72,L73)</f>
        <v>337765</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7320</v>
      </c>
      <c r="F79" s="616"/>
      <c r="G79" s="616"/>
      <c r="H79" s="466">
        <v>15542</v>
      </c>
      <c r="I79" s="477"/>
      <c r="J79" s="477"/>
      <c r="K79" s="1671">
        <f t="shared" si="11"/>
        <v>22862</v>
      </c>
      <c r="L79" s="466">
        <v>51000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v>1500</v>
      </c>
      <c r="F81" s="616"/>
      <c r="G81" s="616"/>
      <c r="H81" s="466"/>
      <c r="I81" s="477"/>
      <c r="J81" s="477"/>
      <c r="K81" s="1671">
        <f t="shared" si="11"/>
        <v>1500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v>18136</v>
      </c>
      <c r="F83" s="616"/>
      <c r="G83" s="616"/>
      <c r="H83" s="466"/>
      <c r="I83" s="477"/>
      <c r="J83" s="477"/>
      <c r="K83" s="1671">
        <f t="shared" si="11"/>
        <v>18136</v>
      </c>
      <c r="L83" s="466"/>
    </row>
    <row r="84" spans="1:12" ht="13.5" thickBot="1" x14ac:dyDescent="0.25">
      <c r="A84" s="1668" t="s">
        <v>1485</v>
      </c>
      <c r="B84" s="1678">
        <v>4100</v>
      </c>
      <c r="C84" s="616"/>
      <c r="D84" s="616"/>
      <c r="E84" s="1670">
        <f>SUM(E78:E83)</f>
        <v>26956</v>
      </c>
      <c r="F84" s="616"/>
      <c r="G84" s="616"/>
      <c r="H84" s="1670">
        <f>SUM(H78:H83)</f>
        <v>15542</v>
      </c>
      <c r="I84" s="477"/>
      <c r="J84" s="477"/>
      <c r="K84" s="1670">
        <f>SUM(K78:K83)</f>
        <v>42498</v>
      </c>
      <c r="L84" s="1670">
        <f>SUM(L78:L83)</f>
        <v>51000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36677</v>
      </c>
      <c r="I86" s="477"/>
      <c r="J86" s="477"/>
      <c r="K86" s="1677">
        <f t="shared" ref="K86:K98" si="12">H86</f>
        <v>36677</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36677</v>
      </c>
      <c r="I92" s="477"/>
      <c r="J92" s="477"/>
      <c r="K92" s="1677">
        <f t="shared" si="12"/>
        <v>36677</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26956</v>
      </c>
      <c r="F102" s="616"/>
      <c r="G102" s="616"/>
      <c r="H102" s="1677">
        <f>SUM(H84,H92,H100,H101)</f>
        <v>52219</v>
      </c>
      <c r="I102" s="477"/>
      <c r="J102" s="477"/>
      <c r="K102" s="1677">
        <f>SUM(K84,K92,K100,K101)</f>
        <v>79175</v>
      </c>
      <c r="L102" s="1677">
        <f>SUM(L84,L92,L100,L101)</f>
        <v>51000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950497</v>
      </c>
      <c r="D114" s="1670">
        <f t="shared" ref="D114:K114" si="13">SUM(D33,D74,D75,D102,D112,D113)</f>
        <v>77213</v>
      </c>
      <c r="E114" s="1670">
        <f t="shared" si="13"/>
        <v>113630</v>
      </c>
      <c r="F114" s="1670">
        <f t="shared" si="13"/>
        <v>75021</v>
      </c>
      <c r="G114" s="1670">
        <f t="shared" si="13"/>
        <v>5853</v>
      </c>
      <c r="H114" s="1670">
        <f>SUM(H33,H74,H75,H102,H112,H113)</f>
        <v>147330</v>
      </c>
      <c r="I114" s="1670">
        <f t="shared" si="13"/>
        <v>0</v>
      </c>
      <c r="J114" s="1670">
        <f t="shared" si="13"/>
        <v>0</v>
      </c>
      <c r="K114" s="1670">
        <f t="shared" si="13"/>
        <v>1369544</v>
      </c>
      <c r="L114" s="1670">
        <f>SUM(L33,L74,L75,L102,L112,L113)</f>
        <v>1251017</v>
      </c>
    </row>
    <row r="115" spans="1:14" ht="13.5" thickTop="1" x14ac:dyDescent="0.2">
      <c r="A115" s="2188" t="s">
        <v>996</v>
      </c>
      <c r="B115" s="2189"/>
      <c r="C115" s="618"/>
      <c r="D115" s="618"/>
      <c r="E115" s="618"/>
      <c r="F115" s="618"/>
      <c r="G115" s="618"/>
      <c r="H115" s="618"/>
      <c r="I115" s="618"/>
      <c r="J115" s="618"/>
      <c r="K115" s="1684">
        <f>'Revenues 9-14'!C268-'Expenditures 15-22'!K114</f>
        <v>-142939</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6" t="s">
        <v>296</v>
      </c>
      <c r="B117" s="2167"/>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10000</v>
      </c>
      <c r="D124" s="466"/>
      <c r="E124" s="466">
        <v>70106</v>
      </c>
      <c r="F124" s="466">
        <v>25278</v>
      </c>
      <c r="G124" s="466">
        <v>42523</v>
      </c>
      <c r="H124" s="466"/>
      <c r="I124" s="467"/>
      <c r="J124" s="467"/>
      <c r="K124" s="1670">
        <f>SUM(C124:J124)</f>
        <v>147907</v>
      </c>
      <c r="L124" s="466">
        <v>122075</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10000</v>
      </c>
      <c r="D127" s="1670">
        <f t="shared" ref="D127:L127" si="14">SUM(D122:D126)</f>
        <v>0</v>
      </c>
      <c r="E127" s="1670">
        <f t="shared" si="14"/>
        <v>70106</v>
      </c>
      <c r="F127" s="1670">
        <f t="shared" si="14"/>
        <v>25278</v>
      </c>
      <c r="G127" s="1670">
        <f t="shared" si="14"/>
        <v>42523</v>
      </c>
      <c r="H127" s="1670">
        <f t="shared" si="14"/>
        <v>0</v>
      </c>
      <c r="I127" s="1670">
        <f t="shared" si="14"/>
        <v>0</v>
      </c>
      <c r="J127" s="1670">
        <f t="shared" si="14"/>
        <v>0</v>
      </c>
      <c r="K127" s="1670">
        <f t="shared" si="14"/>
        <v>147907</v>
      </c>
      <c r="L127" s="1670">
        <f t="shared" si="14"/>
        <v>122075</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10000</v>
      </c>
      <c r="D129" s="1677">
        <f t="shared" ref="D129:L129" si="15">SUM(D120,D127,D128)</f>
        <v>0</v>
      </c>
      <c r="E129" s="1677">
        <f t="shared" si="15"/>
        <v>70106</v>
      </c>
      <c r="F129" s="1677">
        <f t="shared" si="15"/>
        <v>25278</v>
      </c>
      <c r="G129" s="1677">
        <f t="shared" si="15"/>
        <v>42523</v>
      </c>
      <c r="H129" s="1677">
        <f t="shared" si="15"/>
        <v>0</v>
      </c>
      <c r="I129" s="1677">
        <f t="shared" si="15"/>
        <v>0</v>
      </c>
      <c r="J129" s="1677">
        <f t="shared" si="15"/>
        <v>0</v>
      </c>
      <c r="K129" s="1677">
        <f t="shared" si="15"/>
        <v>147907</v>
      </c>
      <c r="L129" s="1677">
        <f t="shared" si="15"/>
        <v>122075</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8" t="s">
        <v>620</v>
      </c>
      <c r="B151" s="2160"/>
      <c r="C151" s="1670">
        <f>SUM(C129,C130,C139,C149,C150)</f>
        <v>10000</v>
      </c>
      <c r="D151" s="1670">
        <f t="shared" ref="D151:K151" si="16">SUM(D129,D130,D139,D149,D150)</f>
        <v>0</v>
      </c>
      <c r="E151" s="1670">
        <f t="shared" si="16"/>
        <v>70106</v>
      </c>
      <c r="F151" s="1670">
        <f t="shared" si="16"/>
        <v>25278</v>
      </c>
      <c r="G151" s="1670">
        <f t="shared" si="16"/>
        <v>42523</v>
      </c>
      <c r="H151" s="1670">
        <f t="shared" si="16"/>
        <v>0</v>
      </c>
      <c r="I151" s="1670">
        <f t="shared" si="16"/>
        <v>0</v>
      </c>
      <c r="J151" s="1670">
        <f t="shared" si="16"/>
        <v>0</v>
      </c>
      <c r="K151" s="1670">
        <f t="shared" si="16"/>
        <v>147907</v>
      </c>
      <c r="L151" s="1670">
        <f>SUM(L129,L130,L139,L149,L150)</f>
        <v>122075</v>
      </c>
    </row>
    <row r="152" spans="1:14" ht="12.75" customHeight="1" thickTop="1" x14ac:dyDescent="0.2">
      <c r="A152" s="2181" t="s">
        <v>1178</v>
      </c>
      <c r="B152" s="2182"/>
      <c r="C152" s="618"/>
      <c r="D152" s="618"/>
      <c r="E152" s="618"/>
      <c r="F152" s="618"/>
      <c r="G152" s="618"/>
      <c r="H152" s="618"/>
      <c r="I152" s="618"/>
      <c r="J152" s="616"/>
      <c r="K152" s="1684">
        <f>'Revenues 9-14'!D268-'Expenditures 15-22'!K151</f>
        <v>-5969</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6" t="s">
        <v>621</v>
      </c>
      <c r="B154" s="2168"/>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9708</v>
      </c>
      <c r="I169" s="616"/>
      <c r="J169" s="616"/>
      <c r="K169" s="1671">
        <f>SUM(C169:H169)</f>
        <v>9708</v>
      </c>
      <c r="L169" s="656">
        <v>9708</v>
      </c>
    </row>
    <row r="170" spans="1:14" ht="33.75" customHeight="1" x14ac:dyDescent="0.2">
      <c r="A170" s="669" t="s">
        <v>1670</v>
      </c>
      <c r="B170" s="671" t="s">
        <v>31</v>
      </c>
      <c r="C170" s="616"/>
      <c r="D170" s="616"/>
      <c r="E170" s="616"/>
      <c r="F170" s="616"/>
      <c r="G170" s="616"/>
      <c r="H170" s="569">
        <v>95000</v>
      </c>
      <c r="I170" s="616"/>
      <c r="J170" s="616"/>
      <c r="K170" s="1671">
        <f>SUM(C170:J170)</f>
        <v>95000</v>
      </c>
      <c r="L170" s="569">
        <v>95000</v>
      </c>
    </row>
    <row r="171" spans="1:14" ht="15.75" customHeight="1" x14ac:dyDescent="0.2">
      <c r="A171" s="621" t="s">
        <v>766</v>
      </c>
      <c r="B171" s="672" t="s">
        <v>84</v>
      </c>
      <c r="C171" s="616"/>
      <c r="D171" s="616"/>
      <c r="E171" s="466"/>
      <c r="F171" s="616"/>
      <c r="G171" s="616"/>
      <c r="H171" s="569">
        <v>500</v>
      </c>
      <c r="I171" s="477"/>
      <c r="J171" s="616"/>
      <c r="K171" s="1671">
        <f>SUM(C171:J171)</f>
        <v>500</v>
      </c>
      <c r="L171" s="569"/>
    </row>
    <row r="172" spans="1:14" ht="12.75" customHeight="1" thickBot="1" x14ac:dyDescent="0.25">
      <c r="A172" s="1668" t="s">
        <v>638</v>
      </c>
      <c r="B172" s="1669" t="s">
        <v>492</v>
      </c>
      <c r="C172" s="616"/>
      <c r="D172" s="616"/>
      <c r="E172" s="1677">
        <f>SUM(E168,E169,E170,E171)</f>
        <v>0</v>
      </c>
      <c r="F172" s="616"/>
      <c r="G172" s="616"/>
      <c r="H172" s="1677">
        <f>SUM(H168,H169,H170,H171)</f>
        <v>105208</v>
      </c>
      <c r="I172" s="638"/>
      <c r="J172" s="616"/>
      <c r="K172" s="1677">
        <f>SUM(K168,K169,K170,K171)</f>
        <v>105208</v>
      </c>
      <c r="L172" s="1677">
        <f>SUM(L168,L169,L170,L171)</f>
        <v>104708</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105208</v>
      </c>
      <c r="I174" s="638"/>
      <c r="J174" s="616"/>
      <c r="K174" s="1677">
        <f>SUM(K160,K172,K173)</f>
        <v>105208</v>
      </c>
      <c r="L174" s="1677">
        <f>SUM(L160,L172,L173)</f>
        <v>104708</v>
      </c>
    </row>
    <row r="175" spans="1:14" ht="13.5" thickTop="1" x14ac:dyDescent="0.2">
      <c r="A175" s="2188" t="s">
        <v>996</v>
      </c>
      <c r="B175" s="2189"/>
      <c r="C175" s="616"/>
      <c r="D175" s="616"/>
      <c r="E175" s="616"/>
      <c r="F175" s="616"/>
      <c r="G175" s="616"/>
      <c r="H175" s="618"/>
      <c r="I175" s="616"/>
      <c r="J175" s="616"/>
      <c r="K175" s="1684">
        <f>'Revenues 9-14'!E268-'Expenditures 15-22'!K174</f>
        <v>-319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1920</v>
      </c>
      <c r="D182" s="466"/>
      <c r="E182" s="466">
        <v>159546</v>
      </c>
      <c r="F182" s="466"/>
      <c r="G182" s="466"/>
      <c r="H182" s="466"/>
      <c r="I182" s="467"/>
      <c r="J182" s="467"/>
      <c r="K182" s="1671">
        <f>SUM(C182:J182)</f>
        <v>161466</v>
      </c>
      <c r="L182" s="466">
        <v>166920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1920</v>
      </c>
      <c r="D184" s="1677">
        <f t="shared" ref="D184:J184" si="17">SUM(D180,D182,D183)</f>
        <v>0</v>
      </c>
      <c r="E184" s="1677">
        <f t="shared" si="17"/>
        <v>159546</v>
      </c>
      <c r="F184" s="1677">
        <f t="shared" si="17"/>
        <v>0</v>
      </c>
      <c r="G184" s="1677">
        <f t="shared" si="17"/>
        <v>0</v>
      </c>
      <c r="H184" s="1677">
        <f t="shared" si="17"/>
        <v>0</v>
      </c>
      <c r="I184" s="1677">
        <f t="shared" si="17"/>
        <v>0</v>
      </c>
      <c r="J184" s="1677">
        <f t="shared" si="17"/>
        <v>0</v>
      </c>
      <c r="K184" s="1677">
        <f>SUM(K180,K182,K183)</f>
        <v>161466</v>
      </c>
      <c r="L184" s="1677">
        <f>SUM(L180, L182:L183)</f>
        <v>166920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1920</v>
      </c>
      <c r="D210" s="1670">
        <f>SUM(D184,D185)</f>
        <v>0</v>
      </c>
      <c r="E210" s="1670">
        <f>SUM(E184,E185,E196)</f>
        <v>159546</v>
      </c>
      <c r="F210" s="1670">
        <f>SUM(F184,F185)</f>
        <v>0</v>
      </c>
      <c r="G210" s="1670">
        <f>SUM(G184,G185)</f>
        <v>0</v>
      </c>
      <c r="H210" s="1670">
        <f>SUM(H184,H185,H196,H208,H209)</f>
        <v>0</v>
      </c>
      <c r="I210" s="1670">
        <f>SUM(I184,I185)</f>
        <v>0</v>
      </c>
      <c r="J210" s="1670">
        <f>SUM(J184,J185)</f>
        <v>0</v>
      </c>
      <c r="K210" s="1671">
        <f>SUM(K184,K185,K196,K208,K209)</f>
        <v>161466</v>
      </c>
      <c r="L210" s="1670">
        <f>SUM(L184,L185,L196,L208,L209)</f>
        <v>166920</v>
      </c>
    </row>
    <row r="211" spans="1:14" ht="13.5" thickTop="1" x14ac:dyDescent="0.2">
      <c r="A211" s="2188" t="s">
        <v>996</v>
      </c>
      <c r="B211" s="2189"/>
      <c r="C211" s="618"/>
      <c r="D211" s="618"/>
      <c r="E211" s="618"/>
      <c r="F211" s="618"/>
      <c r="G211" s="618"/>
      <c r="H211" s="618"/>
      <c r="I211" s="616"/>
      <c r="J211" s="616"/>
      <c r="K211" s="1684">
        <f>'Revenues 9-14'!F268-'Expenditures 15-22'!K210</f>
        <v>-19272</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3" t="s">
        <v>965</v>
      </c>
      <c r="B213" s="2184"/>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12119</v>
      </c>
      <c r="E215" s="616"/>
      <c r="F215" s="616"/>
      <c r="G215" s="616"/>
      <c r="H215" s="616"/>
      <c r="I215" s="616"/>
      <c r="J215" s="616"/>
      <c r="K215" s="1671">
        <f>D215</f>
        <v>12119</v>
      </c>
      <c r="L215" s="466">
        <v>11000</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2677</v>
      </c>
      <c r="E217" s="616"/>
      <c r="F217" s="616"/>
      <c r="G217" s="616"/>
      <c r="H217" s="616"/>
      <c r="I217" s="616"/>
      <c r="J217" s="616"/>
      <c r="K217" s="1671">
        <f t="shared" si="19"/>
        <v>2677</v>
      </c>
      <c r="L217" s="466">
        <v>2914</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21</v>
      </c>
      <c r="E223" s="616"/>
      <c r="F223" s="616"/>
      <c r="G223" s="616"/>
      <c r="H223" s="616"/>
      <c r="I223" s="616"/>
      <c r="J223" s="616"/>
      <c r="K223" s="1671">
        <f t="shared" si="19"/>
        <v>21</v>
      </c>
      <c r="L223" s="466">
        <v>25</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14817</v>
      </c>
      <c r="E229" s="616"/>
      <c r="F229" s="616"/>
      <c r="G229" s="616"/>
      <c r="H229" s="616"/>
      <c r="I229" s="616"/>
      <c r="J229" s="616"/>
      <c r="K229" s="1670">
        <f>SUM(K215:K228)</f>
        <v>14817</v>
      </c>
      <c r="L229" s="1670">
        <f>SUM(L215:L228)</f>
        <v>13939</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v>588</v>
      </c>
      <c r="E236" s="616"/>
      <c r="F236" s="616"/>
      <c r="G236" s="616"/>
      <c r="H236" s="616"/>
      <c r="I236" s="616"/>
      <c r="J236" s="616"/>
      <c r="K236" s="1671">
        <f t="shared" si="20"/>
        <v>588</v>
      </c>
      <c r="L236" s="466">
        <v>610</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588</v>
      </c>
      <c r="E238" s="616"/>
      <c r="F238" s="616"/>
      <c r="G238" s="616"/>
      <c r="H238" s="616"/>
      <c r="I238" s="616"/>
      <c r="J238" s="616"/>
      <c r="K238" s="1670">
        <f>SUM(K232:K237)</f>
        <v>588</v>
      </c>
      <c r="L238" s="1670">
        <f>SUM(L232:L237)</f>
        <v>610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1028</v>
      </c>
      <c r="E246" s="616"/>
      <c r="F246" s="616"/>
      <c r="G246" s="616"/>
      <c r="H246" s="616"/>
      <c r="I246" s="616"/>
      <c r="J246" s="616"/>
      <c r="K246" s="1672">
        <f t="shared" ref="K246:K256" si="21">D246</f>
        <v>1028</v>
      </c>
      <c r="L246" s="466">
        <v>915</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1028</v>
      </c>
      <c r="E257" s="616"/>
      <c r="F257" s="616"/>
      <c r="G257" s="616"/>
      <c r="H257" s="616"/>
      <c r="I257" s="616"/>
      <c r="J257" s="616"/>
      <c r="K257" s="1670">
        <f>SUM(K245:K256)</f>
        <v>1028</v>
      </c>
      <c r="L257" s="1670">
        <f>SUM(L245:L256)</f>
        <v>915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1009</v>
      </c>
      <c r="E259" s="616"/>
      <c r="F259" s="616"/>
      <c r="G259" s="616"/>
      <c r="H259" s="616"/>
      <c r="I259" s="616"/>
      <c r="J259" s="616"/>
      <c r="K259" s="1672">
        <f>D259</f>
        <v>1009</v>
      </c>
      <c r="L259" s="481">
        <v>881</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1009</v>
      </c>
      <c r="E261" s="616"/>
      <c r="F261" s="616"/>
      <c r="G261" s="616"/>
      <c r="H261" s="616"/>
      <c r="I261" s="616"/>
      <c r="J261" s="616"/>
      <c r="K261" s="1670">
        <f>SUM(K259:K260)</f>
        <v>1009</v>
      </c>
      <c r="L261" s="1670">
        <f>SUM(L259:L260)</f>
        <v>881</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8431</v>
      </c>
      <c r="E264" s="616"/>
      <c r="F264" s="616"/>
      <c r="G264" s="616"/>
      <c r="H264" s="616"/>
      <c r="I264" s="616"/>
      <c r="J264" s="616"/>
      <c r="K264" s="1672">
        <f t="shared" ref="K264:K269" si="22">D264</f>
        <v>8431</v>
      </c>
      <c r="L264" s="466">
        <v>12157</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1435</v>
      </c>
      <c r="E266" s="616"/>
      <c r="F266" s="616"/>
      <c r="G266" s="616"/>
      <c r="H266" s="616"/>
      <c r="I266" s="616"/>
      <c r="J266" s="616"/>
      <c r="K266" s="1672">
        <f t="shared" si="22"/>
        <v>1435</v>
      </c>
      <c r="L266" s="466">
        <v>153</v>
      </c>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v>6767</v>
      </c>
      <c r="E268" s="616"/>
      <c r="F268" s="616"/>
      <c r="G268" s="616"/>
      <c r="H268" s="616"/>
      <c r="I268" s="616"/>
      <c r="J268" s="616"/>
      <c r="K268" s="1672">
        <f t="shared" si="22"/>
        <v>6767</v>
      </c>
      <c r="L268" s="466">
        <v>2982</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16633</v>
      </c>
      <c r="E270" s="616"/>
      <c r="F270" s="616"/>
      <c r="G270" s="616"/>
      <c r="H270" s="616"/>
      <c r="I270" s="616"/>
      <c r="J270" s="616"/>
      <c r="K270" s="1670">
        <f>SUM(K263:K269)</f>
        <v>16633</v>
      </c>
      <c r="L270" s="1670">
        <f>SUM(L263:L269)</f>
        <v>15292</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19258</v>
      </c>
      <c r="E279" s="616"/>
      <c r="F279" s="616"/>
      <c r="G279" s="616"/>
      <c r="H279" s="616"/>
      <c r="I279" s="616"/>
      <c r="J279" s="616"/>
      <c r="K279" s="1677">
        <f>SUM(K238,K243,K257,K261,K270,K277,K278)</f>
        <v>19258</v>
      </c>
      <c r="L279" s="1677">
        <f>SUM(L238,L243,L257,L261,L270,L277,L278)</f>
        <v>17698</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9" t="s">
        <v>505</v>
      </c>
      <c r="B295" s="2180"/>
      <c r="C295" s="616"/>
      <c r="D295" s="1670">
        <f>SUM(D229,D279,D280,D285)</f>
        <v>34075</v>
      </c>
      <c r="E295" s="616"/>
      <c r="F295" s="616"/>
      <c r="G295" s="616"/>
      <c r="H295" s="1670">
        <f>H293</f>
        <v>0</v>
      </c>
      <c r="I295" s="616"/>
      <c r="J295" s="616"/>
      <c r="K295" s="1670">
        <f>SUM(K229,K279,K280,K285,K293,K294)</f>
        <v>34075</v>
      </c>
      <c r="L295" s="1670">
        <f>SUM(L229,L279,L280,L285,L293,L294)</f>
        <v>31637</v>
      </c>
    </row>
    <row r="296" spans="1:14" ht="13.5" thickTop="1" x14ac:dyDescent="0.2">
      <c r="A296" s="2188" t="s">
        <v>996</v>
      </c>
      <c r="B296" s="2189"/>
      <c r="C296" s="616"/>
      <c r="D296" s="618"/>
      <c r="E296" s="616"/>
      <c r="F296" s="616"/>
      <c r="G296" s="616"/>
      <c r="H296" s="687"/>
      <c r="I296" s="616"/>
      <c r="J296" s="616"/>
      <c r="K296" s="1684">
        <f>'Revenues 9-14'!G268-'Expenditures 15-22'!K295</f>
        <v>7404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1" t="s">
        <v>143</v>
      </c>
      <c r="B298" s="2165"/>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6" t="s">
        <v>277</v>
      </c>
      <c r="B312" s="2177"/>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72" t="s">
        <v>996</v>
      </c>
      <c r="B313" s="2173"/>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5" t="s">
        <v>149</v>
      </c>
      <c r="B315" s="2186"/>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7" t="s">
        <v>898</v>
      </c>
      <c r="B317" s="2186"/>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v>18900</v>
      </c>
      <c r="M319" s="665"/>
      <c r="N319" s="665"/>
    </row>
    <row r="320" spans="1:14" s="674" customFormat="1" x14ac:dyDescent="0.2">
      <c r="A320" s="1523" t="s">
        <v>1805</v>
      </c>
      <c r="B320" s="698" t="s">
        <v>282</v>
      </c>
      <c r="C320" s="467"/>
      <c r="D320" s="467"/>
      <c r="E320" s="467">
        <v>7292</v>
      </c>
      <c r="F320" s="467"/>
      <c r="G320" s="467"/>
      <c r="H320" s="467"/>
      <c r="I320" s="467"/>
      <c r="J320" s="467"/>
      <c r="K320" s="1671">
        <f t="shared" ref="K320:K327" si="24">SUM(C320:J320)</f>
        <v>7292</v>
      </c>
      <c r="L320" s="467">
        <v>12115</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v>22290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v>20104</v>
      </c>
      <c r="F325" s="467"/>
      <c r="G325" s="467"/>
      <c r="H325" s="467"/>
      <c r="I325" s="467"/>
      <c r="J325" s="467"/>
      <c r="K325" s="1671">
        <f t="shared" si="24"/>
        <v>20104</v>
      </c>
      <c r="L325" s="467">
        <v>25000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287</v>
      </c>
      <c r="F327" s="467"/>
      <c r="G327" s="467"/>
      <c r="H327" s="467"/>
      <c r="I327" s="467"/>
      <c r="J327" s="467"/>
      <c r="K327" s="1671">
        <f t="shared" si="24"/>
        <v>287</v>
      </c>
      <c r="L327" s="467">
        <v>6598</v>
      </c>
      <c r="M327" s="665"/>
      <c r="N327" s="665"/>
    </row>
    <row r="328" spans="1:14" s="674" customFormat="1" x14ac:dyDescent="0.2">
      <c r="A328" s="1520" t="s">
        <v>472</v>
      </c>
      <c r="B328" s="690" t="s">
        <v>1132</v>
      </c>
      <c r="C328" s="474"/>
      <c r="D328" s="474"/>
      <c r="E328" s="474">
        <v>11759</v>
      </c>
      <c r="F328" s="474"/>
      <c r="G328" s="474"/>
      <c r="H328" s="474"/>
      <c r="I328" s="474"/>
      <c r="J328" s="474"/>
      <c r="K328" s="1699">
        <f>SUM(C328:J328)</f>
        <v>11759</v>
      </c>
      <c r="L328" s="474">
        <v>12000</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39442</v>
      </c>
      <c r="F330" s="1670">
        <f t="shared" si="25"/>
        <v>0</v>
      </c>
      <c r="G330" s="1670">
        <f t="shared" si="25"/>
        <v>0</v>
      </c>
      <c r="H330" s="1670">
        <f t="shared" si="25"/>
        <v>0</v>
      </c>
      <c r="I330" s="1670">
        <f t="shared" si="25"/>
        <v>0</v>
      </c>
      <c r="J330" s="1670">
        <f t="shared" si="25"/>
        <v>0</v>
      </c>
      <c r="K330" s="1670">
        <f>SUM(K319:K329)</f>
        <v>39442</v>
      </c>
      <c r="L330" s="1670">
        <f>SUM(L319:L329)</f>
        <v>96903</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39442</v>
      </c>
      <c r="F342" s="1670">
        <f>SUM(F330)</f>
        <v>0</v>
      </c>
      <c r="G342" s="1670">
        <f>SUM(G330)</f>
        <v>0</v>
      </c>
      <c r="H342" s="1670">
        <f>SUM(H330,H334,H340)</f>
        <v>0</v>
      </c>
      <c r="I342" s="1670">
        <f>SUM(I330)</f>
        <v>0</v>
      </c>
      <c r="J342" s="1670">
        <f>SUM(J330)</f>
        <v>0</v>
      </c>
      <c r="K342" s="1670">
        <f>SUM(K330,K334,K340)</f>
        <v>39442</v>
      </c>
      <c r="L342" s="1677">
        <f>SUM(L330,L340,L341)</f>
        <v>96903</v>
      </c>
    </row>
    <row r="343" spans="1:14" ht="12.75" customHeight="1" thickTop="1" x14ac:dyDescent="0.2">
      <c r="A343" s="2174" t="s">
        <v>996</v>
      </c>
      <c r="B343" s="2175"/>
      <c r="C343" s="616"/>
      <c r="D343" s="616"/>
      <c r="E343" s="616"/>
      <c r="F343" s="616"/>
      <c r="G343" s="616"/>
      <c r="H343" s="616"/>
      <c r="I343" s="616"/>
      <c r="J343" s="616"/>
      <c r="K343" s="1684">
        <f>'Revenues 9-14'!J268-'Expenditures 15-22'!K342</f>
        <v>4404</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4" t="s">
        <v>966</v>
      </c>
      <c r="B345" s="2165"/>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v>26410</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26410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26410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26410</v>
      </c>
    </row>
    <row r="368" spans="1:14" ht="13.5" thickTop="1" x14ac:dyDescent="0.2">
      <c r="A368" s="2188" t="s">
        <v>996</v>
      </c>
      <c r="B368" s="2189"/>
      <c r="C368" s="654"/>
      <c r="D368" s="654"/>
      <c r="E368" s="626"/>
      <c r="F368" s="626"/>
      <c r="G368" s="626"/>
      <c r="H368" s="626"/>
      <c r="I368" s="626"/>
      <c r="J368" s="623"/>
      <c r="K368" s="1671">
        <f>'Revenues 9-14'!K268-'Expenditures 15-22'!K367</f>
        <v>27256</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06D1DBCF-7ECF-4109-B0E1-DC71667BB1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openxmlformats.org/package/2006/metadata/core-properties"/>
    <ds:schemaRef ds:uri="d21dc803-237d-4c68-8692-8d731fd29118"/>
    <ds:schemaRef ds:uri="http://schemas.microsoft.com/office/2006/documentManagement/types"/>
    <ds:schemaRef ds:uri="http://schemas.microsoft.com/sharepoint/v3"/>
    <ds:schemaRef ds:uri="4d435f69-8686-490b-bd6d-b153bf22ab50"/>
    <ds:schemaRef ds:uri="http://www.w3.org/XML/1998/namespace"/>
    <ds:schemaRef ds:uri="http://purl.org/dc/elements/1.1/"/>
    <ds:schemaRef ds:uri="http://purl.org/dc/terms/"/>
    <ds:schemaRef ds:uri="http://purl.org/dc/dcmitype/"/>
    <ds:schemaRef ds:uri="http://schemas.microsoft.com/office/infopath/2007/PartnerControls"/>
    <ds:schemaRef ds:uri="6ce3111e-7420-4802-b50a-75d4e9a0b98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(v4).xlsm</dc:title>
  <dc:creator>HEMBERGER DEBRA</dc:creator>
  <cp:lastModifiedBy>HOPKINS CONSTANCE</cp:lastModifiedBy>
  <cp:lastPrinted>2019-10-30T13:50:28Z</cp:lastPrinted>
  <dcterms:created xsi:type="dcterms:W3CDTF">2003-10-29T19:06:34Z</dcterms:created>
  <dcterms:modified xsi:type="dcterms:W3CDTF">2019-12-09T21:49:06Z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orkbook id">
    <vt:lpwstr>af5fa459-e813-40d0-a4a0-04e2c55a0d8a</vt:lpwstr>
  </property>
  <property fmtid="{D5CDD505-2E9C-101B-9397-08002B2CF9AE}" pid="5" name="Workbook type">
    <vt:lpwstr>Custom</vt:lpwstr>
  </property>
  <property fmtid="{D5CDD505-2E9C-101B-9397-08002B2CF9AE}" pid="6" name="Workbook version">
    <vt:lpwstr>Custom</vt:lpwstr>
  </property>
  <property fmtid="{D5CDD505-2E9C-101B-9397-08002B2CF9AE}" pid="7" name="WPCSUniqueID">
    <vt:lpwstr>0a2a72cf-d4b4-434d-afb6-493d15301fa3</vt:lpwstr>
  </property>
</Properties>
</file>