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19" sheetId="183" r:id="rId29"/>
    <sheet name="SEFA NOTES" sheetId="186" r:id="rId30"/>
    <sheet name="SF&amp;QC Sec-1" sheetId="174" r:id="rId31"/>
    <sheet name="SF&amp;QC Sec-2" sheetId="175" r:id="rId32"/>
    <sheet name="SF&amp;QC Sec-3" sheetId="184" r:id="rId33"/>
    <sheet name="SSPAF" sheetId="177" r:id="rId34"/>
    <sheet name="CAP" sheetId="185" r:id="rId35"/>
  </sheets>
  <definedNames>
    <definedName name="Finding">#REF!</definedName>
    <definedName name="goof" localSheetId="29">#REF!</definedName>
    <definedName name="goof" localSheetId="32">#REF!</definedName>
    <definedName name="goof">#REF!</definedName>
    <definedName name="New">#REF!</definedName>
    <definedName name="newname">#REF!</definedName>
    <definedName name="oops" localSheetId="29">#REF!</definedName>
    <definedName name="oops" localSheetId="32">#REF!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9">'SEFA NOTES'!$A$1:$F$61</definedName>
    <definedName name="_xlnm.Print_Area" localSheetId="26">'SEFA Reconcile'!$A$1:$E$49</definedName>
    <definedName name="_xlnm.Print_Area" localSheetId="28">SEFA19!$A$11:$S$96</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Cover'!$A$1:$L$51</definedName>
    <definedName name="Print_Area_MI" localSheetId="28">SEFA19!$B$13:$S$82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SEFA19!$A:$B,SEFA19!$1:$10</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21">#REF!</definedName>
    <definedName name="SCHADDRS" localSheetId="4">#REF!</definedName>
    <definedName name="SCHADDRS" localSheetId="29">#REF!</definedName>
    <definedName name="SCHADDRS" localSheetId="26">#REF!</definedName>
    <definedName name="SCHADDRS" localSheetId="28">#REF!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21">#REF!</definedName>
    <definedName name="SCHCTY" localSheetId="4">#REF!</definedName>
    <definedName name="SCHCTY" localSheetId="29">#REF!</definedName>
    <definedName name="SCHCTY" localSheetId="26">#REF!</definedName>
    <definedName name="SCHCTY" localSheetId="28">#REF!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21">#REF!</definedName>
    <definedName name="SCHNMBR" localSheetId="4">#REF!</definedName>
    <definedName name="SCHNMBR" localSheetId="29">#REF!</definedName>
    <definedName name="SCHNMBR" localSheetId="26">#REF!</definedName>
    <definedName name="SCHNMBR" localSheetId="28">#REF!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21">#REF!</definedName>
    <definedName name="SCHNME" localSheetId="4">#REF!</definedName>
    <definedName name="SCHNME" localSheetId="29">#REF!</definedName>
    <definedName name="SCHNME" localSheetId="26">#REF!</definedName>
    <definedName name="SCHNME" localSheetId="28">#REF!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EFA09" localSheetId="29">#REF!</definedName>
    <definedName name="SEFA09">#REF!</definedName>
    <definedName name="SUPT" localSheetId="27">#REF!</definedName>
    <definedName name="SUPT" localSheetId="17">#REF!</definedName>
    <definedName name="SUPT" localSheetId="34">#REF!</definedName>
    <definedName name="SUPT" localSheetId="21">#REF!</definedName>
    <definedName name="SUPT" localSheetId="4">#REF!</definedName>
    <definedName name="SUPT" localSheetId="29">#REF!</definedName>
    <definedName name="SUPT" localSheetId="26">#REF!</definedName>
    <definedName name="SUPT" localSheetId="28">#REF!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186" l="1"/>
  <c r="A1" i="186"/>
  <c r="E34" i="186" l="1"/>
  <c r="B1" i="185" l="1"/>
  <c r="G39" i="174" l="1"/>
  <c r="G38" i="174"/>
  <c r="O87" i="183" l="1"/>
  <c r="O82" i="183"/>
  <c r="O83" i="183" s="1"/>
  <c r="O85" i="183" s="1"/>
  <c r="M82" i="183"/>
  <c r="M83" i="183" s="1"/>
  <c r="K82" i="183"/>
  <c r="K83" i="183" s="1"/>
  <c r="I82" i="183"/>
  <c r="I83" i="183" s="1"/>
  <c r="G82" i="183"/>
  <c r="G83" i="183" s="1"/>
  <c r="Q81" i="183"/>
  <c r="Q80" i="183"/>
  <c r="O75" i="183"/>
  <c r="M75" i="183"/>
  <c r="K75" i="183"/>
  <c r="G75" i="183"/>
  <c r="Q74" i="183"/>
  <c r="Q75" i="183" s="1"/>
  <c r="O70" i="183"/>
  <c r="M70" i="183"/>
  <c r="K70" i="183"/>
  <c r="G70" i="183"/>
  <c r="Q69" i="183"/>
  <c r="Q68" i="183"/>
  <c r="I68" i="183"/>
  <c r="O63" i="183"/>
  <c r="M63" i="183"/>
  <c r="K63" i="183"/>
  <c r="O62" i="183"/>
  <c r="M62" i="183"/>
  <c r="O59" i="183"/>
  <c r="M59" i="183"/>
  <c r="K59" i="183"/>
  <c r="I59" i="183"/>
  <c r="Q58" i="183"/>
  <c r="Q57" i="183"/>
  <c r="G57" i="183"/>
  <c r="I63" i="183"/>
  <c r="Q48" i="183"/>
  <c r="Q44" i="183"/>
  <c r="Q43" i="183"/>
  <c r="Q41" i="183"/>
  <c r="Q40" i="183"/>
  <c r="Q38" i="183"/>
  <c r="Q37" i="183"/>
  <c r="Q35" i="183"/>
  <c r="Q34" i="183"/>
  <c r="Q32" i="183"/>
  <c r="M25" i="183"/>
  <c r="K25" i="183"/>
  <c r="I25" i="183"/>
  <c r="G25" i="183"/>
  <c r="Q24" i="183"/>
  <c r="Q23" i="183"/>
  <c r="M21" i="183"/>
  <c r="M26" i="183" s="1"/>
  <c r="K21" i="183"/>
  <c r="K26" i="183" s="1"/>
  <c r="K87" i="183" s="1"/>
  <c r="I21" i="183"/>
  <c r="I26" i="183" s="1"/>
  <c r="G21" i="183"/>
  <c r="Q20" i="183"/>
  <c r="Q19" i="183"/>
  <c r="Q17" i="183"/>
  <c r="Q15" i="183"/>
  <c r="Q14" i="183"/>
  <c r="M8" i="183"/>
  <c r="K8" i="183"/>
  <c r="M7" i="183"/>
  <c r="Q62" i="183" l="1"/>
  <c r="G26" i="183"/>
  <c r="G87" i="183" s="1"/>
  <c r="Q63" i="183"/>
  <c r="Q21" i="183"/>
  <c r="I70" i="183"/>
  <c r="I89" i="183" s="1"/>
  <c r="Q59" i="183"/>
  <c r="Q82" i="183"/>
  <c r="Q83" i="183" s="1"/>
  <c r="Q70" i="183"/>
  <c r="O89" i="183"/>
  <c r="O91" i="183" s="1"/>
  <c r="Q25" i="183"/>
  <c r="Q26" i="183" s="1"/>
  <c r="G89" i="183"/>
  <c r="G91" i="183" s="1"/>
  <c r="M87" i="183"/>
  <c r="M85" i="183"/>
  <c r="I87" i="183"/>
  <c r="I85" i="183"/>
  <c r="K89" i="183"/>
  <c r="K91" i="183" s="1"/>
  <c r="M89" i="183"/>
  <c r="G59" i="183"/>
  <c r="K85" i="183"/>
  <c r="G63" i="183"/>
  <c r="G85" i="183" s="1"/>
  <c r="Q89" i="183" l="1"/>
  <c r="M91" i="183"/>
  <c r="I91" i="183"/>
  <c r="Q85" i="183"/>
  <c r="Q87" i="183"/>
  <c r="Q91"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5"/>
  <c r="B4" i="184" s="1"/>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1" i="179"/>
  <c r="B1" i="175"/>
  <c r="B1" i="177"/>
  <c r="A1" i="170"/>
  <c r="A2" i="171"/>
  <c r="B1" i="174"/>
  <c r="B2" i="175"/>
  <c r="B2" i="185" s="1"/>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J49" i="8" s="1"/>
  <c r="B4172" i="106" s="1"/>
  <c r="D4172" i="106" s="1"/>
  <c r="I32" i="8"/>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6" i="127"/>
  <c r="B67" i="127"/>
  <c r="D26" i="108"/>
  <c r="F26" i="108"/>
  <c r="E27" i="108"/>
  <c r="G27" i="108"/>
  <c r="F31" i="108"/>
  <c r="G28" i="108"/>
  <c r="E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J22" i="37"/>
  <c r="L5" i="11"/>
  <c r="B2056" i="106" s="1"/>
  <c r="D2056" i="106" s="1"/>
  <c r="H33" i="118" l="1"/>
  <c r="H28" i="118"/>
  <c r="D68" i="36"/>
  <c r="G33" i="108"/>
  <c r="L15" i="11"/>
  <c r="B3459" i="106" s="1"/>
  <c r="D3459" i="106" s="1"/>
  <c r="D24" i="37"/>
  <c r="B4270" i="106" s="1"/>
  <c r="D4270" i="106" s="1"/>
  <c r="F36" i="34"/>
  <c r="B6289" i="106"/>
  <c r="D6289" i="106" s="1"/>
  <c r="B6995" i="106"/>
  <c r="D6995" i="106" s="1"/>
  <c r="F67" i="34"/>
  <c r="F46" i="34"/>
  <c r="I210" i="29"/>
  <c r="B7071" i="106" s="1"/>
  <c r="D7071" i="106" s="1"/>
  <c r="F50" i="34"/>
  <c r="J210" i="29"/>
  <c r="B7072" i="106" s="1"/>
  <c r="D7072" i="106" s="1"/>
  <c r="F42" i="34"/>
  <c r="H76" i="4"/>
  <c r="B3298" i="106" s="1"/>
  <c r="D3298" i="106" s="1"/>
  <c r="G30" i="108"/>
  <c r="F36" i="108"/>
  <c r="F49" i="34"/>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K184" i="29"/>
  <c r="F13" i="4" s="1"/>
  <c r="B2596" i="106" s="1"/>
  <c r="D2596" i="106" s="1"/>
  <c r="G210" i="29"/>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J24" i="12"/>
  <c r="B7730" i="106"/>
  <c r="D7730" i="106" s="1"/>
  <c r="B7270" i="106"/>
  <c r="D7256" i="106" l="1"/>
  <c r="D7252" i="106"/>
  <c r="B1328" i="106"/>
  <c r="D1328" i="106" s="1"/>
  <c r="F66" i="34"/>
  <c r="H77" i="4"/>
  <c r="B3299" i="106" s="1"/>
  <c r="D3299" i="106" s="1"/>
  <c r="I7" i="4"/>
  <c r="B4444" i="106" s="1"/>
  <c r="D4444" i="106" s="1"/>
  <c r="L16" i="11"/>
  <c r="B2061" i="106" s="1"/>
  <c r="D2061" i="106" s="1"/>
  <c r="B2031" i="106"/>
  <c r="D203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K77" i="4"/>
  <c r="B3587" i="106" s="1"/>
  <c r="D3587" i="106" s="1"/>
  <c r="B5778" i="106"/>
  <c r="D5778" i="106" s="1"/>
  <c r="G6" i="4"/>
  <c r="B2604" i="106" s="1"/>
  <c r="D2604" i="106" s="1"/>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5552" i="106"/>
  <c r="D5552" i="106" s="1"/>
  <c r="K175" i="29"/>
  <c r="B1333" i="106" s="1"/>
  <c r="D1333" i="106" s="1"/>
  <c r="A7260" i="106"/>
  <c r="D7259" i="106"/>
  <c r="E8" i="4"/>
  <c r="D8" i="146" l="1"/>
  <c r="B2595" i="106"/>
  <c r="D2595" i="106" s="1"/>
  <c r="K20" i="4"/>
  <c r="K78" i="4" s="1"/>
  <c r="K19" i="4"/>
  <c r="B4144" i="106" s="1"/>
  <c r="D4144" i="106" s="1"/>
  <c r="J78" i="4"/>
  <c r="J81" i="4" s="1"/>
  <c r="D10" i="4"/>
  <c r="B4123" i="106" s="1"/>
  <c r="D4123" i="106" s="1"/>
  <c r="B2568" i="106"/>
  <c r="D2568" i="106" s="1"/>
  <c r="D20" i="4"/>
  <c r="B2574" i="106" s="1"/>
  <c r="D2574" i="106" s="1"/>
  <c r="F14" i="34"/>
  <c r="F77" i="34" s="1"/>
  <c r="G10" i="4"/>
  <c r="B4126" i="106" s="1"/>
  <c r="D4126" i="106" s="1"/>
  <c r="G20" i="4"/>
  <c r="B2606" i="106"/>
  <c r="D2606" i="106" s="1"/>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79" i="34" l="1"/>
  <c r="B3576" i="106"/>
  <c r="D3576" i="106" s="1"/>
  <c r="B6263" i="106"/>
  <c r="D6263" i="106" s="1"/>
  <c r="D78" i="4"/>
  <c r="D81" i="4" s="1"/>
  <c r="B3588" i="106"/>
  <c r="D3588" i="106" s="1"/>
  <c r="K81" i="4"/>
  <c r="F78" i="4"/>
  <c r="B2601" i="106"/>
  <c r="D2601" i="106" s="1"/>
  <c r="B3320" i="106"/>
  <c r="D3320" i="106" s="1"/>
  <c r="B3300" i="106"/>
  <c r="D3300" i="106" s="1"/>
  <c r="B7631" i="106"/>
  <c r="F176" i="34"/>
  <c r="A7262" i="106"/>
  <c r="D7261" i="106"/>
  <c r="G78" i="4"/>
  <c r="B2613" i="106"/>
  <c r="D2613" i="106" s="1"/>
  <c r="F9" i="146"/>
  <c r="E78" i="4"/>
  <c r="B2636" i="106"/>
  <c r="D2636" i="106" s="1"/>
  <c r="J82" i="4"/>
  <c r="B6266" i="106"/>
  <c r="D6266" i="106" s="1"/>
  <c r="B3239" i="106" l="1"/>
  <c r="D3239" i="106" s="1"/>
  <c r="B3278" i="106"/>
  <c r="D3278" i="106" s="1"/>
  <c r="A7263" i="106"/>
  <c r="D7262" i="106"/>
  <c r="F81" i="4"/>
  <c r="B3256" i="106"/>
  <c r="D3256" i="106" s="1"/>
  <c r="G81" i="4"/>
  <c r="B3262" i="106"/>
  <c r="D3262" i="106" s="1"/>
  <c r="B3591" i="106"/>
  <c r="D3591" i="106" s="1"/>
  <c r="K82" i="4"/>
  <c r="J83" i="4"/>
  <c r="B6283" i="106" s="1"/>
  <c r="D6283" i="106" s="1"/>
  <c r="B6274" i="106"/>
  <c r="D6274" i="106" s="1"/>
  <c r="D82" i="4"/>
  <c r="B1644" i="106"/>
  <c r="D1644" i="106" s="1"/>
  <c r="C11" i="146"/>
  <c r="B6275" i="106" l="1"/>
  <c r="D6275" i="106" s="1"/>
  <c r="K83" i="4"/>
  <c r="B6284" i="106" s="1"/>
  <c r="D6284" i="106" s="1"/>
  <c r="G82" i="4"/>
  <c r="B1686" i="106"/>
  <c r="D1686" i="106" s="1"/>
  <c r="B1672" i="106"/>
  <c r="D1672" i="106" s="1"/>
  <c r="F82" i="4"/>
  <c r="D11" i="14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I82" i="4"/>
  <c r="B1700" i="106"/>
  <c r="D1700" i="106" s="1"/>
  <c r="H82" i="4"/>
  <c r="E82" i="4"/>
  <c r="B1658" i="106"/>
  <c r="D1658" i="106" s="1"/>
  <c r="I83" i="4" l="1"/>
  <c r="B6282" i="106" s="1"/>
  <c r="D6282" i="106" s="1"/>
  <c r="B6273" i="106"/>
  <c r="D6273" i="106" s="1"/>
  <c r="H83" i="4"/>
  <c r="B6281" i="106" s="1"/>
  <c r="D6281" i="106" s="1"/>
  <c r="B6272" i="106"/>
  <c r="D6272" i="106" s="1"/>
  <c r="B6269" i="106"/>
  <c r="D6269" i="106" s="1"/>
  <c r="E83" i="4"/>
  <c r="B6278" i="106" s="1"/>
  <c r="D6278" i="106" s="1"/>
  <c r="B280" i="106" l="1"/>
  <c r="D280" i="106" s="1"/>
  <c r="M41" i="3"/>
  <c r="B281" i="106" l="1"/>
  <c r="D281" i="106" s="1"/>
  <c r="D54" i="36"/>
  <c r="D59" i="36" l="1"/>
  <c r="B140" i="106"/>
  <c r="D140" i="106" s="1"/>
  <c r="E41" i="3"/>
  <c r="B2912" i="106"/>
  <c r="D2912" i="106" s="1"/>
  <c r="D63" i="36"/>
  <c r="I41" i="3"/>
  <c r="B189" i="106" l="1"/>
  <c r="D189" i="106" s="1"/>
  <c r="G41" i="3"/>
  <c r="D61" i="36"/>
  <c r="D50" i="36"/>
  <c r="B2913" i="106"/>
  <c r="D2913" i="106" s="1"/>
  <c r="B6215" i="106"/>
  <c r="D6215" i="106" s="1"/>
  <c r="J41" i="3"/>
  <c r="D64" i="36"/>
  <c r="B141" i="106"/>
  <c r="D141" i="106" s="1"/>
  <c r="D46" i="36"/>
  <c r="B6216" i="106" l="1"/>
  <c r="D6216" i="106" s="1"/>
  <c r="D51" i="36"/>
  <c r="N23" i="3"/>
  <c r="B282" i="106"/>
  <c r="D282" i="106" s="1"/>
  <c r="B123" i="106"/>
  <c r="D123" i="106" s="1"/>
  <c r="D41" i="3"/>
  <c r="D58" i="36"/>
  <c r="B3567" i="106"/>
  <c r="D3567" i="106" s="1"/>
  <c r="K41" i="3"/>
  <c r="D65" i="36"/>
  <c r="H41" i="3"/>
  <c r="D62" i="36"/>
  <c r="B212" i="106"/>
  <c r="D212" i="106" s="1"/>
  <c r="D48" i="36"/>
  <c r="B190" i="106"/>
  <c r="D190" i="106" s="1"/>
  <c r="B124" i="106" l="1"/>
  <c r="D124" i="106" s="1"/>
  <c r="D45" i="36"/>
  <c r="B170" i="106"/>
  <c r="D170" i="106" s="1"/>
  <c r="F41" i="3"/>
  <c r="D60" i="36"/>
  <c r="B213" i="106"/>
  <c r="D213" i="106" s="1"/>
  <c r="D49" i="36"/>
  <c r="B284" i="106"/>
  <c r="D284" i="106" s="1"/>
  <c r="D55" i="36"/>
  <c r="B3568" i="106"/>
  <c r="D3568" i="106" s="1"/>
  <c r="D52" i="36"/>
  <c r="B171" i="106" l="1"/>
  <c r="D171" i="106" s="1"/>
  <c r="D47" i="36"/>
  <c r="F102" i="34" l="1"/>
  <c r="C108" i="5"/>
  <c r="B5115" i="106"/>
  <c r="D5115" i="106" s="1"/>
  <c r="B5120" i="106" l="1"/>
  <c r="D5120" i="106" s="1"/>
  <c r="C109" i="5"/>
  <c r="B4852" i="106"/>
  <c r="D4852" i="106" s="1"/>
  <c r="F170" i="34"/>
  <c r="F174" i="34" s="1"/>
  <c r="F175" i="34" s="1"/>
  <c r="F177" i="34" s="1"/>
  <c r="F179" i="34" s="1"/>
  <c r="C266" i="5"/>
  <c r="B5121" i="106" l="1"/>
  <c r="D5121" i="106" s="1"/>
  <c r="C4" i="4"/>
  <c r="B2551" i="106" s="1"/>
  <c r="D2551" i="106" s="1"/>
  <c r="B5320" i="106"/>
  <c r="D5320" i="106" s="1"/>
  <c r="C267" i="5"/>
  <c r="C268" i="5" l="1"/>
  <c r="B5326" i="106"/>
  <c r="D5326" i="106" s="1"/>
  <c r="C7" i="4"/>
  <c r="B2554" i="106" l="1"/>
  <c r="D2554" i="106" s="1"/>
  <c r="D10" i="171"/>
  <c r="D19" i="171" s="1"/>
  <c r="D32" i="171" s="1"/>
  <c r="D49" i="171" s="1"/>
  <c r="C8" i="4"/>
  <c r="K115" i="29"/>
  <c r="B1153" i="106" s="1"/>
  <c r="D1153" i="106" s="1"/>
  <c r="B5327" i="106"/>
  <c r="D5327" i="106" s="1"/>
  <c r="B2555" i="106" l="1"/>
  <c r="D2555" i="106" s="1"/>
  <c r="H18" i="118"/>
  <c r="K17" i="118" s="1"/>
  <c r="D16" i="37"/>
  <c r="H16" i="37" s="1"/>
  <c r="H13" i="118"/>
  <c r="C10" i="4"/>
  <c r="B4122" i="106" s="1"/>
  <c r="D4122" i="106" s="1"/>
  <c r="B8" i="146"/>
  <c r="C20" i="4"/>
  <c r="F8" i="146" l="1"/>
  <c r="F10" i="146" s="1"/>
  <c r="B10" i="146"/>
  <c r="B2562" i="106"/>
  <c r="D2562" i="106" s="1"/>
  <c r="C78" i="4"/>
  <c r="O16" i="118"/>
  <c r="J20" i="118"/>
  <c r="K20" i="118"/>
  <c r="B3233" i="106" l="1"/>
  <c r="D3233" i="106" s="1"/>
  <c r="C81" i="4"/>
  <c r="O17" i="118"/>
  <c r="O20" i="118" s="1"/>
  <c r="B92" i="106"/>
  <c r="D92" i="106" s="1"/>
  <c r="D57" i="36"/>
  <c r="D76" i="36"/>
  <c r="C41" i="3"/>
  <c r="D44" i="36" l="1"/>
  <c r="B93" i="106"/>
  <c r="D93" i="106" s="1"/>
  <c r="B11" i="146"/>
  <c r="F11" i="146" s="1"/>
  <c r="B1630" i="106"/>
  <c r="D1630" i="106" s="1"/>
  <c r="C82" i="4"/>
  <c r="J16" i="37"/>
  <c r="B4269" i="106" s="1"/>
  <c r="D4269" i="106" s="1"/>
  <c r="H12" i="118"/>
  <c r="K12" i="118" s="1"/>
  <c r="O11" i="118" s="1"/>
  <c r="O13" i="118" s="1"/>
  <c r="O35" i="118" s="1"/>
  <c r="O37" i="118" s="1"/>
  <c r="C83" i="4" l="1"/>
  <c r="B6276" i="106" s="1"/>
  <c r="D6276" i="106" s="1"/>
  <c r="B6267" i="106"/>
  <c r="D6267" i="106" s="1"/>
  <c r="C12" i="146"/>
  <c r="D29" i="36"/>
  <c r="J24" i="24"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<sst xmlns="http://schemas.openxmlformats.org/spreadsheetml/2006/main" count="5327" uniqueCount="2248">
  <si>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</si>
  <si>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</si>
  <si>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</si>
  <si>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</si>
  <si>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</si>
  <si>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</si>
  <si>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</si>
  <si>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</si>
  <si>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</si>
  <si>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</si>
  <si>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</si>
  <si>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</si>
  <si>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</si>
  <si>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</si>
  <si>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</si>
  <si>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</si>
  <si>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</si>
  <si>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</si>
  <si>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</si>
  <si>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</si>
  <si>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</si>
  <si>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</si>
  <si>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</si>
  <si>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</si>
  <si>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</si>
  <si>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</si>
  <si>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</si>
  <si>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</si>
  <si>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</si>
  <si>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</si>
  <si>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</si>
  <si>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</si>
  <si>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</si>
  <si>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</si>
  <si>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</si>
  <si>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</si>
  <si>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</si>
  <si>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</si>
  <si>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</si>
  <si>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</si>
  <si>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</si>
  <si>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</si>
  <si>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</si>
  <si>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</si>
  <si>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</si>
  <si>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</si>
  <si>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</si>
  <si>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</si>
  <si>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</si>
  <si>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</si>
  <si>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</si>
  <si>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</si>
  <si>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</si>
  <si>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</si>
  <si>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</si>
  <si>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</si>
  <si>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</si>
  <si>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</si>
  <si>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</si>
  <si>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</si>
  <si>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</si>
  <si>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</si>
  <si>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</si>
  <si>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</si>
  <si>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</si>
  <si>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</si>
  <si>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</si>
  <si>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</si>
  <si>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</si>
  <si>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</si>
  <si>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</si>
  <si>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</si>
  <si>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</si>
  <si>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</si>
  <si>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</si>
  <si>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</si>
  <si>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</si>
  <si>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</si>
  <si>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</si>
  <si>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</si>
  <si>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</si>
  <si>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</si>
  <si>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</si>
  <si>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</si>
  <si>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</si>
  <si>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</si>
  <si>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</si>
  <si>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</si>
  <si>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</si>
  <si>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</si>
  <si>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</si>
  <si>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</si>
  <si>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</si>
  <si>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</si>
  <si>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</si>
  <si>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</si>
  <si>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</si>
  <si>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</si>
  <si>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</si>
  <si>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</si>
  <si>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</si>
  <si>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</si>
  <si>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</si>
  <si>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</si>
  <si>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</si>
  <si>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</si>
  <si>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</si>
  <si>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</si>
  <si>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</si>
  <si>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</si>
  <si>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</si>
  <si>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</si>
  <si>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</si>
  <si>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</si>
  <si>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</si>
  <si>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</si>
  <si>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</si>
  <si>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</si>
  <si>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</si>
  <si>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</si>
  <si>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</si>
  <si>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</si>
  <si>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</si>
  <si>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</si>
  <si>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</si>
  <si>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</si>
  <si>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</si>
  <si>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</si>
  <si>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</si>
  <si>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</si>
  <si>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</si>
  <si>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</si>
  <si>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</si>
  <si>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</si>
  <si>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</si>
  <si>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</si>
  <si>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</si>
  <si>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</si>
  <si>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</si>
  <si>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</si>
  <si>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</si>
  <si>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</si>
  <si>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</si>
  <si>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</si>
  <si>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</si>
  <si>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</si>
  <si>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</si>
  <si>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</si>
  <si>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</si>
  <si>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</si>
  <si>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</si>
  <si>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</si>
  <si>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</si>
  <si>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</si>
  <si>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</si>
  <si>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</si>
  <si>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</si>
  <si>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</si>
  <si>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</si>
  <si>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</si>
  <si>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</si>
  <si>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</si>
  <si>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</si>
  <si>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</si>
  <si>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</si>
  <si>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</si>
  <si>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</si>
  <si>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</si>
  <si>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</si>
  <si>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</si>
  <si>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</si>
  <si>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</si>
  <si>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</si>
  <si>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</si>
  <si>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</si>
  <si>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</si>
  <si>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</si>
  <si>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</si>
  <si>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</si>
  <si>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</si>
  <si>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</si>
  <si>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</si>
  <si>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</si>
  <si>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</si>
  <si>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</si>
  <si>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</si>
  <si>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</si>
  <si>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</si>
  <si>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</si>
  <si>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</si>
  <si>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</si>
  <si>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</si>
  <si>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</si>
  <si>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</si>
  <si>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</si>
  <si>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</si>
  <si>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</si>
  <si>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</si>
  <si>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</si>
  <si>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</si>
  <si>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</si>
  <si>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</si>
  <si>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</si>
  <si>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</si>
  <si>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</si>
  <si>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</si>
  <si>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</si>
  <si>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</si>
  <si>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</si>
  <si>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</si>
  <si>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</si>
  <si>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</si>
  <si>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</si>
  <si>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</si>
  <si>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</si>
  <si>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</si>
  <si>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</si>
  <si>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</si>
  <si>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</si>
  <si>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</si>
  <si>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</si>
  <si>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</si>
  <si>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</si>
  <si>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</si>
  <si>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</si>
  <si>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</si>
  <si>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</si>
  <si>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</si>
  <si>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</si>
  <si>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</si>
  <si>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</si>
  <si>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</si>
  <si>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</si>
  <si>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</si>
  <si>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</si>
  <si>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</si>
  <si>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</si>
  <si>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</si>
  <si>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</si>
  <si>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</si>
  <si>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</si>
  <si>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</si>
  <si>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</si>
  <si>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</si>
  <si>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</si>
  <si>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</si>
  <si>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</si>
  <si>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</si>
  <si>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</si>
  <si>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</si>
  <si>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</si>
  <si>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</si>
  <si>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</si>
  <si>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</si>
  <si>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</si>
  <si>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</si>
  <si>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</si>
  <si>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</si>
  <si>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</si>
  <si>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</si>
  <si>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</si>
  <si>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</si>
  <si>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</si>
  <si>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</si>
  <si>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</si>
  <si>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</si>
  <si>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</si>
  <si>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</si>
  <si>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</si>
  <si>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</si>
  <si>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</si>
  <si>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</si>
  <si>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</si>
  <si>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</si>
  <si>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</si>
  <si>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</si>
  <si>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</si>
  <si>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</si>
  <si>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</si>
  <si>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</si>
  <si>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</si>
  <si>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</si>
  <si>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</si>
  <si>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</si>
  <si>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</si>
  <si>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</si>
  <si>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</si>
  <si>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</si>
  <si>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</si>
  <si>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</si>
  <si>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</si>
  <si>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</si>
  <si>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</si>
  <si>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</si>
  <si>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</si>
  <si>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</si>
  <si>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</si>
  <si>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</si>
  <si>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</si>
  <si>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</si>
  <si>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</si>
  <si>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</si>
  <si>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</si>
  <si>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</si>
  <si>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</si>
  <si>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</si>
  <si>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</si>
  <si>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</si>
  <si>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</si>
  <si>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</si>
  <si>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</si>
  <si>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</si>
  <si>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</si>
  <si>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</si>
  <si>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</si>
  <si>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</si>
  <si>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</si>
  <si>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</si>
  <si>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</si>
  <si>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</si>
  <si>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</si>
  <si>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</si>
  <si>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</si>
  <si>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</si>
  <si>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</si>
  <si>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</si>
  <si>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</si>
  <si>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</si>
  <si>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</si>
  <si>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</si>
  <si>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</si>
  <si>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</si>
  <si>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</si>
  <si>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</si>
  <si>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</si>
  <si>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</si>
  <si>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</si>
  <si>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</si>
  <si>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</si>
  <si>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</si>
  <si>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</si>
  <si>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</si>
  <si>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</si>
  <si>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</si>
  <si>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</si>
  <si>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</si>
  <si>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</si>
  <si>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</si>
  <si>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</si>
  <si>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</si>
  <si>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</si>
  <si>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</si>
  <si>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</si>
  <si>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</si>
  <si>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</si>
  <si>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</si>
  <si>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</si>
  <si>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</si>
  <si>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</si>
  <si>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</si>
  <si>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</si>
  <si>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</si>
  <si>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</si>
  <si>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</si>
  <si>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</si>
  <si>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</si>
  <si>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</si>
  <si>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</si>
  <si>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</si>
  <si>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</si>
  <si>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</si>
  <si>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</si>
  <si>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</si>
  <si>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</si>
  <si>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</si>
  <si>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</si>
  <si>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</si>
  <si>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</si>
  <si>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</si>
  <si>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</si>
  <si>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</si>
  <si>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</si>
  <si>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</si>
  <si>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</si>
  <si>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</si>
  <si>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</si>
  <si>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</si>
  <si>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</si>
  <si>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</si>
  <si>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</si>
  <si>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</si>
  <si>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</si>
  <si>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</si>
  <si>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</si>
  <si>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</si>
  <si>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</si>
  <si>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</si>
  <si>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</si>
  <si>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</si>
  <si>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</si>
  <si>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</si>
  <si>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</si>
  <si>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</si>
  <si>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</si>
  <si>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</si>
  <si>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</si>
  <si>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</si>
  <si>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</si>
  <si>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</si>
  <si>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</si>
  <si>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</si>
  <si>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</si>
  <si>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</si>
  <si>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</si>
  <si>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</si>
  <si>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</si>
  <si>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</si>
  <si>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</si>
  <si>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</si>
  <si>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</si>
  <si>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</si>
  <si>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</si>
  <si>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</si>
  <si>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</si>
  <si>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</si>
  <si>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</si>
  <si>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</si>
  <si>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</si>
  <si>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</si>
  <si>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</si>
  <si>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</si>
  <si>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</si>
  <si>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</si>
  <si>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</si>
  <si>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</si>
  <si>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</si>
  <si>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</si>
  <si>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</si>
  <si>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</si>
  <si>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</si>
  <si>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</si>
  <si>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</si>
  <si>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</si>
  <si>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</si>
  <si>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</si>
  <si>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</si>
  <si>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</si>
  <si>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</si>
  <si>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</si>
  <si>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</si>
  <si>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</si>
  <si>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</si>
  <si>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</si>
  <si>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</si>
  <si>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</si>
  <si>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</si>
  <si>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</si>
  <si>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</si>
  <si>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</si>
  <si>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</si>
  <si>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</si>
  <si>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</si>
  <si>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</si>
  <si>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</si>
  <si>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</si>
  <si>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</si>
  <si>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</si>
  <si>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</si>
  <si>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</si>
  <si>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</si>
  <si>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</si>
  <si>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</si>
  <si>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</si>
  <si>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</si>
  <si>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</si>
  <si>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</si>
  <si>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</si>
  <si>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</si>
  <si>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</si>
  <si>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</si>
  <si>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</si>
  <si>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</si>
  <si>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</si>
  <si>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</si>
  <si>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</si>
  <si>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</si>
  <si>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</si>
  <si>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</si>
  <si>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</si>
  <si>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</si>
  <si>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</si>
  <si>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</si>
  <si>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</si>
  <si>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</si>
  <si>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</si>
  <si>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</si>
  <si>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</si>
  <si>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</si>
  <si>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</si>
  <si>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</si>
  <si>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</si>
  <si>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</si>
  <si>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</si>
  <si>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</si>
  <si>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</si>
  <si>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</si>
  <si>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</si>
  <si>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</si>
  <si>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</si>
  <si>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</si>
  <si>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</si>
  <si>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</si>
  <si>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</si>
  <si>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</si>
  <si>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</si>
  <si>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</si>
  <si>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</si>
  <si>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</si>
  <si>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</si>
  <si>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</si>
  <si>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</si>
  <si>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</si>
  <si>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</si>
  <si>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</si>
  <si>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</si>
  <si>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</si>
  <si>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</si>
  <si>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</si>
  <si>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</si>
  <si>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</si>
  <si>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</si>
  <si>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</si>
  <si>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</si>
  <si>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</si>
  <si>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</si>
  <si>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</si>
  <si>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</si>
  <si>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</si>
  <si>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</si>
  <si>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</si>
  <si>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</si>
  <si>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</si>
  <si>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</si>
  <si>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</si>
  <si>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</si>
  <si>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</si>
  <si>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</si>
  <si>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</si>
  <si>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</si>
  <si>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</si>
  <si>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</si>
  <si>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</si>
  <si>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</si>
  <si>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</si>
  <si>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</si>
  <si>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</si>
  <si>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</si>
  <si>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</si>
  <si>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</si>
  <si>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</si>
  <si>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</si>
  <si>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</si>
  <si>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</si>
  <si>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</si>
  <si>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</si>
  <si>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</si>
  <si>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</si>
  <si>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</si>
  <si>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</si>
  <si>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</si>
  <si>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</si>
  <si>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</si>
  <si>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</si>
  <si>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</si>
  <si>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</si>
  <si>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</si>
  <si>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</si>
  <si>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</si>
  <si>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</si>
  <si>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</si>
  <si>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</si>
  <si>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</si>
  <si>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</si>
  <si>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</si>
  <si>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</si>
  <si>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</si>
  <si>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</si>
  <si>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</si>
  <si>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</si>
  <si>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</si>
  <si>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</si>
  <si>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</si>
  <si>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</si>
  <si>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</si>
  <si>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</si>
  <si>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</si>
  <si>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</si>
  <si>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</si>
  <si>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</si>
  <si>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</si>
  <si>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</si>
  <si>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</si>
  <si>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</si>
  <si>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</si>
  <si>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</si>
  <si>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</si>
  <si>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</si>
  <si>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</si>
  <si>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</si>
  <si>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</si>
  <si>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</si>
  <si>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</si>
  <si>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</si>
  <si>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</si>
  <si>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</si>
  <si>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</si>
  <si>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</si>
  <si>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</si>
  <si>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</si>
  <si>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</si>
  <si>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</si>
  <si>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</si>
  <si>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</si>
  <si>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</si>
  <si>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</si>
  <si>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</si>
  <si>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</si>
  <si>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</si>
  <si>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</si>
  <si>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</si>
  <si>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</si>
  <si>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</si>
  <si>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</si>
  <si>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</si>
  <si>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</si>
  <si>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</si>
  <si>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</si>
  <si>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</si>
  <si>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</si>
  <si>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</si>
  <si>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</si>
  <si>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</si>
  <si>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</si>
  <si>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</si>
  <si>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</si>
  <si>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</si>
  <si>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</si>
  <si>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</si>
  <si>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</si>
  <si>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</si>
  <si>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</si>
  <si>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</si>
  <si>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</si>
  <si>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</si>
  <si>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</si>
  <si>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</si>
  <si>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</si>
  <si>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</si>
  <si>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</si>
  <si>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</si>
  <si>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</si>
  <si>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</si>
  <si>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</si>
  <si>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</si>
  <si>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</si>
  <si>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</si>
  <si>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</si>
  <si>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</si>
  <si>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</si>
  <si>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</si>
  <si>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</si>
  <si>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</si>
  <si>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</si>
  <si>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</si>
  <si>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</si>
  <si>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</si>
  <si>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</si>
  <si>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</si>
  <si>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</si>
  <si>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</si>
  <si>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</si>
  <si>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</si>
  <si>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</si>
  <si>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</si>
  <si>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</si>
  <si>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</si>
  <si>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</si>
  <si>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</si>
  <si>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</si>
  <si>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</si>
  <si>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</si>
  <si>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</si>
  <si>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</si>
  <si>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</si>
  <si>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</si>
  <si>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</si>
  <si>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</si>
  <si>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</si>
  <si>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</si>
  <si>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</si>
  <si>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</si>
  <si>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</si>
  <si>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</si>
  <si>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</si>
  <si>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</si>
  <si>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</si>
  <si>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</si>
  <si>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</si>
  <si>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</si>
  <si>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</si>
  <si>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</si>
  <si>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</si>
  <si>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</si>
  <si>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</si>
  <si>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</si>
  <si>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</si>
  <si>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</si>
  <si>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</si>
  <si>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</si>
  <si>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</si>
  <si>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</si>
  <si>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</si>
  <si>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</si>
  <si>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</si>
  <si>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</si>
  <si>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</si>
  <si>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</si>
  <si>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</si>
  <si>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</si>
  <si>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</si>
  <si>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</si>
  <si>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</si>
  <si>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</si>
  <si>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</si>
  <si>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</si>
  <si>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</si>
  <si>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</si>
  <si>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</si>
  <si>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</si>
  <si>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</si>
  <si>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</si>
  <si>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</si>
  <si>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</si>
  <si>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</si>
  <si>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</si>
  <si>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</si>
  <si>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</si>
  <si>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</si>
  <si>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</si>
  <si>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</si>
  <si>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</si>
  <si>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</si>
  <si>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</si>
  <si>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</si>
  <si>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</si>
  <si>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</si>
  <si>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</si>
  <si>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</si>
  <si>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</si>
  <si>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</si>
  <si>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</si>
  <si>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</si>
  <si>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</si>
  <si>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</si>
  <si>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</si>
  <si>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</si>
  <si>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</si>
  <si>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</si>
  <si>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</si>
  <si>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</si>
  <si>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</si>
  <si>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</si>
  <si>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</si>
  <si>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</si>
  <si>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</si>
  <si>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</si>
  <si>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</si>
  <si>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</si>
  <si>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</si>
  <si>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</si>
  <si>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</si>
  <si>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</si>
  <si>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</si>
  <si>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</si>
  <si>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</si>
  <si>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</si>
  <si>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</si>
  <si>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</si>
  <si>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</si>
  <si>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</si>
  <si>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</si>
  <si>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</si>
  <si>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</si>
  <si>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</si>
  <si>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</si>
  <si>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</si>
  <si>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</si>
  <si>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</si>
  <si>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</si>
  <si>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</si>
  <si>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</si>
  <si>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</si>
  <si>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</si>
  <si>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</si>
  <si>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</si>
  <si>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</si>
  <si>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</si>
  <si>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</si>
  <si>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</si>
  <si>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</si>
  <si>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</si>
  <si>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</si>
  <si>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</si>
  <si>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</si>
  <si>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</si>
  <si>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</si>
  <si>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</si>
  <si>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</si>
  <si>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</si>
  <si>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</si>
  <si>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</si>
  <si>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</si>
  <si>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</si>
  <si>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</si>
  <si>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</si>
  <si>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</si>
  <si>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</si>
  <si>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</si>
  <si>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</si>
  <si>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</si>
  <si>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</si>
  <si>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</si>
  <si>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</si>
  <si>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</si>
  <si>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</si>
  <si>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</si>
  <si>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</si>
  <si>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</si>
  <si>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</si>
  <si>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</si>
  <si>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</si>
  <si>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</si>
  <si>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</si>
  <si>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</si>
  <si>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</si>
  <si>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</si>
  <si>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</si>
  <si>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</si>
  <si>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</si>
  <si>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</si>
  <si>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</si>
  <si>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</si>
  <si>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</si>
  <si>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</si>
  <si>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</si>
  <si>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</si>
  <si>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</si>
  <si>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</si>
  <si>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</si>
  <si>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</si>
  <si>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</si>
  <si>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</si>
  <si>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</si>
  <si>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</si>
  <si>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</si>
  <si>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</si>
  <si>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</si>
  <si>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</si>
  <si>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</si>
  <si>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</si>
  <si>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</si>
  <si>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</si>
  <si>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</si>
  <si>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</si>
  <si>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</si>
  <si>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</si>
  <si>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</si>
  <si>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</si>
  <si>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</si>
  <si>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</si>
  <si>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</si>
  <si>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</si>
  <si>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</si>
  <si>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</si>
  <si>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</si>
  <si>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</si>
  <si>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</si>
  <si>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</si>
  <si>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</si>
  <si>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</si>
  <si>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</si>
  <si>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</si>
  <si>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</si>
  <si>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</si>
  <si>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</si>
  <si>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</si>
  <si>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</si>
  <si>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</si>
  <si>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</si>
  <si>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</si>
  <si>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</si>
  <si>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</si>
  <si>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</si>
  <si>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</si>
  <si>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</si>
  <si>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</si>
  <si>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</si>
  <si>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</si>
  <si>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</si>
  <si>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</si>
  <si>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</si>
  <si>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</si>
  <si>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</si>
  <si>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</si>
  <si>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</si>
  <si>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</si>
  <si>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</si>
  <si>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</si>
  <si>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</si>
  <si>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</si>
  <si>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</si>
  <si>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</si>
  <si>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</si>
  <si>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</si>
  <si>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</si>
  <si>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</si>
  <si>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</si>
  <si>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</si>
  <si>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</si>
  <si>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</si>
  <si>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</si>
  <si>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</si>
  <si>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</si>
  <si>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</si>
  <si>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</si>
  <si>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</si>
  <si>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</si>
  <si>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</si>
  <si>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</si>
  <si>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</si>
  <si>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</si>
  <si>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</si>
  <si>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</si>
  <si>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</si>
  <si>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</si>
  <si>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</si>
  <si>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</si>
  <si>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</si>
  <si>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</si>
  <si>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</si>
  <si>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</si>
  <si>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</si>
  <si>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</si>
  <si>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</si>
  <si>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</si>
  <si>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</si>
  <si>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</si>
  <si>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</si>
  <si>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</si>
  <si>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</si>
  <si>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</si>
  <si>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</si>
  <si>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</si>
  <si>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</si>
  <si>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</si>
  <si>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</si>
  <si>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</si>
  <si>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</si>
  <si>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</si>
  <si>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</si>
  <si>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</si>
  <si>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</si>
  <si>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</si>
  <si>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</si>
  <si>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</si>
  <si>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</si>
  <si>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</si>
  <si>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</si>
  <si>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</si>
  <si>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</si>
  <si>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</si>
  <si>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</si>
  <si>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</si>
  <si>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</si>
  <si>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</si>
  <si>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</si>
  <si>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</si>
  <si>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</si>
  <si>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</si>
  <si>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</si>
  <si>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</si>
  <si>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</si>
  <si>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</si>
  <si>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</si>
  <si>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</si>
  <si>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</si>
  <si>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</si>
  <si>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</si>
  <si>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</si>
  <si>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</si>
  <si>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</si>
  <si>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</si>
  <si>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</si>
  <si>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</si>
  <si>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</si>
  <si>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</si>
  <si>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</si>
  <si>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</si>
  <si>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</si>
  <si>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</si>
  <si>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</si>
  <si>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</si>
  <si>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</si>
  <si>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</si>
  <si>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</si>
  <si>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</si>
  <si>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</si>
  <si>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</si>
  <si>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</si>
  <si>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</si>
  <si>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</si>
  <si>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</si>
  <si>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</si>
  <si>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</si>
  <si>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</si>
  <si>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</si>
  <si>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</si>
  <si>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</si>
  <si>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</si>
  <si>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</si>
  <si>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</si>
  <si>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</si>
  <si>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</si>
  <si>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</si>
  <si>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</si>
  <si>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</si>
  <si>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</si>
  <si>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</si>
  <si>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</si>
  <si>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</si>
  <si>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</si>
  <si>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</si>
  <si>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</si>
  <si>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</si>
  <si>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</si>
  <si>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</si>
  <si>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</si>
  <si>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</si>
  <si>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</si>
  <si>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</si>
  <si>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</si>
  <si>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</si>
  <si>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</si>
  <si>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</si>
  <si>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</si>
  <si>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</si>
  <si>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</si>
  <si>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</si>
  <si>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</si>
  <si>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</si>
  <si>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</si>
  <si>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</si>
  <si>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</si>
  <si>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</si>
  <si>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</si>
  <si>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</si>
  <si>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</si>
  <si>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</si>
  <si>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</si>
  <si>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</si>
  <si>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</si>
  <si>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</si>
  <si>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</si>
  <si>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</si>
  <si>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</si>
  <si>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</si>
  <si>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</si>
  <si>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</si>
  <si>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</si>
  <si>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</si>
  <si>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</si>
  <si>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</si>
  <si>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</si>
  <si>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</si>
  <si>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</si>
  <si>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</si>
  <si>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</si>
  <si>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</si>
  <si>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</si>
  <si>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</si>
  <si>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</si>
  <si>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</si>
  <si>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</si>
  <si>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</si>
  <si>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</si>
  <si>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</si>
  <si>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</si>
  <si>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</si>
  <si>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</si>
  <si>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</si>
  <si>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</si>
  <si>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</si>
  <si>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</si>
  <si>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</si>
  <si>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</si>
  <si>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</si>
  <si>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</si>
  <si>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</si>
  <si>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</si>
  <si>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</si>
  <si>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</si>
  <si>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</si>
  <si>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</si>
  <si>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</si>
  <si>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</si>
  <si>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</si>
  <si>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</si>
  <si>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</si>
  <si>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</si>
  <si>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</si>
  <si>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</si>
  <si>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</si>
  <si>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</si>
  <si>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</si>
  <si>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</si>
  <si>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</si>
  <si>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</si>
  <si>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</si>
  <si>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</si>
  <si>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</si>
  <si>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</si>
  <si>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</si>
  <si>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</si>
  <si>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</si>
  <si>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</si>
  <si>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</si>
  <si>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</si>
  <si>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</si>
  <si>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</si>
  <si>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</si>
  <si>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</si>
  <si>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</si>
  <si>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</si>
  <si>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</si>
  <si>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</si>
  <si>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</si>
  <si>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</si>
  <si>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</si>
  <si>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</si>
  <si>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</si>
  <si>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</si>
  <si>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</si>
  <si>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</si>
  <si>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</si>
  <si>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</si>
  <si>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</si>
  <si>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</si>
  <si>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</si>
  <si>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</si>
  <si>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</si>
  <si>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</si>
  <si>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</si>
  <si>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</si>
  <si>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</si>
  <si>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</si>
  <si>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</si>
  <si>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</si>
  <si>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</si>
  <si>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</si>
  <si>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</si>
  <si>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</si>
  <si>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</si>
  <si>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</si>
  <si>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</si>
  <si>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</si>
  <si>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</si>
  <si>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</si>
  <si>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</si>
  <si>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</si>
  <si>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</si>
  <si>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</si>
  <si>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</si>
  <si>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</si>
  <si>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</si>
  <si>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</si>
  <si>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</si>
  <si>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</si>
  <si>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</si>
  <si>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</si>
  <si>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</si>
  <si>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</si>
  <si>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</si>
  <si>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</si>
  <si>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</si>
  <si>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</si>
  <si>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</si>
  <si>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</si>
  <si>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</si>
  <si>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</si>
  <si>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</si>
  <si>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</si>
  <si>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</si>
  <si>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</si>
  <si>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</si>
  <si>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</si>
  <si>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</si>
  <si>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</si>
  <si>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</si>
  <si>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</si>
  <si>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</si>
  <si>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</si>
  <si>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</si>
  <si>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</si>
  <si>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</si>
  <si>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</si>
  <si>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</si>
  <si>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</si>
  <si>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</si>
  <si>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</si>
  <si>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</si>
  <si>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</si>
  <si>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</si>
  <si>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</si>
  <si>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</si>
  <si>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</si>
  <si>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</si>
  <si>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</si>
  <si>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</si>
  <si>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</si>
  <si>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</si>
  <si>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</si>
  <si>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</si>
  <si>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</si>
  <si>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</si>
  <si>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</si>
  <si>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</si>
  <si>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</si>
  <si>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</si>
  <si>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</si>
  <si>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</si>
  <si>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</si>
  <si>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</si>
  <si>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</si>
  <si>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</si>
  <si>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</si>
  <si>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</si>
  <si>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</si>
  <si>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</si>
  <si>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</si>
  <si>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</si>
  <si>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</si>
  <si>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</si>
  <si>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</si>
  <si>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</si>
  <si>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</si>
  <si>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</si>
  <si>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</si>
  <si>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</si>
  <si>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</si>
  <si>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</si>
  <si>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</si>
  <si>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</si>
  <si>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</si>
  <si>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</si>
  <si>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</si>
  <si>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</si>
  <si>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</si>
  <si>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</si>
  <si>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</si>
  <si>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</si>
  <si>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</si>
  <si>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</si>
  <si>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</si>
  <si>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</si>
  <si>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</si>
  <si>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</si>
  <si>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</si>
  <si>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</si>
  <si>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</si>
  <si>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</si>
  <si>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</si>
  <si>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</si>
  <si>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</si>
  <si>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</si>
  <si>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</si>
  <si>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</si>
  <si>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</si>
  <si>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</si>
  <si>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</si>
  <si>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</si>
  <si>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</si>
  <si>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</si>
  <si>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</si>
  <si>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</si>
  <si>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</si>
  <si>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</si>
  <si>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</si>
  <si>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</si>
  <si>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</si>
  <si>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</si>
  <si>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</si>
  <si>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</si>
  <si>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</si>
  <si>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</si>
  <si>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</si>
  <si>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</si>
  <si>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</si>
  <si>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</si>
  <si>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</si>
  <si>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</si>
  <si>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</si>
  <si>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</si>
  <si>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</si>
  <si>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</si>
  <si>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</si>
  <si>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</si>
  <si>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</si>
  <si>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</si>
  <si>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</si>
  <si>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</si>
  <si>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</si>
  <si>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</si>
  <si>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</si>
  <si>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</si>
  <si>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</si>
  <si>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</si>
  <si>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</si>
  <si>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</si>
  <si>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</si>
  <si>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</si>
  <si>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</si>
  <si>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</si>
  <si>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</si>
  <si>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</si>
  <si>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</si>
  <si>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</si>
  <si>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</si>
  <si>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</si>
  <si>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</si>
  <si>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</si>
  <si>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</si>
  <si>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</si>
  <si>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</si>
  <si>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</si>
  <si>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</si>
  <si>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</si>
  <si>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</si>
  <si>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</si>
  <si>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</si>
  <si>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</si>
  <si>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</si>
  <si>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</si>
  <si>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</si>
  <si>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</si>
  <si>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</si>
  <si>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</si>
  <si>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</si>
  <si>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</si>
  <si>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</si>
  <si>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</si>
  <si>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</si>
  <si>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</si>
  <si>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</si>
  <si>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</si>
  <si>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</si>
  <si>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</si>
  <si>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</si>
  <si>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</si>
  <si>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</si>
  <si>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</si>
  <si>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</si>
  <si>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</si>
  <si>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</si>
  <si>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</si>
  <si>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</si>
  <si>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</si>
  <si>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</si>
  <si>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</si>
  <si>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</si>
  <si>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</si>
  <si>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</si>
  <si>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</si>
  <si>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</si>
  <si>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</si>
  <si>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</si>
  <si>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</si>
  <si>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</si>
  <si>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</si>
  <si>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</si>
  <si>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</si>
  <si>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</si>
  <si>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</si>
  <si>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</si>
  <si>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</si>
  <si>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</si>
  <si>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</si>
  <si>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</si>
  <si>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</si>
  <si>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</si>
  <si>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</si>
  <si>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</si>
  <si>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</si>
  <si>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</si>
  <si>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</si>
  <si>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</si>
  <si>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</si>
  <si>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</si>
  <si>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</si>
  <si>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</si>
  <si>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</si>
  <si>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</si>
  <si>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</si>
  <si>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</si>
  <si>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</si>
  <si>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</si>
  <si>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</si>
  <si>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</si>
  <si>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</si>
  <si>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</si>
  <si>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</si>
  <si>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</si>
  <si>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</si>
  <si>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</si>
  <si>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</si>
  <si>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</si>
  <si>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</si>
  <si>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</si>
  <si>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</si>
  <si>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</si>
  <si>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</si>
  <si>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</si>
  <si>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</si>
  <si>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</si>
  <si>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</si>
  <si>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</si>
  <si>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</si>
  <si>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</si>
  <si>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</si>
  <si>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</si>
  <si>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</si>
  <si>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</si>
  <si>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</si>
  <si>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</si>
  <si>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</si>
  <si>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</si>
  <si>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</si>
  <si>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</si>
  <si>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</si>
  <si>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</si>
  <si>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</si>
  <si>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</si>
  <si>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</si>
  <si>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</si>
  <si>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</si>
  <si>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</si>
  <si>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</si>
  <si>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</si>
  <si>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</si>
  <si>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</si>
  <si>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</si>
  <si>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</si>
  <si>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</si>
  <si>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</si>
  <si>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</si>
  <si>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</si>
  <si>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</si>
  <si>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</si>
  <si>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</si>
  <si>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</si>
  <si>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</si>
  <si>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</si>
  <si>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</si>
  <si>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</si>
  <si>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</si>
  <si>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</si>
  <si>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</si>
  <si>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</si>
  <si>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</si>
  <si>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</si>
  <si>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</si>
  <si>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</si>
  <si>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</si>
  <si>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</si>
  <si>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</si>
  <si>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</si>
  <si>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</si>
  <si>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</si>
  <si>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</si>
  <si>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</si>
  <si>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</si>
  <si>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</si>
  <si>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</si>
  <si>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</si>
  <si>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</si>
  <si>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</si>
  <si>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</si>
  <si>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</si>
  <si>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</si>
  <si>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</si>
  <si>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</si>
  <si>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</si>
  <si>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</si>
  <si>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</si>
  <si>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</si>
  <si>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</si>
  <si>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</si>
  <si>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</si>
  <si>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</si>
  <si>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</si>
  <si>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</si>
  <si>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</si>
  <si>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</si>
  <si>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</si>
  <si>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</si>
  <si>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</si>
  <si>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</si>
  <si>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</si>
  <si>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</si>
  <si>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</si>
  <si>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</si>
  <si>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</si>
  <si>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</si>
  <si>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</si>
  <si>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</si>
  <si>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</si>
  <si>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</si>
  <si>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</si>
  <si>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</si>
  <si>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</si>
  <si>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</si>
  <si>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</si>
  <si>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</si>
  <si>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</si>
  <si>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</si>
  <si>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</si>
  <si>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</si>
  <si>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</si>
  <si>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</si>
  <si>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</si>
  <si>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</si>
  <si>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</si>
  <si>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</si>
  <si>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</si>
  <si>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</si>
  <si>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</si>
  <si>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</si>
  <si>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</si>
  <si>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</si>
  <si>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</si>
  <si>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</si>
  <si>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</si>
  <si>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</si>
  <si>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</si>
  <si>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</si>
  <si>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</si>
  <si>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</si>
  <si>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</si>
  <si>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</si>
  <si>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</si>
  <si>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</si>
  <si>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</si>
  <si>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</si>
  <si>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</si>
  <si>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</si>
  <si>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</si>
  <si>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</si>
  <si>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</si>
  <si>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</si>
  <si>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</si>
  <si>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</si>
  <si>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</si>
  <si>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</si>
  <si>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</si>
  <si>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</si>
  <si>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</si>
  <si>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</si>
  <si>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</si>
  <si>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</si>
  <si>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</si>
  <si>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</si>
  <si>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</si>
  <si>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</si>
  <si>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</si>
  <si>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</si>
  <si>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</si>
  <si>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</si>
  <si>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</si>
  <si>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</si>
  <si>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</si>
  <si>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</si>
  <si>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</si>
  <si>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</si>
  <si>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</si>
  <si>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</si>
  <si>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</si>
  <si>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</si>
  <si>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</si>
  <si>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</si>
  <si>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</si>
  <si>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</si>
  <si>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</si>
  <si>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</si>
  <si>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</si>
  <si>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</si>
  <si>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</si>
  <si>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</si>
  <si>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</si>
  <si>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</si>
  <si>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</si>
  <si>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</si>
  <si>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</si>
  <si>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</si>
  <si>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</si>
  <si>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</si>
  <si>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</si>
  <si>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</si>
  <si>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</si>
  <si>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</si>
  <si>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</si>
  <si>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</si>
  <si>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</si>
  <si>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</si>
  <si>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</si>
  <si>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</si>
  <si>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</si>
  <si>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</si>
  <si>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</si>
  <si>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</si>
  <si>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</si>
  <si>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</si>
  <si>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</si>
  <si>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</si>
  <si>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</si>
  <si>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</si>
  <si>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</si>
  <si>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</si>
  <si>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</si>
  <si>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</si>
  <si>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</si>
  <si>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</si>
  <si>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</si>
  <si>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</si>
  <si>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</si>
  <si>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</si>
  <si>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</si>
  <si>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</si>
  <si>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</si>
  <si>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</si>
  <si>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</si>
  <si>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</si>
  <si>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</si>
  <si>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</si>
  <si>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</si>
  <si>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</si>
  <si>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</si>
  <si>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</si>
  <si>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</si>
  <si>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</si>
  <si>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</si>
  <si>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</si>
  <si>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</si>
  <si>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</si>
  <si>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</si>
  <si>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</si>
  <si>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</si>
  <si>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</si>
  <si>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</si>
  <si>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</si>
  <si>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</si>
  <si>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</si>
  <si>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</si>
  <si>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</si>
  <si>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</si>
  <si>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</si>
  <si>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</si>
  <si>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</si>
  <si>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</si>
  <si>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</si>
  <si>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</si>
  <si>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</si>
  <si>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</si>
  <si>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</si>
  <si>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</si>
  <si>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</si>
  <si>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</si>
  <si>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</si>
  <si>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</si>
  <si>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</si>
  <si>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</si>
  <si>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</si>
  <si>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</si>
  <si>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</si>
  <si>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</si>
  <si>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</si>
  <si>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</si>
  <si>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</si>
  <si>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</si>
  <si>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</si>
  <si>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</si>
  <si>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</si>
  <si>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</si>
  <si>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</si>
  <si>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</si>
  <si>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</si>
  <si>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</si>
  <si>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</si>
  <si>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</si>
  <si>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</si>
  <si>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</si>
  <si>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</si>
  <si>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</si>
  <si>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</si>
  <si>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</si>
  <si>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</si>
  <si>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</si>
  <si>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</si>
  <si>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</si>
  <si>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</si>
  <si>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</si>
  <si>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</si>
  <si>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</si>
  <si>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</si>
  <si>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</si>
  <si>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</si>
  <si>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</si>
  <si>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</si>
  <si>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</si>
  <si>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</si>
  <si>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</si>
  <si>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</si>
  <si>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</si>
  <si>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</si>
  <si>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</si>
  <si>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</si>
  <si>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</si>
  <si>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</si>
  <si>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</si>
  <si>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</si>
  <si>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</si>
  <si>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</si>
  <si>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</si>
  <si>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</si>
  <si>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</si>
  <si>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</si>
  <si>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</si>
  <si>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</si>
  <si>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</si>
  <si>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</si>
  <si>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</si>
  <si>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</si>
  <si>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</si>
  <si>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</si>
  <si>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</si>
  <si>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</si>
  <si>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</si>
  <si>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</si>
  <si>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</si>
  <si>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</si>
  <si>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</si>
  <si>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</si>
  <si>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</si>
  <si>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</si>
  <si>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</si>
  <si>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</si>
  <si>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</si>
  <si>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</si>
  <si>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</si>
  <si>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</si>
  <si>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</si>
  <si>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</si>
  <si>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</si>
  <si>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</si>
  <si>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</si>
  <si>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</si>
  <si>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</si>
  <si>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</si>
  <si>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</si>
  <si>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</si>
  <si>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</si>
  <si>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</si>
  <si>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</si>
  <si>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</si>
  <si>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</si>
  <si>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</si>
  <si>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</si>
  <si>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</si>
  <si>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</si>
  <si>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</si>
  <si>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</si>
  <si>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</si>
  <si>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</si>
  <si>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</si>
  <si>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</si>
  <si>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</si>
  <si>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</si>
  <si>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</si>
  <si>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</si>
  <si>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</si>
  <si>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</si>
  <si>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</si>
  <si>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</si>
  <si>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</si>
  <si>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</si>
  <si>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</si>
  <si>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</si>
  <si>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</si>
  <si>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</si>
  <si>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</si>
  <si>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</si>
  <si>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</si>
  <si>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</si>
  <si>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</si>
  <si>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</si>
  <si>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</si>
  <si>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</si>
  <si>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</si>
  <si>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</si>
  <si>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</si>
  <si>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</si>
  <si>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</si>
  <si>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</si>
  <si>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</si>
  <si>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</si>
  <si>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</si>
  <si>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</si>
  <si>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</si>
  <si>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</si>
  <si>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</si>
  <si>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</si>
  <si>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</si>
  <si>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</si>
  <si>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</si>
  <si>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</si>
  <si>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</si>
  <si>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</si>
  <si>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</si>
  <si>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</si>
  <si>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</si>
  <si>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</si>
  <si>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</si>
  <si>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</si>
  <si>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</si>
  <si>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</si>
  <si>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</si>
  <si>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</si>
  <si>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</si>
  <si>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</si>
  <si>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</si>
  <si>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</si>
  <si>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</si>
  <si>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</si>
  <si>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</si>
  <si>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</si>
  <si>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</si>
  <si>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</si>
  <si>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</si>
  <si>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</si>
  <si>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</si>
  <si>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</si>
  <si>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</si>
  <si>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</si>
  <si>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</si>
  <si>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</si>
  <si>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</si>
  <si>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</si>
  <si>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</si>
  <si>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</si>
  <si>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</si>
  <si>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</si>
  <si>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</si>
  <si>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</si>
  <si>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</si>
  <si>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</si>
  <si>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</si>
  <si>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</si>
  <si>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</si>
  <si>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</si>
  <si>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</si>
  <si>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</si>
  <si>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</si>
  <si>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</si>
  <si>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</si>
  <si>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</si>
  <si>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</si>
  <si>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</si>
  <si>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</si>
  <si>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</si>
  <si>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</si>
  <si>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</si>
  <si>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</si>
  <si>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</si>
  <si>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</si>
  <si>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</si>
  <si>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</si>
  <si>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</si>
  <si>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</si>
  <si>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</si>
  <si>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</si>
  <si>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</si>
  <si>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</si>
  <si>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</si>
  <si>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</si>
  <si>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</si>
  <si>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</si>
  <si>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</si>
  <si>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</si>
  <si>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</si>
  <si>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</si>
  <si>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</si>
  <si>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</si>
  <si>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</si>
  <si>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</si>
  <si>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</si>
  <si>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</si>
  <si>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</si>
  <si>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</si>
  <si>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</si>
  <si>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</si>
  <si>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</si>
  <si>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</si>
  <si>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</si>
  <si>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</si>
  <si>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</si>
  <si>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</si>
  <si>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</si>
  <si>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</si>
  <si>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</si>
  <si>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</si>
  <si>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</si>
  <si>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</si>
  <si>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</si>
  <si>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</si>
  <si>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</si>
  <si>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</si>
  <si>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</si>
  <si>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</si>
  <si>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</si>
  <si>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</si>
  <si>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</si>
  <si>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</si>
  <si>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</si>
  <si>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</si>
  <si>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</si>
  <si>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</si>
  <si>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</si>
  <si>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</si>
  <si>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</si>
  <si>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</si>
  <si>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</si>
  <si>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</si>
  <si>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</si>
  <si>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</si>
  <si>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</si>
  <si>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</si>
  <si>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</si>
  <si>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</si>
  <si>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</si>
  <si>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</si>
  <si>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</si>
  <si>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</si>
  <si>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</si>
  <si>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</si>
  <si>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</si>
  <si>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</si>
  <si>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</si>
  <si>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</si>
  <si>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</si>
  <si>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</si>
  <si>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</si>
  <si>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</si>
  <si>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</si>
  <si>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</si>
  <si>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</si>
  <si>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</si>
  <si>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</si>
  <si>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</si>
  <si>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</si>
  <si>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</si>
  <si>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</si>
  <si>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</si>
  <si>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</si>
  <si>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</si>
  <si>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</si>
  <si>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</si>
  <si>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</si>
  <si>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</si>
  <si>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</si>
  <si>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</si>
  <si>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</si>
  <si>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</si>
  <si>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</si>
  <si>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</si>
  <si>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</si>
  <si>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</si>
  <si>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</si>
  <si>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</si>
  <si>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</si>
  <si>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</si>
  <si>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</si>
  <si>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</si>
  <si>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</si>
  <si>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</si>
  <si>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</si>
  <si>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</si>
  <si>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</si>
  <si>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</si>
  <si>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</si>
  <si>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</si>
  <si>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</si>
  <si>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</si>
  <si>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</si>
  <si>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</si>
  <si>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</si>
  <si>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</si>
  <si>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</si>
  <si>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</si>
  <si>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</si>
  <si>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</si>
  <si>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</si>
  <si>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</si>
  <si>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</si>
  <si>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</si>
  <si>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</si>
  <si>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</si>
  <si>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</si>
  <si>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</si>
  <si>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</si>
  <si>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</si>
  <si>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</si>
  <si>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</si>
  <si>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</si>
  <si>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</si>
  <si>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</si>
  <si>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</si>
  <si>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</si>
  <si>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</si>
  <si>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</si>
  <si>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</si>
  <si>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</si>
  <si>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</si>
  <si>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</si>
  <si>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</si>
  <si>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</si>
  <si>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</si>
  <si>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</si>
  <si>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</si>
  <si>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</si>
  <si>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</si>
  <si>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</si>
  <si>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</si>
  <si>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</si>
  <si>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</si>
  <si>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</si>
  <si>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</si>
  <si>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</si>
  <si>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</si>
  <si>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</si>
  <si>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</si>
  <si>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</si>
  <si>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</si>
  <si>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</si>
  <si>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</si>
  <si>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</si>
  <si>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</si>
  <si>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</si>
  <si>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</si>
  <si>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</si>
  <si>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</si>
  <si>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</si>
  <si>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</si>
  <si>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35-050-0400-17</t>
  </si>
  <si>
    <t>LaSalle &amp; Livingston</t>
  </si>
  <si>
    <t>Streator Township High School District No. 40</t>
  </si>
  <si>
    <t>202 W. Lincoln Street</t>
  </si>
  <si>
    <t>Streator, IL</t>
  </si>
  <si>
    <t>mseaton@streatorhs.org</t>
  </si>
  <si>
    <t>Matthew Seaton</t>
  </si>
  <si>
    <t>Tim C. Custis, CPA</t>
  </si>
  <si>
    <t>tcustis@gorenzcpa.com</t>
  </si>
  <si>
    <t>Refunding, 2012</t>
  </si>
  <si>
    <t>Capital Leases</t>
  </si>
  <si>
    <t>ROE #35</t>
  </si>
  <si>
    <t>LaSalle Educational Alliance</t>
  </si>
  <si>
    <t>Streator Dsitrict 44</t>
  </si>
  <si>
    <t>Starved Rock Vocational Technical Education</t>
  </si>
  <si>
    <t>Woodland School - Sports and Acdemic</t>
  </si>
  <si>
    <t>LaSalle-Peru Ottawa Swimming Co-op</t>
  </si>
  <si>
    <t>Capital Lease</t>
  </si>
  <si>
    <t xml:space="preserve">                                         Year Ended June 30, 2019                                         </t>
  </si>
  <si>
    <t>ISBE</t>
  </si>
  <si>
    <t xml:space="preserve">          Receipts/Revenues          </t>
  </si>
  <si>
    <t xml:space="preserve">  Expenditures/Disbursements  </t>
  </si>
  <si>
    <t>Project</t>
  </si>
  <si>
    <t>Prior to</t>
  </si>
  <si>
    <t>7/01/18 -</t>
  </si>
  <si>
    <t>Final</t>
  </si>
  <si>
    <t>Federal Grantor/Pass-Through Grantor,</t>
  </si>
  <si>
    <t>Number</t>
  </si>
  <si>
    <t>7/01/18</t>
  </si>
  <si>
    <t>6/30/19</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</si>
  <si>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</si>
  <si>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</si>
  <si>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</si>
  <si>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</si>
  <si>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</si>
  <si>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</si>
  <si>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</si>
  <si>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</si>
  <si>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</si>
  <si>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</si>
  <si>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</si>
  <si>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</si>
  <si>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</si>
  <si>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</si>
  <si>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(M)</t>
  </si>
  <si>
    <t>School Lunch - Regular, Free &amp; Reduced</t>
  </si>
  <si>
    <t>18-4210-00</t>
  </si>
  <si>
    <t>N/A</t>
  </si>
  <si>
    <t>19-4210-00</t>
  </si>
  <si>
    <t>Dept of Defense-Fresh Fruits and Vegetables (3)</t>
  </si>
  <si>
    <t>FY19</t>
  </si>
  <si>
    <t>Food Donation Program (3)</t>
  </si>
  <si>
    <t>FY18</t>
  </si>
  <si>
    <t>Total CFDA 10.555</t>
  </si>
  <si>
    <t>18-4220-00</t>
  </si>
  <si>
    <t>19-4220-00</t>
  </si>
  <si>
    <t>Total CFDA 10.553</t>
  </si>
  <si>
    <t>Total U.S. Department  of Agriculture - Pass through programs</t>
  </si>
  <si>
    <t>Total Child Nutrition Cluster</t>
  </si>
  <si>
    <t xml:space="preserve">U.S. Department of Education - </t>
  </si>
  <si>
    <t>Title V - Rural Education Initiative</t>
  </si>
  <si>
    <t>84.358B</t>
  </si>
  <si>
    <t>19-4107-00</t>
  </si>
  <si>
    <t>Title IV - Student Support &amp; Academic Enrichment</t>
  </si>
  <si>
    <t>84.424A</t>
  </si>
  <si>
    <t>18-4400-00</t>
  </si>
  <si>
    <t>19-4400-00</t>
  </si>
  <si>
    <t>18-4300-00</t>
  </si>
  <si>
    <t>19-4300-00</t>
  </si>
  <si>
    <t>IDEA - Room &amp; Board</t>
  </si>
  <si>
    <t>18-4625-00</t>
  </si>
  <si>
    <t>19-4625-00</t>
  </si>
  <si>
    <t>18-4932-00</t>
  </si>
  <si>
    <t>19-4932-00</t>
  </si>
  <si>
    <t xml:space="preserve">   LaSalle Regional Office of Education</t>
  </si>
  <si>
    <t>Title I - RESPRO</t>
  </si>
  <si>
    <t>12-4399-00</t>
  </si>
  <si>
    <t xml:space="preserve">   Illinois Department of Human Services</t>
  </si>
  <si>
    <t>S.T.E.P.</t>
  </si>
  <si>
    <t>46CWF00056</t>
  </si>
  <si>
    <t>S.T.E.P. - Performance Bonus</t>
  </si>
  <si>
    <t>46CTD00056</t>
  </si>
  <si>
    <t>46CXF00056</t>
  </si>
  <si>
    <t xml:space="preserve">   LaSalle County Educational Alliance for Special Education</t>
  </si>
  <si>
    <t>IDEA - Flow Thru</t>
  </si>
  <si>
    <t>18-4620-00</t>
  </si>
  <si>
    <t>19-4620-00</t>
  </si>
  <si>
    <t>Total CFDA 84.027</t>
  </si>
  <si>
    <t xml:space="preserve">   Starved Rock Association for Vocational &amp; Technical Education</t>
  </si>
  <si>
    <t>V.E. Perkins-Title III-Secondary</t>
  </si>
  <si>
    <t>10-4745-00</t>
  </si>
  <si>
    <t>Total U.S. Department of Education - Pass-through programs</t>
  </si>
  <si>
    <t>U.S. Department of Labor</t>
  </si>
  <si>
    <t xml:space="preserve">   Business Employment Skills Team - BEST, Inc.</t>
  </si>
  <si>
    <t>Workforce Investment Act - Bridges Program</t>
  </si>
  <si>
    <t>17-001</t>
  </si>
  <si>
    <t>19-001</t>
  </si>
  <si>
    <t>Total U.S. Department of Labor - Pass-through programs</t>
  </si>
  <si>
    <t>Federal Emergency Management Agency</t>
  </si>
  <si>
    <t xml:space="preserve">  Passed Thruough the Illinois Emergency Management Agency</t>
  </si>
  <si>
    <t>Emergency Snow Removal</t>
  </si>
  <si>
    <t>11-4998-00</t>
  </si>
  <si>
    <t>Total Federal Emergency Management Agency</t>
  </si>
  <si>
    <t>U.S. Department of Health and Human Services</t>
  </si>
  <si>
    <t xml:space="preserve">  </t>
  </si>
  <si>
    <t xml:space="preserve">   Illinois Department of Health Care and Family Services</t>
  </si>
  <si>
    <t>Medicaid Administrative Outreach</t>
  </si>
  <si>
    <t>18-4991-00</t>
  </si>
  <si>
    <t>19-4991-00</t>
  </si>
  <si>
    <t>Total CFDA 93.778</t>
  </si>
  <si>
    <t>Total U.S. Department of Human Services - Pass-through programs</t>
  </si>
  <si>
    <t>Total Federal Awards</t>
  </si>
  <si>
    <t>Total Federal Awards Passed Through Illinois State Board of Education</t>
  </si>
  <si>
    <t>Total Federal Awards Passed Through Other Entities</t>
  </si>
  <si>
    <t>(M) Indicates Major Federal Financial Assistance Program.</t>
  </si>
  <si>
    <t>(1) Indicates Carry over revenue per ISBE</t>
  </si>
  <si>
    <t>(2) Project not complete as of June 30, 2019</t>
  </si>
  <si>
    <t>(3) Nonmonetary assistance is reported in the schedule at the fair market value of the commodities received and disbursed.</t>
  </si>
  <si>
    <t>x</t>
  </si>
  <si>
    <t>Unmodified</t>
  </si>
  <si>
    <t>2018-001</t>
  </si>
  <si>
    <t>Resolved</t>
  </si>
  <si>
    <t xml:space="preserve">Project expenditures were reported in the </t>
  </si>
  <si>
    <t>wrong period</t>
  </si>
  <si>
    <t>Ed - Food Services - Purchase Services</t>
  </si>
  <si>
    <t>10-2560-300</t>
  </si>
  <si>
    <t>Aramark</t>
  </si>
  <si>
    <t>Trans - Pupil Transportation - Purchased Services</t>
  </si>
  <si>
    <t>40-2550-300</t>
  </si>
  <si>
    <t>Illinois Central School Bus</t>
  </si>
  <si>
    <t>Special Education - Grants to States (IDEA, Part B)</t>
  </si>
  <si>
    <t>General Obligation Bonds</t>
  </si>
  <si>
    <t>Page 9, Line 17 - Enterprise Zone Abatement</t>
  </si>
  <si>
    <t>Page 10, Line 106 - Pre-School Fees</t>
  </si>
  <si>
    <t xml:space="preserve">Page 10, Line 107 - </t>
  </si>
  <si>
    <t>Educational Fund - Refunds and Reimbursements ($4,673) and Chromebook Maintenace Fees ($4,245)</t>
  </si>
  <si>
    <t>Operations and Maintenance - E-Rate Reimbursement</t>
  </si>
  <si>
    <t>Page 12, Line 168 -</t>
  </si>
  <si>
    <t>Educational Fund - SAT Reimbursement ($4,803) and SOS Library Grant ($750)</t>
  </si>
  <si>
    <t>Tort Fund - Truant Alternatives Grant ($28,776)</t>
  </si>
  <si>
    <t xml:space="preserve">Page 14, Line 265 - </t>
  </si>
  <si>
    <t>IMRF Fund - BRIDGES Grant ($32)</t>
  </si>
  <si>
    <t>Page 15, Line 41 - Activity Director Salary and Benefits</t>
  </si>
  <si>
    <t>Page 16, Line 56 - Hearing Officer ($1,350) and Student Incentives ($546)</t>
  </si>
  <si>
    <t>Page 16, Line 73 - Alumni Coordinator Salary ($10,978)</t>
  </si>
  <si>
    <t>Page 16, Line 83 - Repayment of Ag. Grant</t>
  </si>
  <si>
    <t>Page 18, Line 171 - Bond Service Fees</t>
  </si>
  <si>
    <t>Page 18, Line 180 - Activity Director Supplies and Materials</t>
  </si>
  <si>
    <t>Page 19, Line 237 - Activity Director Benefits</t>
  </si>
  <si>
    <t>Page 20, Line 278 - Alumni Coordinator Benefits</t>
  </si>
  <si>
    <t>For ISBE Review</t>
  </si>
  <si>
    <t xml:space="preserve">Date:   </t>
  </si>
  <si>
    <t>Resolution Criteria Code Number</t>
  </si>
  <si>
    <t xml:space="preserve">Initials: </t>
  </si>
  <si>
    <t>Disposition of Questioned Costs Code Letter</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</si>
  <si>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</si>
  <si>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</si>
  <si>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</si>
  <si>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</si>
  <si>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</si>
  <si>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</si>
  <si>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</si>
  <si>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</si>
  <si>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</si>
  <si>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NONE</t>
  </si>
  <si>
    <t>Educational Fund - BRIDGES Grant ($2,502)</t>
  </si>
  <si>
    <t>Education.</t>
  </si>
  <si>
    <t>Program Financial Report for programs which have filed final reports as of June 30, 2019, with the Illinois State Board of</t>
  </si>
  <si>
    <t>federal sources. Amounts reported in the accompanying Schedule of Federal Awards agree with the amounts reported in the</t>
  </si>
  <si>
    <t>Federal awards received are reflected in the Cooperative's financial statements within the Educational Fund as receipts from</t>
  </si>
  <si>
    <t>Note 6: Relationship to Basic Financial Statements and Program Financial Reports</t>
  </si>
  <si>
    <t>STEP (CFDA #84.126) (Contract #46CXF00038) required matching expenditures of $70,789</t>
  </si>
  <si>
    <t>Note 6: Matching Expenditures</t>
  </si>
  <si>
    <r>
      <t xml:space="preserve">The following amounts were expended in the form of non-cash assistance by West Central Illinois Special Education Co-Op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</si>
  <si>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West Central Illinois Special Education Co-Op provided federal awards to subrecipients as follows:</t>
  </si>
  <si>
    <t>The accompanying Schedule of Expenditures of Federal Awards includes the federal grant activity of West Central Illinois Special Education Co-Op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</si>
  <si>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See PDF version</t>
  </si>
  <si>
    <t>Streator TWP HSD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</si>
</sst>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_(* #,##0_);_(* \(#,##0\);_(* &quot;-&quot;??_);_(@_)"/>
    <numFmt numFmtId="184" formatCode="0_)"/>
    <numFmt numFmtId="185" formatCode="#,##0.000_);\(#,##0.000\)"/>
    <numFmt numFmtId="186" formatCode="_(* #,##0_);_(* \(#,##0\);_(* &quot;0&quot;_);_(@_)"/>
    <numFmt numFmtId="187" formatCode="#,##0.000000_);\(#,##0.000000\)"/>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b/>
      <sz val="12"/>
      <name val="Times New Roman"/>
      <family val="1"/>
    </font>
    <font>
      <sz val="10"/>
      <name val="Courier"/>
      <family val="3"/>
    </font>
    <font>
      <b/>
      <u/>
      <sz val="10"/>
      <name val="Times New Roman"/>
      <family val="1"/>
    </font>
    <font>
      <b/>
      <sz val="10"/>
      <name val="Times New Roman"/>
      <family val="1"/>
    </font>
    <font>
      <u/>
      <sz val="10"/>
      <name val="Times New Roman"/>
      <family val="1"/>
    </font>
    <font>
      <u val="singleAccounting"/>
      <sz val="10"/>
      <name val="Times New Roman"/>
      <family val="1"/>
    </font>
    <font>
      <u val="doubleAccounting"/>
      <sz val="10"/>
      <name val="Times New Roman"/>
      <family val="1"/>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43" fontId="44" fillId="0" borderId="0" applyFont="0" applyFill="0" applyBorder="0" applyAlignment="0" applyProtection="0"/>
    <xf numFmtId="9" fontId="44" fillId="0" borderId="0" applyFont="0" applyFill="0" applyBorder="0" applyAlignment="0" applyProtection="0"/>
  </cellStyleXfs>
  <cellXfs count="266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7" fontId="137" fillId="0" borderId="0" xfId="19" applyAlignment="1">
      <alignment vertical="top"/>
    </xf>
    <xf numFmtId="37" fontId="138" fillId="0" borderId="0" xfId="19" applyFont="1" applyFill="1" applyAlignment="1">
      <alignment vertical="top"/>
    </xf>
    <xf numFmtId="37" fontId="137" fillId="0" borderId="0" xfId="19" applyBorder="1" applyAlignment="1">
      <alignment vertical="top"/>
    </xf>
    <xf numFmtId="37" fontId="44" fillId="0" borderId="0" xfId="19" applyFont="1" applyFill="1" applyBorder="1" applyAlignment="1">
      <alignment horizontal="centerContinuous"/>
    </xf>
    <xf numFmtId="37" fontId="44" fillId="0" borderId="0" xfId="19" applyFont="1" applyFill="1" applyBorder="1" applyAlignment="1">
      <alignment horizontal="left"/>
    </xf>
    <xf numFmtId="37" fontId="44" fillId="0" borderId="0" xfId="19" applyFont="1" applyFill="1" applyBorder="1"/>
    <xf numFmtId="37" fontId="44" fillId="0" borderId="0" xfId="19" applyFont="1" applyFill="1" applyBorder="1" applyAlignment="1">
      <alignment horizontal="center"/>
    </xf>
    <xf numFmtId="37" fontId="44" fillId="0" borderId="0" xfId="19" applyFont="1" applyAlignment="1">
      <alignment vertical="center"/>
    </xf>
    <xf numFmtId="37" fontId="137" fillId="0" borderId="0" xfId="19" applyAlignment="1">
      <alignment vertical="center"/>
    </xf>
    <xf numFmtId="37" fontId="44" fillId="0" borderId="0" xfId="19" applyFont="1" applyFill="1" applyBorder="1" applyAlignment="1">
      <alignment horizontal="center" vertical="top"/>
    </xf>
    <xf numFmtId="37" fontId="44" fillId="0" borderId="0" xfId="19" applyFont="1" applyFill="1" applyBorder="1" applyAlignment="1">
      <alignment horizontal="left" vertical="top"/>
    </xf>
    <xf numFmtId="37" fontId="44" fillId="0" borderId="0" xfId="19" applyFont="1" applyFill="1" applyBorder="1" applyAlignment="1">
      <alignment vertical="top"/>
    </xf>
    <xf numFmtId="37" fontId="142" fillId="0" borderId="0" xfId="19" applyFont="1" applyFill="1" applyBorder="1" applyAlignment="1">
      <alignment horizontal="centerContinuous" vertical="top"/>
    </xf>
    <xf numFmtId="37" fontId="44" fillId="0" borderId="0" xfId="19" applyFont="1" applyFill="1" applyAlignment="1">
      <alignment horizontal="center" vertical="top"/>
    </xf>
    <xf numFmtId="37" fontId="44" fillId="0" borderId="0" xfId="19" applyFont="1" applyFill="1" applyAlignment="1">
      <alignment horizontal="left" vertical="top"/>
    </xf>
    <xf numFmtId="37" fontId="44" fillId="0" borderId="0" xfId="19" applyFont="1" applyFill="1" applyAlignment="1">
      <alignment vertical="top"/>
    </xf>
    <xf numFmtId="37" fontId="44" fillId="0" borderId="0" xfId="19" quotePrefix="1" applyFont="1" applyFill="1" applyAlignment="1">
      <alignment horizontal="center" vertical="top"/>
    </xf>
    <xf numFmtId="14" fontId="44" fillId="0" borderId="0" xfId="19" quotePrefix="1" applyNumberFormat="1" applyFont="1" applyFill="1" applyAlignment="1">
      <alignment horizontal="center" vertical="top"/>
    </xf>
    <xf numFmtId="14" fontId="44" fillId="0" borderId="0" xfId="19" applyNumberFormat="1" applyFont="1" applyFill="1" applyAlignment="1">
      <alignment horizontal="center" vertical="top"/>
    </xf>
    <xf numFmtId="37" fontId="142" fillId="0" borderId="0" xfId="19" quotePrefix="1" applyFont="1" applyFill="1" applyAlignment="1">
      <alignment horizontal="left" vertical="top"/>
    </xf>
    <xf numFmtId="37" fontId="142" fillId="0" borderId="0" xfId="19" applyFont="1" applyFill="1" applyAlignment="1">
      <alignment horizontal="center" vertical="top"/>
    </xf>
    <xf numFmtId="37" fontId="142" fillId="0" borderId="0" xfId="19" applyNumberFormat="1" applyFont="1" applyFill="1" applyAlignment="1" applyProtection="1">
      <alignment horizontal="center" vertical="top"/>
    </xf>
    <xf numFmtId="37" fontId="44" fillId="0" borderId="0" xfId="19" applyNumberFormat="1" applyFont="1" applyFill="1" applyAlignment="1" applyProtection="1">
      <alignment vertical="top"/>
    </xf>
    <xf numFmtId="37" fontId="44" fillId="0" borderId="0" xfId="19" applyNumberFormat="1" applyFont="1" applyFill="1" applyAlignment="1" applyProtection="1">
      <alignment horizontal="center" vertical="top"/>
    </xf>
    <xf numFmtId="37" fontId="142" fillId="0" borderId="0" xfId="19" applyFont="1" applyFill="1" applyAlignment="1">
      <alignment horizontal="left"/>
    </xf>
    <xf numFmtId="37" fontId="44" fillId="0" borderId="0" xfId="19" applyFont="1" applyFill="1"/>
    <xf numFmtId="37" fontId="142" fillId="0" borderId="0" xfId="19" applyFont="1" applyFill="1" applyAlignment="1">
      <alignment horizontal="center"/>
    </xf>
    <xf numFmtId="37" fontId="44" fillId="0" borderId="0" xfId="19" applyFont="1" applyFill="1" applyAlignment="1">
      <alignment horizontal="center"/>
    </xf>
    <xf numFmtId="37" fontId="142" fillId="0" borderId="0" xfId="19" applyNumberFormat="1" applyFont="1" applyFill="1" applyAlignment="1" applyProtection="1">
      <alignment horizontal="center"/>
    </xf>
    <xf numFmtId="37" fontId="44" fillId="0" borderId="0" xfId="19" applyNumberFormat="1" applyFont="1" applyFill="1" applyProtection="1"/>
    <xf numFmtId="37" fontId="44" fillId="0" borderId="0" xfId="19" applyNumberFormat="1" applyFont="1" applyFill="1" applyAlignment="1" applyProtection="1">
      <alignment horizontal="center"/>
    </xf>
    <xf numFmtId="37" fontId="141" fillId="0" borderId="0" xfId="19" applyFont="1" applyFill="1" applyAlignment="1">
      <alignment horizontal="left"/>
    </xf>
    <xf numFmtId="37" fontId="137" fillId="0" borderId="0" xfId="19" applyFill="1"/>
    <xf numFmtId="37" fontId="44" fillId="0" borderId="0" xfId="19" applyFont="1" applyAlignment="1">
      <alignment horizontal="center" vertical="center"/>
    </xf>
    <xf numFmtId="37" fontId="137" fillId="0" borderId="0" xfId="19" applyFill="1" applyAlignment="1">
      <alignment horizontal="center"/>
    </xf>
    <xf numFmtId="37" fontId="141" fillId="0" borderId="0" xfId="19" applyFont="1" applyFill="1" applyAlignment="1"/>
    <xf numFmtId="37" fontId="44" fillId="0" borderId="0" xfId="19" quotePrefix="1" applyFont="1" applyFill="1" applyAlignment="1">
      <alignment horizontal="center" vertical="center"/>
    </xf>
    <xf numFmtId="37" fontId="44" fillId="0" borderId="0" xfId="19" applyFont="1" applyFill="1" applyAlignment="1">
      <alignment horizontal="left"/>
    </xf>
    <xf numFmtId="181" fontId="44" fillId="0" borderId="0" xfId="19" applyNumberFormat="1" applyFont="1" applyFill="1" applyAlignment="1" applyProtection="1">
      <alignment horizontal="center"/>
    </xf>
    <xf numFmtId="182" fontId="44" fillId="0" borderId="0" xfId="19" applyNumberFormat="1" applyFont="1" applyFill="1"/>
    <xf numFmtId="182" fontId="44" fillId="0" borderId="0" xfId="19" applyNumberFormat="1" applyFont="1" applyFill="1" applyAlignment="1">
      <alignment horizontal="center"/>
    </xf>
    <xf numFmtId="183" fontId="44" fillId="0" borderId="0" xfId="19" applyNumberFormat="1" applyFont="1" applyFill="1"/>
    <xf numFmtId="182" fontId="44" fillId="0" borderId="0" xfId="19" applyNumberFormat="1" applyFont="1" applyFill="1" applyAlignment="1" applyProtection="1">
      <alignment horizontal="center"/>
    </xf>
    <xf numFmtId="182" fontId="44" fillId="0" borderId="0" xfId="19" applyNumberFormat="1" applyFont="1" applyFill="1" applyProtection="1"/>
    <xf numFmtId="37" fontId="44" fillId="0" borderId="0" xfId="19" applyFont="1" applyFill="1" applyAlignment="1">
      <alignment horizontal="center" vertical="center"/>
    </xf>
    <xf numFmtId="181" fontId="44" fillId="0" borderId="0" xfId="19" applyNumberFormat="1" applyFont="1" applyFill="1" applyAlignment="1" applyProtection="1">
      <alignment horizontal="left"/>
    </xf>
    <xf numFmtId="182" fontId="142" fillId="0" borderId="0" xfId="19" applyNumberFormat="1" applyFont="1" applyFill="1" applyAlignment="1">
      <alignment vertical="top"/>
    </xf>
    <xf numFmtId="181" fontId="44" fillId="0" borderId="0" xfId="19" applyNumberFormat="1" applyFont="1" applyFill="1" applyAlignment="1" applyProtection="1">
      <alignment horizontal="center" vertical="top"/>
    </xf>
    <xf numFmtId="182" fontId="44" fillId="0" borderId="0" xfId="19" applyNumberFormat="1" applyFont="1" applyFill="1" applyAlignment="1">
      <alignment vertical="top"/>
    </xf>
    <xf numFmtId="182" fontId="44" fillId="0" borderId="0" xfId="19" applyNumberFormat="1" applyFont="1" applyFill="1" applyAlignment="1">
      <alignment horizontal="center" vertical="top"/>
    </xf>
    <xf numFmtId="182" fontId="143" fillId="0" borderId="0" xfId="19" applyNumberFormat="1" applyFont="1" applyFill="1" applyAlignment="1">
      <alignment vertical="top"/>
    </xf>
    <xf numFmtId="183" fontId="142" fillId="0" borderId="0" xfId="19" applyNumberFormat="1" applyFont="1" applyFill="1" applyAlignment="1">
      <alignment vertical="top"/>
    </xf>
    <xf numFmtId="182" fontId="44" fillId="0" borderId="0" xfId="19" applyNumberFormat="1" applyFont="1" applyFill="1" applyAlignment="1" applyProtection="1">
      <alignment horizontal="center" vertical="top"/>
    </xf>
    <xf numFmtId="37" fontId="141" fillId="0" borderId="0" xfId="19" applyFont="1" applyFill="1" applyAlignment="1">
      <alignment horizontal="left" vertical="top"/>
    </xf>
    <xf numFmtId="182" fontId="44" fillId="0" borderId="0" xfId="19" applyNumberFormat="1" applyFont="1" applyFill="1" applyAlignment="1" applyProtection="1">
      <alignment horizontal="right" vertical="top"/>
    </xf>
    <xf numFmtId="182" fontId="44" fillId="0" borderId="0" xfId="19" applyNumberFormat="1" applyFont="1" applyFill="1" applyAlignment="1" applyProtection="1">
      <alignment horizontal="right"/>
    </xf>
    <xf numFmtId="184" fontId="44" fillId="0" borderId="0" xfId="19" applyNumberFormat="1" applyFont="1" applyFill="1" applyAlignment="1" applyProtection="1">
      <alignment horizontal="center"/>
    </xf>
    <xf numFmtId="37" fontId="44" fillId="0" borderId="0" xfId="19" applyFont="1" applyFill="1" applyAlignment="1">
      <alignment horizontal="right"/>
    </xf>
    <xf numFmtId="182" fontId="44" fillId="0" borderId="0" xfId="19" quotePrefix="1" applyNumberFormat="1" applyFont="1" applyFill="1" applyProtection="1"/>
    <xf numFmtId="37" fontId="137" fillId="0" borderId="0" xfId="19" applyFill="1" applyAlignment="1">
      <alignment vertical="center"/>
    </xf>
    <xf numFmtId="182" fontId="44" fillId="0" borderId="0" xfId="19" quotePrefix="1" applyNumberFormat="1" applyFont="1" applyFill="1" applyAlignment="1" applyProtection="1">
      <alignment horizontal="center"/>
    </xf>
    <xf numFmtId="182" fontId="44" fillId="0" borderId="0" xfId="19" applyNumberFormat="1" applyFont="1" applyFill="1" applyAlignment="1">
      <alignment horizontal="right"/>
    </xf>
    <xf numFmtId="185" fontId="44" fillId="0" borderId="0" xfId="19" applyNumberFormat="1" applyFont="1" applyFill="1" applyAlignment="1" applyProtection="1">
      <alignment horizontal="center"/>
    </xf>
    <xf numFmtId="182" fontId="143" fillId="0" borderId="0" xfId="19" applyNumberFormat="1" applyFont="1" applyFill="1"/>
    <xf numFmtId="182" fontId="44" fillId="0" borderId="0" xfId="19" quotePrefix="1" applyNumberFormat="1" applyFont="1" applyFill="1"/>
    <xf numFmtId="182" fontId="44" fillId="0" borderId="0" xfId="19" quotePrefix="1" applyNumberFormat="1" applyFont="1" applyFill="1" applyAlignment="1">
      <alignment horizontal="center"/>
    </xf>
    <xf numFmtId="37" fontId="44" fillId="20" borderId="0" xfId="19" applyFont="1" applyFill="1" applyAlignment="1">
      <alignment horizontal="center"/>
    </xf>
    <xf numFmtId="182" fontId="44" fillId="20" borderId="0" xfId="19" applyNumberFormat="1" applyFont="1" applyFill="1"/>
    <xf numFmtId="182" fontId="44" fillId="20" borderId="0" xfId="19" applyNumberFormat="1" applyFont="1" applyFill="1" applyProtection="1"/>
    <xf numFmtId="37" fontId="44" fillId="0" borderId="0" xfId="19" quotePrefix="1" applyFont="1" applyFill="1" applyAlignment="1">
      <alignment horizontal="left" vertical="top"/>
    </xf>
    <xf numFmtId="182" fontId="44" fillId="0" borderId="0" xfId="19" applyNumberFormat="1" applyFont="1" applyFill="1" applyAlignment="1">
      <alignment horizontal="right" vertical="top"/>
    </xf>
    <xf numFmtId="182" fontId="44" fillId="20" borderId="0" xfId="19" applyNumberFormat="1" applyFont="1" applyFill="1" applyAlignment="1">
      <alignment vertical="top"/>
    </xf>
    <xf numFmtId="182" fontId="44" fillId="21" borderId="0" xfId="19" applyNumberFormat="1" applyFont="1" applyFill="1" applyAlignment="1">
      <alignment vertical="top"/>
    </xf>
    <xf numFmtId="183" fontId="44" fillId="0" borderId="0" xfId="19" applyNumberFormat="1" applyFont="1" applyFill="1" applyAlignment="1">
      <alignment vertical="top"/>
    </xf>
    <xf numFmtId="182" fontId="143" fillId="0" borderId="0" xfId="19" applyNumberFormat="1" applyFont="1" applyFill="1" applyBorder="1" applyAlignment="1">
      <alignment vertical="top"/>
    </xf>
    <xf numFmtId="185" fontId="44" fillId="0" borderId="0" xfId="19" applyNumberFormat="1" applyFont="1" applyFill="1" applyAlignment="1" applyProtection="1">
      <alignment horizontal="center" vertical="top"/>
    </xf>
    <xf numFmtId="182" fontId="44" fillId="0" borderId="0" xfId="19" applyNumberFormat="1" applyFont="1" applyFill="1" applyBorder="1" applyProtection="1"/>
    <xf numFmtId="37" fontId="44" fillId="0" borderId="0" xfId="19" applyFont="1" applyFill="1" applyAlignment="1">
      <alignment horizontal="right" vertical="top"/>
    </xf>
    <xf numFmtId="37" fontId="137" fillId="0" borderId="0" xfId="19" applyFill="1" applyAlignment="1">
      <alignment vertical="top"/>
    </xf>
    <xf numFmtId="182" fontId="143" fillId="0" borderId="0" xfId="19" applyNumberFormat="1" applyFont="1" applyFill="1" applyAlignment="1" applyProtection="1">
      <alignment vertical="top"/>
    </xf>
    <xf numFmtId="37" fontId="137" fillId="0" borderId="0" xfId="19" applyFill="1" applyAlignment="1">
      <alignment horizontal="center" vertical="top"/>
    </xf>
    <xf numFmtId="183" fontId="143" fillId="0" borderId="0" xfId="19" applyNumberFormat="1" applyFont="1" applyFill="1" applyAlignment="1">
      <alignment vertical="top"/>
    </xf>
    <xf numFmtId="183" fontId="143" fillId="0" borderId="0" xfId="19" applyNumberFormat="1" applyFont="1" applyFill="1"/>
    <xf numFmtId="37" fontId="139" fillId="0" borderId="0" xfId="19" applyFont="1" applyFill="1" applyAlignment="1">
      <alignment vertical="top"/>
    </xf>
    <xf numFmtId="37" fontId="141" fillId="0" borderId="0" xfId="19" applyFont="1" applyFill="1" applyAlignment="1">
      <alignment vertical="center"/>
    </xf>
    <xf numFmtId="185" fontId="44" fillId="0" borderId="0" xfId="19" applyNumberFormat="1" applyFont="1" applyFill="1" applyAlignment="1">
      <alignment vertical="center"/>
    </xf>
    <xf numFmtId="37" fontId="44" fillId="0" borderId="0" xfId="19" applyFont="1" applyFill="1" applyAlignment="1">
      <alignment vertical="center"/>
    </xf>
    <xf numFmtId="186" fontId="143" fillId="0" borderId="0" xfId="19" applyNumberFormat="1" applyFont="1" applyFill="1" applyAlignment="1">
      <alignment vertical="center"/>
    </xf>
    <xf numFmtId="183" fontId="143" fillId="0" borderId="0" xfId="19" applyNumberFormat="1" applyFont="1" applyFill="1" applyAlignment="1">
      <alignment vertical="center"/>
    </xf>
    <xf numFmtId="182" fontId="143" fillId="0" borderId="0" xfId="19" applyNumberFormat="1" applyFont="1" applyFill="1" applyAlignment="1">
      <alignment vertical="center"/>
    </xf>
    <xf numFmtId="37" fontId="137" fillId="0" borderId="0" xfId="19" applyAlignment="1" applyProtection="1">
      <alignment vertical="center"/>
      <protection locked="0"/>
    </xf>
    <xf numFmtId="185" fontId="44" fillId="0" borderId="0" xfId="19" applyNumberFormat="1" applyFont="1" applyFill="1" applyAlignment="1">
      <alignment horizontal="center" vertical="center"/>
    </xf>
    <xf numFmtId="183" fontId="143" fillId="0" borderId="0" xfId="19" applyNumberFormat="1" applyFont="1" applyFill="1" applyAlignment="1" applyProtection="1">
      <alignment vertical="center"/>
    </xf>
    <xf numFmtId="182" fontId="44" fillId="0" borderId="0" xfId="19" applyNumberFormat="1" applyFont="1" applyFill="1" applyBorder="1" applyAlignment="1">
      <alignment horizontal="right" vertical="center"/>
    </xf>
    <xf numFmtId="37" fontId="139" fillId="0" borderId="0" xfId="19" applyFont="1" applyFill="1"/>
    <xf numFmtId="37" fontId="137" fillId="0" borderId="78" xfId="19" applyBorder="1" applyAlignment="1">
      <alignment vertical="center"/>
    </xf>
    <xf numFmtId="37" fontId="141" fillId="0" borderId="0" xfId="19" applyFont="1" applyFill="1" applyAlignment="1">
      <alignment vertical="top"/>
    </xf>
    <xf numFmtId="181" fontId="44" fillId="0" borderId="0" xfId="19" applyNumberFormat="1" applyFont="1" applyFill="1" applyAlignment="1" applyProtection="1">
      <alignment vertical="top"/>
    </xf>
    <xf numFmtId="183" fontId="144" fillId="0" borderId="0" xfId="19" applyNumberFormat="1" applyFont="1" applyFill="1" applyAlignment="1">
      <alignment vertical="top"/>
    </xf>
    <xf numFmtId="182" fontId="44" fillId="0" borderId="0" xfId="19" applyNumberFormat="1" applyFont="1" applyFill="1" applyAlignment="1">
      <alignment horizontal="left" vertical="top"/>
    </xf>
    <xf numFmtId="37" fontId="137" fillId="0" borderId="0" xfId="19" applyAlignment="1" applyProtection="1">
      <alignment horizontal="left" vertical="top"/>
    </xf>
    <xf numFmtId="181" fontId="44" fillId="0" borderId="0" xfId="19" applyNumberFormat="1" applyFont="1" applyFill="1" applyProtection="1"/>
    <xf numFmtId="182" fontId="44" fillId="0" borderId="0" xfId="19" applyNumberFormat="1" applyFont="1" applyFill="1" applyAlignment="1">
      <alignment horizontal="fill"/>
    </xf>
    <xf numFmtId="182" fontId="44" fillId="0" borderId="0" xfId="19" applyNumberFormat="1" applyFont="1" applyFill="1" applyAlignment="1">
      <alignment horizontal="left"/>
    </xf>
    <xf numFmtId="37" fontId="137" fillId="0" borderId="0" xfId="19" applyAlignment="1">
      <alignment horizontal="center" vertical="center"/>
    </xf>
    <xf numFmtId="37" fontId="137" fillId="0" borderId="0" xfId="19" applyAlignment="1" applyProtection="1">
      <alignment horizontal="left"/>
    </xf>
    <xf numFmtId="182" fontId="144" fillId="0" borderId="0" xfId="19" applyNumberFormat="1" applyFont="1" applyFill="1" applyAlignment="1">
      <alignment vertical="top"/>
    </xf>
    <xf numFmtId="37" fontId="44" fillId="0" borderId="0" xfId="19" applyFont="1" applyAlignment="1">
      <alignment horizontal="center"/>
    </xf>
    <xf numFmtId="37" fontId="44" fillId="0" borderId="0" xfId="19" applyFont="1"/>
    <xf numFmtId="181" fontId="44" fillId="0" borderId="0" xfId="19" applyNumberFormat="1" applyFont="1" applyProtection="1"/>
    <xf numFmtId="182" fontId="44" fillId="0" borderId="0" xfId="19" applyNumberFormat="1" applyFont="1" applyAlignment="1">
      <alignment horizontal="fill"/>
    </xf>
    <xf numFmtId="182" fontId="44" fillId="0" borderId="0" xfId="19" applyNumberFormat="1" applyFont="1" applyAlignment="1">
      <alignment horizontal="left"/>
    </xf>
    <xf numFmtId="182" fontId="44" fillId="0" borderId="0" xfId="19" applyNumberFormat="1" applyFont="1" applyAlignment="1">
      <alignment horizontal="center"/>
    </xf>
    <xf numFmtId="182" fontId="44" fillId="0" borderId="0" xfId="19" applyNumberFormat="1" applyFont="1"/>
    <xf numFmtId="37" fontId="44" fillId="0" borderId="0" xfId="19" applyFont="1" applyAlignment="1"/>
    <xf numFmtId="37" fontId="137" fillId="0" borderId="0" xfId="19"/>
    <xf numFmtId="187" fontId="44" fillId="0" borderId="0" xfId="19" applyNumberFormat="1" applyFont="1" applyFill="1"/>
    <xf numFmtId="182" fontId="44" fillId="0" borderId="0" xfId="19" applyNumberFormat="1" applyFont="1" applyAlignment="1">
      <alignment vertical="top" textRotation="180" wrapText="1"/>
    </xf>
    <xf numFmtId="37" fontId="137" fillId="0" borderId="0" xfId="19" applyProtection="1">
      <protection locked="0"/>
    </xf>
    <xf numFmtId="37" fontId="44" fillId="0" borderId="0" xfId="19" quotePrefix="1" applyFont="1" applyAlignment="1">
      <alignment horizontal="left"/>
    </xf>
    <xf numFmtId="169" fontId="137" fillId="0" borderId="0" xfId="19" applyNumberFormat="1" applyProtection="1">
      <protection locked="0"/>
    </xf>
    <xf numFmtId="1" fontId="137" fillId="0" borderId="0" xfId="19" applyNumberFormat="1" applyAlignment="1" applyProtection="1">
      <alignment horizontal="left"/>
    </xf>
    <xf numFmtId="37" fontId="10" fillId="0" borderId="0" xfId="19" applyFont="1" applyAlignment="1" applyProtection="1">
      <alignment horizontal="left"/>
    </xf>
    <xf numFmtId="169" fontId="137" fillId="0" borderId="0" xfId="19" applyNumberFormat="1" applyAlignment="1" applyProtection="1">
      <alignment horizontal="left"/>
    </xf>
    <xf numFmtId="1" fontId="137" fillId="0" borderId="0" xfId="19" applyNumberFormat="1" applyProtection="1">
      <protection locked="0"/>
    </xf>
    <xf numFmtId="37" fontId="137" fillId="0" borderId="0" xfId="19" applyAlignment="1" applyProtection="1">
      <alignment horizontal="center"/>
      <protection locked="0"/>
    </xf>
    <xf numFmtId="37" fontId="12" fillId="0" borderId="0" xfId="19" applyFont="1" applyAlignment="1">
      <alignment vertical="center"/>
    </xf>
    <xf numFmtId="39" fontId="137" fillId="0" borderId="0" xfId="19" applyNumberFormat="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3" fillId="0" borderId="0" xfId="3" applyFont="1" applyAlignment="1" applyProtection="1">
      <alignment horizontal="center" vertical="center"/>
    </xf>
    <xf numFmtId="0" fontId="63" fillId="27" borderId="143" xfId="3" applyFont="1" applyFill="1" applyBorder="1" applyProtection="1"/>
    <xf numFmtId="0" fontId="63" fillId="27" borderId="144" xfId="3" applyFont="1" applyFill="1" applyBorder="1" applyProtection="1"/>
    <xf numFmtId="0" fontId="56" fillId="27" borderId="144" xfId="3" applyFont="1" applyFill="1" applyBorder="1" applyProtection="1"/>
    <xf numFmtId="0" fontId="56" fillId="27" borderId="144" xfId="3" applyFont="1" applyFill="1" applyBorder="1" applyAlignment="1" applyProtection="1">
      <alignment horizontal="center"/>
    </xf>
    <xf numFmtId="0" fontId="56" fillId="27" borderId="145" xfId="3" applyFont="1" applyFill="1" applyBorder="1" applyProtection="1"/>
    <xf numFmtId="0" fontId="56" fillId="0" borderId="5" xfId="3" applyFont="1" applyFill="1" applyBorder="1" applyProtection="1"/>
    <xf numFmtId="0" fontId="61" fillId="27" borderId="5" xfId="3" applyFont="1" applyFill="1" applyBorder="1" applyProtection="1"/>
    <xf numFmtId="0" fontId="61" fillId="27" borderId="165" xfId="3" applyFont="1" applyFill="1" applyBorder="1" applyProtection="1"/>
    <xf numFmtId="14" fontId="56" fillId="27" borderId="74" xfId="3" applyNumberFormat="1" applyFont="1" applyFill="1" applyBorder="1" applyAlignment="1" applyProtection="1">
      <alignment horizontal="center"/>
    </xf>
    <xf numFmtId="14" fontId="56" fillId="27" borderId="0" xfId="3" applyNumberFormat="1" applyFont="1" applyFill="1" applyBorder="1" applyProtection="1"/>
    <xf numFmtId="0" fontId="61" fillId="27" borderId="0" xfId="3" applyFont="1" applyFill="1" applyBorder="1" applyProtection="1"/>
    <xf numFmtId="0" fontId="56" fillId="27" borderId="0" xfId="3" applyFont="1" applyFill="1" applyBorder="1" applyAlignment="1" applyProtection="1">
      <alignment horizontal="center"/>
    </xf>
    <xf numFmtId="0" fontId="56" fillId="27" borderId="0" xfId="3" applyFont="1" applyFill="1" applyBorder="1" applyProtection="1"/>
    <xf numFmtId="0" fontId="56" fillId="27" borderId="74" xfId="3" applyFont="1" applyFill="1" applyBorder="1" applyAlignment="1" applyProtection="1">
      <alignment horizontal="center"/>
    </xf>
    <xf numFmtId="0" fontId="56" fillId="27" borderId="40" xfId="3" applyFont="1" applyFill="1" applyBorder="1" applyProtection="1"/>
    <xf numFmtId="0" fontId="56" fillId="27" borderId="50" xfId="3" applyFont="1" applyFill="1" applyBorder="1" applyProtection="1"/>
    <xf numFmtId="0" fontId="56" fillId="27" borderId="9" xfId="3" applyFont="1" applyFill="1" applyBorder="1" applyProtection="1"/>
    <xf numFmtId="0" fontId="56" fillId="27" borderId="9" xfId="3" applyFont="1" applyFill="1" applyBorder="1" applyAlignment="1" applyProtection="1">
      <alignment horizontal="center"/>
    </xf>
    <xf numFmtId="0" fontId="56" fillId="27" borderId="59" xfId="3" applyFont="1" applyFill="1" applyBorder="1" applyProtection="1"/>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46"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47" fillId="0" borderId="0" xfId="3" applyFont="1" applyAlignment="1">
      <alignment horizontal="left"/>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8" fillId="0" borderId="0" xfId="3" applyFont="1" applyAlignment="1">
      <alignment horizontal="left"/>
    </xf>
    <xf numFmtId="0" fontId="10" fillId="0" borderId="0" xfId="3" applyFont="1" applyAlignment="1">
      <alignment horizontal="left"/>
    </xf>
    <xf numFmtId="0" fontId="35" fillId="0" borderId="0" xfId="3" applyFont="1"/>
    <xf numFmtId="0" fontId="148" fillId="0" borderId="0" xfId="3" applyFont="1"/>
    <xf numFmtId="14" fontId="9" fillId="0" borderId="0" xfId="3" quotePrefix="1" applyNumberFormat="1" applyAlignment="1" applyProtection="1">
      <alignment horizontal="left" indent="2"/>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7" fontId="138" fillId="0" borderId="0" xfId="19" applyFont="1" applyFill="1" applyAlignment="1">
      <alignment horizontal="center" vertical="top"/>
    </xf>
    <xf numFmtId="37" fontId="140" fillId="0" borderId="0" xfId="19" applyFont="1" applyFill="1" applyBorder="1" applyAlignment="1">
      <alignment horizont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37" fontId="64" fillId="0" borderId="0" xfId="3" applyNumberFormat="1" applyFont="1" applyBorder="1" applyAlignment="1" applyProtection="1">
      <alignment horizontal="center"/>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6" fillId="0" borderId="0" xfId="3" applyFont="1" applyFill="1" applyAlignment="1" applyProtection="1">
      <alignment horizontal="left" vertical="top" wrapText="1"/>
      <protection locked="0"/>
    </xf>
    <xf numFmtId="0" fontId="64" fillId="0" borderId="74" xfId="3" applyNumberFormat="1" applyFont="1" applyFill="1" applyBorder="1" applyAlignment="1" applyProtection="1">
      <alignment horizontal="center"/>
      <protection locked="0"/>
    </xf>
    <xf numFmtId="169" fontId="64" fillId="0" borderId="74" xfId="3" applyNumberFormat="1" applyFont="1" applyFill="1" applyBorder="1" applyAlignment="1" applyProtection="1">
      <alignment horizontal="center"/>
      <protection locked="0"/>
    </xf>
    <xf numFmtId="0" fontId="64" fillId="0" borderId="74" xfId="3" applyFont="1" applyFill="1" applyBorder="1" applyAlignment="1" applyProtection="1">
      <alignment horizontal="center"/>
      <protection locked="0"/>
    </xf>
    <xf numFmtId="0" fontId="64" fillId="0" borderId="74" xfId="3" applyFont="1" applyFill="1" applyBorder="1" applyAlignment="1" applyProtection="1">
      <alignment horizontal="center" vertical="center"/>
      <protection locked="0"/>
    </xf>
    <xf numFmtId="0" fontId="56" fillId="0" borderId="74" xfId="3" applyFont="1" applyFill="1" applyBorder="1" applyAlignment="1" applyProtection="1">
      <alignment horizont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22">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EBB387B4-DC74-4CB3-A60E-516D9D968DF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19FB7331-FC4B-4389-BDA6-F5017F6AA3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180B4BE7-31DE-47D9-BAF2-8637FF8B61F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49" t="s">
        <v>405</v>
      </c>
      <c r="J1" s="2150"/>
      <c r="K1" s="2150"/>
      <c r="L1" s="2150"/>
      <c r="M1" s="2150"/>
      <c r="N1" s="2150"/>
      <c r="O1" s="2150"/>
      <c r="P1" s="2150"/>
      <c r="Q1" s="2150"/>
      <c r="R1" s="2150"/>
      <c r="S1" s="2150"/>
    </row>
    <row r="2" spans="1:28" ht="12" customHeight="1" x14ac:dyDescent="0.2">
      <c r="A2" s="47" t="s">
        <v>1990</v>
      </c>
      <c r="D2" s="48"/>
      <c r="I2" s="2151" t="s">
        <v>979</v>
      </c>
      <c r="J2" s="2150"/>
      <c r="K2" s="2150"/>
      <c r="L2" s="2150"/>
      <c r="M2" s="2150"/>
      <c r="N2" s="2150"/>
      <c r="O2" s="2150"/>
      <c r="P2" s="2150"/>
      <c r="Q2" s="2150"/>
      <c r="R2" s="2150"/>
      <c r="S2" s="2150"/>
    </row>
    <row r="3" spans="1:28" ht="12" customHeight="1" x14ac:dyDescent="0.2">
      <c r="A3" s="155" t="s">
        <v>1942</v>
      </c>
      <c r="B3" s="156"/>
      <c r="C3" s="156"/>
      <c r="D3" s="157"/>
      <c r="I3" s="2151" t="s">
        <v>52</v>
      </c>
      <c r="J3" s="2150"/>
      <c r="K3" s="2150"/>
      <c r="L3" s="2150"/>
      <c r="M3" s="2150"/>
      <c r="N3" s="2150"/>
      <c r="O3" s="2150"/>
      <c r="P3" s="2150"/>
      <c r="Q3" s="2150"/>
      <c r="R3" s="2150"/>
      <c r="S3" s="2150"/>
    </row>
    <row r="4" spans="1:28" ht="12" customHeight="1" x14ac:dyDescent="0.2">
      <c r="A4" s="37"/>
      <c r="I4" s="2151" t="s">
        <v>524</v>
      </c>
      <c r="J4" s="2150"/>
      <c r="K4" s="2150"/>
      <c r="L4" s="2150"/>
      <c r="M4" s="2150"/>
      <c r="N4" s="2150"/>
      <c r="O4" s="2150"/>
      <c r="P4" s="2150"/>
      <c r="Q4" s="2150"/>
      <c r="R4" s="2150"/>
      <c r="S4" s="2150"/>
    </row>
    <row r="5" spans="1:28" ht="14.1" customHeight="1" x14ac:dyDescent="0.2">
      <c r="B5" s="104" t="s">
        <v>2067</v>
      </c>
      <c r="C5" s="26" t="s">
        <v>910</v>
      </c>
      <c r="D5" s="84"/>
      <c r="E5" s="84"/>
      <c r="H5" s="38"/>
      <c r="I5" s="2159" t="s">
        <v>680</v>
      </c>
      <c r="J5" s="2158"/>
      <c r="K5" s="2158"/>
      <c r="L5" s="2158"/>
      <c r="M5" s="2158"/>
      <c r="N5" s="2158"/>
      <c r="O5" s="2158"/>
      <c r="P5" s="2158"/>
      <c r="Q5" s="2158"/>
      <c r="R5" s="2158"/>
      <c r="S5" s="2158"/>
    </row>
    <row r="6" spans="1:28" ht="14.1" customHeight="1" x14ac:dyDescent="0.2">
      <c r="B6" s="104"/>
      <c r="C6" s="26" t="s">
        <v>911</v>
      </c>
      <c r="D6" s="84"/>
      <c r="E6" s="84"/>
      <c r="I6" s="2157" t="s">
        <v>883</v>
      </c>
      <c r="J6" s="2158"/>
      <c r="K6" s="2158"/>
      <c r="L6" s="2158"/>
      <c r="M6" s="2158"/>
      <c r="N6" s="2158"/>
      <c r="O6" s="2158"/>
      <c r="P6" s="2158"/>
      <c r="Q6" s="2158"/>
      <c r="R6" s="2158"/>
      <c r="S6" s="2158"/>
    </row>
    <row r="7" spans="1:28" ht="12.2" customHeight="1" x14ac:dyDescent="0.2">
      <c r="I7" s="2152">
        <v>43646</v>
      </c>
      <c r="J7" s="2153"/>
      <c r="K7" s="2153"/>
      <c r="L7" s="2153"/>
      <c r="M7" s="2153"/>
      <c r="N7" s="2153"/>
      <c r="O7" s="2153"/>
      <c r="P7" s="2153"/>
      <c r="Q7" s="2153"/>
      <c r="R7" s="2153"/>
      <c r="S7" s="215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54" t="s">
        <v>674</v>
      </c>
      <c r="J9" s="2155"/>
      <c r="K9" s="2155"/>
      <c r="L9" s="2155"/>
      <c r="M9" s="2155"/>
      <c r="N9" s="2155"/>
      <c r="O9" s="2155"/>
      <c r="P9" s="2155"/>
      <c r="Q9" s="2155"/>
      <c r="R9" s="2155"/>
      <c r="S9" s="2156"/>
      <c r="T9" s="2170" t="s">
        <v>533</v>
      </c>
      <c r="U9" s="2171"/>
      <c r="V9" s="2171"/>
      <c r="W9" s="2171"/>
      <c r="X9" s="2171"/>
      <c r="Y9" s="2171"/>
      <c r="Z9" s="2171"/>
      <c r="AA9" s="2172"/>
    </row>
    <row r="10" spans="1:28" ht="13.5" customHeight="1" x14ac:dyDescent="0.2">
      <c r="A10" s="2177" t="s">
        <v>675</v>
      </c>
      <c r="B10" s="2178"/>
      <c r="C10" s="2178"/>
      <c r="D10" s="2178"/>
      <c r="E10" s="2178"/>
      <c r="F10" s="2178"/>
      <c r="G10" s="2178"/>
      <c r="H10" s="2179"/>
      <c r="I10" s="29"/>
      <c r="J10" s="30"/>
      <c r="K10" s="28"/>
      <c r="R10" s="30"/>
      <c r="S10" s="30"/>
      <c r="T10" s="2173"/>
      <c r="U10" s="2158"/>
      <c r="V10" s="2158"/>
      <c r="W10" s="2158"/>
      <c r="X10" s="2158"/>
      <c r="Y10" s="2158"/>
      <c r="Z10" s="2158"/>
      <c r="AA10" s="2164"/>
    </row>
    <row r="11" spans="1:28" ht="14.25" customHeight="1" x14ac:dyDescent="0.2">
      <c r="A11" s="2180" t="s">
        <v>955</v>
      </c>
      <c r="B11" s="2181"/>
      <c r="C11" s="2181"/>
      <c r="D11" s="2181"/>
      <c r="E11" s="2181"/>
      <c r="F11" s="2181"/>
      <c r="G11" s="2181"/>
      <c r="H11" s="2182"/>
      <c r="I11" s="27"/>
      <c r="J11" s="74"/>
      <c r="K11" s="27"/>
      <c r="O11" s="148" t="s">
        <v>2067</v>
      </c>
      <c r="P11" s="100" t="s">
        <v>201</v>
      </c>
      <c r="Q11" s="30"/>
      <c r="R11" s="28"/>
      <c r="S11" s="27"/>
      <c r="T11" s="2174"/>
      <c r="U11" s="2175"/>
      <c r="V11" s="2175"/>
      <c r="W11" s="2175"/>
      <c r="X11" s="2175"/>
      <c r="Y11" s="2175"/>
      <c r="Z11" s="2175"/>
      <c r="AA11" s="217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84">
        <v>35050040017</v>
      </c>
      <c r="B13" s="2185"/>
      <c r="C13" s="2185"/>
      <c r="D13" s="2185"/>
      <c r="E13" s="2185"/>
      <c r="F13" s="2185"/>
      <c r="G13" s="2185"/>
      <c r="H13" s="2186"/>
      <c r="I13" s="31"/>
      <c r="J13" s="30"/>
      <c r="K13" s="28"/>
      <c r="L13" s="30"/>
      <c r="M13" s="30"/>
      <c r="N13" s="30"/>
      <c r="O13" s="30"/>
      <c r="P13" s="30"/>
      <c r="Q13" s="30"/>
      <c r="R13" s="30"/>
      <c r="S13" s="30"/>
      <c r="T13" s="2189" t="s">
        <v>2069</v>
      </c>
      <c r="U13" s="2190"/>
      <c r="V13" s="2190"/>
      <c r="W13" s="2190"/>
      <c r="X13" s="2190"/>
      <c r="Y13" s="2191"/>
      <c r="Z13" s="2191"/>
      <c r="AA13" s="219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83" t="s">
        <v>2071</v>
      </c>
      <c r="B15" s="2187"/>
      <c r="C15" s="2187"/>
      <c r="D15" s="2187"/>
      <c r="E15" s="2187"/>
      <c r="F15" s="2187"/>
      <c r="G15" s="2187"/>
      <c r="H15" s="2188"/>
      <c r="T15" s="2193" t="s">
        <v>2077</v>
      </c>
      <c r="U15" s="2137"/>
      <c r="V15" s="2137"/>
      <c r="W15" s="2137"/>
      <c r="X15" s="2137"/>
      <c r="Y15" s="2194"/>
      <c r="Z15" s="2194"/>
      <c r="AA15" s="21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143" t="s">
        <v>2247</v>
      </c>
      <c r="B17" s="2144"/>
      <c r="C17" s="2144"/>
      <c r="D17" s="2144"/>
      <c r="E17" s="2144"/>
      <c r="F17" s="2144"/>
      <c r="G17" s="2144"/>
      <c r="H17" s="2169"/>
      <c r="T17" s="2200" t="s">
        <v>2061</v>
      </c>
      <c r="U17" s="2201"/>
      <c r="V17" s="2201"/>
      <c r="W17" s="2201"/>
      <c r="X17" s="2201"/>
      <c r="Y17" s="2201"/>
      <c r="Z17" s="2201"/>
      <c r="AA17" s="2202"/>
    </row>
    <row r="18" spans="1:27" ht="13.5" customHeight="1" x14ac:dyDescent="0.2">
      <c r="A18" s="85" t="s">
        <v>530</v>
      </c>
      <c r="B18" s="76"/>
      <c r="C18" s="72"/>
      <c r="D18" s="76"/>
      <c r="E18" s="76"/>
      <c r="F18" s="76"/>
      <c r="G18" s="76"/>
      <c r="H18" s="56"/>
      <c r="I18" s="2168" t="s">
        <v>676</v>
      </c>
      <c r="J18" s="2119"/>
      <c r="K18" s="2119"/>
      <c r="L18" s="2119"/>
      <c r="M18" s="2119"/>
      <c r="N18" s="2119"/>
      <c r="O18" s="2119"/>
      <c r="P18" s="2119"/>
      <c r="Q18" s="2119"/>
      <c r="R18" s="2119"/>
      <c r="S18" s="2120"/>
      <c r="T18" s="85" t="s">
        <v>711</v>
      </c>
      <c r="U18" s="51"/>
      <c r="V18" s="72"/>
      <c r="W18" s="50"/>
      <c r="X18" s="85" t="s">
        <v>266</v>
      </c>
      <c r="Y18" s="81"/>
      <c r="Z18" s="159" t="s">
        <v>677</v>
      </c>
      <c r="AA18" s="46"/>
    </row>
    <row r="19" spans="1:27" ht="13.5" customHeight="1" x14ac:dyDescent="0.2">
      <c r="A19" s="2183" t="s">
        <v>2073</v>
      </c>
      <c r="B19" s="2129"/>
      <c r="C19" s="2129"/>
      <c r="D19" s="2129"/>
      <c r="E19" s="2129"/>
      <c r="F19" s="2129"/>
      <c r="G19" s="2129"/>
      <c r="H19" s="2109"/>
      <c r="I19" s="30"/>
      <c r="J19" s="99"/>
      <c r="K19" s="40"/>
      <c r="L19" s="38"/>
      <c r="M19" s="112" t="s">
        <v>315</v>
      </c>
      <c r="P19" s="27"/>
      <c r="Q19" s="27"/>
      <c r="R19" s="27"/>
      <c r="S19" s="31"/>
      <c r="T19" s="2183" t="s">
        <v>2062</v>
      </c>
      <c r="U19" s="2108"/>
      <c r="V19" s="2108"/>
      <c r="W19" s="2109"/>
      <c r="X19" s="2198" t="s">
        <v>2063</v>
      </c>
      <c r="Y19" s="2199"/>
      <c r="Z19" s="2196">
        <v>61614</v>
      </c>
      <c r="AA19" s="21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107" t="s">
        <v>2074</v>
      </c>
      <c r="B21" s="2108"/>
      <c r="C21" s="2108"/>
      <c r="D21" s="2108"/>
      <c r="E21" s="2108"/>
      <c r="F21" s="2108"/>
      <c r="G21" s="2108"/>
      <c r="H21" s="2109"/>
      <c r="I21" s="2163" t="s">
        <v>678</v>
      </c>
      <c r="J21" s="2158"/>
      <c r="K21" s="2158"/>
      <c r="L21" s="2158"/>
      <c r="M21" s="2158"/>
      <c r="N21" s="2158"/>
      <c r="O21" s="2158"/>
      <c r="P21" s="2158"/>
      <c r="Q21" s="2158"/>
      <c r="R21" s="2158"/>
      <c r="S21" s="2164"/>
      <c r="T21" s="2207" t="s">
        <v>2064</v>
      </c>
      <c r="U21" s="2208"/>
      <c r="V21" s="2208"/>
      <c r="W21" s="2208"/>
      <c r="X21" s="2213" t="s">
        <v>2065</v>
      </c>
      <c r="Y21" s="2214"/>
      <c r="Z21" s="2214"/>
      <c r="AA21" s="2215"/>
    </row>
    <row r="22" spans="1:27" ht="13.5" customHeight="1" x14ac:dyDescent="0.2">
      <c r="A22" s="87" t="s">
        <v>531</v>
      </c>
      <c r="B22" s="59"/>
      <c r="C22" s="59"/>
      <c r="D22" s="59"/>
      <c r="E22" s="59"/>
      <c r="F22" s="59"/>
      <c r="G22" s="59"/>
      <c r="H22" s="60"/>
      <c r="I22" s="2165" t="s">
        <v>1429</v>
      </c>
      <c r="J22" s="2166"/>
      <c r="K22" s="2166"/>
      <c r="L22" s="2166"/>
      <c r="M22" s="2166"/>
      <c r="N22" s="2166"/>
      <c r="O22" s="2166"/>
      <c r="P22" s="2166"/>
      <c r="Q22" s="2166"/>
      <c r="R22" s="2166"/>
      <c r="S22" s="2167"/>
      <c r="T22" s="85" t="s">
        <v>1516</v>
      </c>
      <c r="U22" s="51"/>
      <c r="V22" s="72"/>
      <c r="W22" s="51"/>
      <c r="X22" s="160" t="s">
        <v>1318</v>
      </c>
      <c r="Z22" s="45"/>
      <c r="AA22" s="46"/>
    </row>
    <row r="23" spans="1:27" ht="13.5" customHeight="1" x14ac:dyDescent="0.2">
      <c r="A23" s="2160" t="s">
        <v>2075</v>
      </c>
      <c r="B23" s="2161"/>
      <c r="C23" s="2161"/>
      <c r="D23" s="2161"/>
      <c r="E23" s="2161"/>
      <c r="F23" s="2161"/>
      <c r="G23" s="2161"/>
      <c r="H23" s="2162"/>
      <c r="T23" s="2143" t="s">
        <v>2066</v>
      </c>
      <c r="U23" s="2206"/>
      <c r="V23" s="2206"/>
      <c r="W23" s="2206"/>
      <c r="X23" s="2210">
        <v>44501</v>
      </c>
      <c r="Y23" s="2211"/>
      <c r="Z23" s="2211"/>
      <c r="AA23" s="2212"/>
    </row>
    <row r="24" spans="1:27" ht="14.1" customHeight="1" x14ac:dyDescent="0.2">
      <c r="A24" s="88" t="s">
        <v>677</v>
      </c>
      <c r="B24" s="49"/>
      <c r="C24" s="49"/>
      <c r="D24" s="49"/>
      <c r="E24" s="49"/>
      <c r="F24" s="49"/>
      <c r="G24" s="49"/>
      <c r="H24" s="61"/>
      <c r="J24" s="2130">
        <f>IF(B5="x",IF(AUDITCHECK!D29="AFR form Incomplete.","",IF(AUDITCHECK!D29="Deficit reduction plan is required.","School District must complete a deficit reduction plan in the 2019-2020 Budget",)),"")</f>
        <v>0</v>
      </c>
      <c r="K24" s="2130"/>
      <c r="L24" s="2130"/>
      <c r="M24" s="2130"/>
      <c r="N24" s="2130"/>
      <c r="O24" s="2130"/>
      <c r="P24" s="2130"/>
      <c r="Q24" s="2130"/>
      <c r="R24" s="2130"/>
      <c r="S24" s="2131"/>
      <c r="T24" s="105" t="s">
        <v>531</v>
      </c>
      <c r="U24" s="106"/>
      <c r="V24" s="106"/>
      <c r="W24" s="106"/>
      <c r="X24" s="107"/>
      <c r="Y24" s="107"/>
      <c r="Z24" s="107"/>
      <c r="AA24" s="108"/>
    </row>
    <row r="25" spans="1:27" ht="14.1" customHeight="1" x14ac:dyDescent="0.2">
      <c r="A25" s="2107">
        <v>61364</v>
      </c>
      <c r="B25" s="2108"/>
      <c r="C25" s="2108"/>
      <c r="D25" s="2108"/>
      <c r="E25" s="2108"/>
      <c r="F25" s="2108"/>
      <c r="G25" s="2108"/>
      <c r="H25" s="2109"/>
      <c r="I25" s="113"/>
      <c r="J25" s="2132"/>
      <c r="K25" s="2132"/>
      <c r="L25" s="2132"/>
      <c r="M25" s="2132"/>
      <c r="N25" s="2132"/>
      <c r="O25" s="2132"/>
      <c r="P25" s="2132"/>
      <c r="Q25" s="2132"/>
      <c r="R25" s="2132"/>
      <c r="S25" s="2133"/>
      <c r="T25" s="2203" t="s">
        <v>2078</v>
      </c>
      <c r="U25" s="2204"/>
      <c r="V25" s="2204"/>
      <c r="W25" s="2204"/>
      <c r="X25" s="2204"/>
      <c r="Y25" s="2204"/>
      <c r="Z25" s="2204"/>
      <c r="AA25" s="220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18" t="s">
        <v>1511</v>
      </c>
      <c r="J27" s="2119"/>
      <c r="K27" s="2119"/>
      <c r="L27" s="2119"/>
      <c r="M27" s="2119"/>
      <c r="N27" s="2119"/>
      <c r="O27" s="2119"/>
      <c r="P27" s="2119"/>
      <c r="Q27" s="2119"/>
      <c r="R27" s="2119"/>
      <c r="S27" s="212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48" t="s">
        <v>2067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2067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129"/>
      <c r="Q35" s="2108"/>
      <c r="R35" s="210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143" t="s">
        <v>2076</v>
      </c>
      <c r="B38" s="2144"/>
      <c r="C38" s="2144"/>
      <c r="D38" s="2144"/>
      <c r="E38" s="2144"/>
      <c r="F38" s="2108"/>
      <c r="G38" s="2108"/>
      <c r="H38" s="2109"/>
      <c r="I38" s="2136"/>
      <c r="J38" s="2137"/>
      <c r="K38" s="2137"/>
      <c r="L38" s="2137"/>
      <c r="M38" s="2137"/>
      <c r="N38" s="2137"/>
      <c r="O38" s="2137"/>
      <c r="P38" s="2138"/>
      <c r="Q38" s="2138"/>
      <c r="R38" s="2138"/>
      <c r="S38" s="2139"/>
      <c r="T38" s="2193"/>
      <c r="U38" s="2137"/>
      <c r="V38" s="2137"/>
      <c r="W38" s="2137"/>
      <c r="X38" s="2138"/>
      <c r="Y38" s="2138"/>
      <c r="Z38" s="2138"/>
      <c r="AA38" s="2139"/>
    </row>
    <row r="39" spans="1:27" ht="12" customHeight="1" x14ac:dyDescent="0.2">
      <c r="A39" s="2113" t="s">
        <v>531</v>
      </c>
      <c r="B39" s="2114"/>
      <c r="C39" s="72"/>
      <c r="D39" s="69"/>
      <c r="E39" s="69"/>
      <c r="F39" s="79"/>
      <c r="G39" s="69"/>
      <c r="H39" s="56"/>
      <c r="I39" s="2113" t="s">
        <v>531</v>
      </c>
      <c r="J39" s="2114"/>
      <c r="K39" s="2114"/>
      <c r="L39" s="2114"/>
      <c r="M39" s="2114"/>
      <c r="N39" s="67"/>
      <c r="O39" s="72"/>
      <c r="P39" s="72"/>
      <c r="Q39" s="78"/>
      <c r="R39" s="72"/>
      <c r="S39" s="56"/>
      <c r="T39" s="72" t="s">
        <v>531</v>
      </c>
      <c r="U39" s="51"/>
      <c r="V39" s="72"/>
      <c r="W39" s="50"/>
      <c r="X39" s="78"/>
      <c r="Y39" s="45"/>
      <c r="Z39" s="45"/>
      <c r="AA39" s="46"/>
    </row>
    <row r="40" spans="1:27" ht="13.5" customHeight="1" x14ac:dyDescent="0.2">
      <c r="A40" s="2121" t="s">
        <v>2075</v>
      </c>
      <c r="B40" s="2122"/>
      <c r="C40" s="2123"/>
      <c r="D40" s="2123"/>
      <c r="E40" s="2123"/>
      <c r="F40" s="2124"/>
      <c r="G40" s="2124"/>
      <c r="H40" s="2125"/>
      <c r="I40" s="2146"/>
      <c r="J40" s="2147"/>
      <c r="K40" s="2147"/>
      <c r="L40" s="2147"/>
      <c r="M40" s="2147"/>
      <c r="N40" s="2147"/>
      <c r="O40" s="2147"/>
      <c r="P40" s="2147"/>
      <c r="Q40" s="2147"/>
      <c r="R40" s="2147"/>
      <c r="S40" s="2148"/>
      <c r="T40" s="2146"/>
      <c r="U40" s="2209"/>
      <c r="V40" s="2147"/>
      <c r="W40" s="2147"/>
      <c r="X40" s="2147"/>
      <c r="Y40" s="2147"/>
      <c r="Z40" s="2147"/>
      <c r="AA40" s="214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35">
        <v>8156720545</v>
      </c>
      <c r="B42" s="2127"/>
      <c r="C42" s="2128"/>
      <c r="D42" s="2126">
        <v>8156731238</v>
      </c>
      <c r="E42" s="2127"/>
      <c r="F42" s="2127"/>
      <c r="G42" s="2127"/>
      <c r="H42" s="2128"/>
      <c r="I42" s="2110"/>
      <c r="J42" s="2111"/>
      <c r="K42" s="2111"/>
      <c r="L42" s="2111"/>
      <c r="M42" s="2111"/>
      <c r="N42" s="2111"/>
      <c r="O42" s="2112"/>
      <c r="P42" s="2145"/>
      <c r="Q42" s="2111"/>
      <c r="R42" s="2111"/>
      <c r="S42" s="2112"/>
      <c r="T42" s="2110"/>
      <c r="U42" s="2111"/>
      <c r="V42" s="2111"/>
      <c r="W42" s="2112"/>
      <c r="X42" s="2145"/>
      <c r="Y42" s="2111"/>
      <c r="Z42" s="2111"/>
      <c r="AA42" s="211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40"/>
      <c r="B44" s="2141"/>
      <c r="C44" s="2141"/>
      <c r="D44" s="2141"/>
      <c r="E44" s="2141"/>
      <c r="F44" s="2141"/>
      <c r="G44" s="2141"/>
      <c r="H44" s="2142"/>
      <c r="I44" s="2115"/>
      <c r="J44" s="2116"/>
      <c r="K44" s="2116"/>
      <c r="L44" s="2116"/>
      <c r="M44" s="2116"/>
      <c r="N44" s="2116"/>
      <c r="O44" s="2116"/>
      <c r="P44" s="2116"/>
      <c r="Q44" s="2116"/>
      <c r="R44" s="2116"/>
      <c r="S44" s="2117"/>
      <c r="T44" s="2115"/>
      <c r="U44" s="2134"/>
      <c r="V44" s="2134"/>
      <c r="W44" s="2134"/>
      <c r="X44" s="2134"/>
      <c r="Y44" s="2134"/>
      <c r="Z44" s="2116"/>
      <c r="AA44" s="211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8" t="s">
        <v>104</v>
      </c>
    </row>
    <row r="2" spans="1:6" ht="39.75" customHeight="1" x14ac:dyDescent="0.2">
      <c r="A2" s="2349" t="s">
        <v>1799</v>
      </c>
      <c r="B2" s="1525" t="s">
        <v>1948</v>
      </c>
      <c r="C2" s="711" t="s">
        <v>1949</v>
      </c>
      <c r="D2" s="711" t="s">
        <v>1950</v>
      </c>
      <c r="E2" s="711" t="s">
        <v>1951</v>
      </c>
      <c r="F2" s="711" t="s">
        <v>1952</v>
      </c>
    </row>
    <row r="3" spans="1:6" ht="12" customHeight="1" x14ac:dyDescent="0.2">
      <c r="A3" s="2350"/>
      <c r="B3" s="1522"/>
      <c r="C3" s="1523"/>
      <c r="D3" s="1524" t="s">
        <v>256</v>
      </c>
      <c r="E3" s="1523"/>
      <c r="F3" s="1524" t="s">
        <v>257</v>
      </c>
    </row>
    <row r="4" spans="1:6" ht="13.7" customHeight="1" x14ac:dyDescent="0.2">
      <c r="A4" s="712" t="s">
        <v>1155</v>
      </c>
      <c r="B4" s="1746">
        <f>'Revenues 9-14'!C5</f>
        <v>3085369</v>
      </c>
      <c r="C4" s="1521">
        <v>0</v>
      </c>
      <c r="D4" s="1749">
        <f>B4-C4</f>
        <v>3085369</v>
      </c>
      <c r="E4" s="1521">
        <v>3152305</v>
      </c>
      <c r="F4" s="1749">
        <f>E4-C4</f>
        <v>3152305</v>
      </c>
    </row>
    <row r="5" spans="1:6" ht="13.7" customHeight="1" x14ac:dyDescent="0.2">
      <c r="A5" s="712" t="s">
        <v>870</v>
      </c>
      <c r="B5" s="1747">
        <f>'Revenues 9-14'!D5</f>
        <v>476137</v>
      </c>
      <c r="C5" s="582">
        <v>0</v>
      </c>
      <c r="D5" s="1750">
        <f t="shared" ref="D5:D18" si="0">B5-C5</f>
        <v>476137</v>
      </c>
      <c r="E5" s="582">
        <v>486467</v>
      </c>
      <c r="F5" s="1750">
        <f>E5-C5</f>
        <v>486467</v>
      </c>
    </row>
    <row r="6" spans="1:6" ht="13.7" customHeight="1" x14ac:dyDescent="0.2">
      <c r="A6" s="712" t="s">
        <v>411</v>
      </c>
      <c r="B6" s="1747">
        <f>'Revenues 9-14'!E5</f>
        <v>861214</v>
      </c>
      <c r="C6" s="582">
        <v>0</v>
      </c>
      <c r="D6" s="1750">
        <f t="shared" si="0"/>
        <v>861214</v>
      </c>
      <c r="E6" s="582">
        <v>894029</v>
      </c>
      <c r="F6" s="1750">
        <f t="shared" ref="F6:F18" si="1">E6-C6</f>
        <v>894029</v>
      </c>
    </row>
    <row r="7" spans="1:6" ht="13.7" customHeight="1" x14ac:dyDescent="0.2">
      <c r="A7" s="712" t="s">
        <v>155</v>
      </c>
      <c r="B7" s="1747">
        <f>'Revenues 9-14'!F5</f>
        <v>228546</v>
      </c>
      <c r="C7" s="582">
        <v>0</v>
      </c>
      <c r="D7" s="1750">
        <f t="shared" si="0"/>
        <v>228546</v>
      </c>
      <c r="E7" s="582">
        <v>233504</v>
      </c>
      <c r="F7" s="1750">
        <f t="shared" si="1"/>
        <v>233504</v>
      </c>
    </row>
    <row r="8" spans="1:6" ht="13.7" customHeight="1" x14ac:dyDescent="0.2">
      <c r="A8" s="712" t="s">
        <v>1179</v>
      </c>
      <c r="B8" s="1747">
        <f>'Revenues 9-14'!G5</f>
        <v>109303</v>
      </c>
      <c r="C8" s="582">
        <v>0</v>
      </c>
      <c r="D8" s="1750">
        <f t="shared" si="0"/>
        <v>109303</v>
      </c>
      <c r="E8" s="582">
        <v>110019</v>
      </c>
      <c r="F8" s="1750">
        <f t="shared" si="1"/>
        <v>110019</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95228</v>
      </c>
      <c r="C10" s="582">
        <v>0</v>
      </c>
      <c r="D10" s="1750">
        <f t="shared" si="0"/>
        <v>95228</v>
      </c>
      <c r="E10" s="582">
        <v>97293</v>
      </c>
      <c r="F10" s="1750">
        <f t="shared" si="1"/>
        <v>97293</v>
      </c>
    </row>
    <row r="11" spans="1:6" x14ac:dyDescent="0.2">
      <c r="A11" s="712" t="s">
        <v>409</v>
      </c>
      <c r="B11" s="1747">
        <f>'Revenues 9-14'!J5</f>
        <v>695447</v>
      </c>
      <c r="C11" s="582">
        <v>0</v>
      </c>
      <c r="D11" s="1750">
        <f t="shared" si="0"/>
        <v>695447</v>
      </c>
      <c r="E11" s="582">
        <v>700006</v>
      </c>
      <c r="F11" s="1750">
        <f t="shared" si="1"/>
        <v>700006</v>
      </c>
    </row>
    <row r="12" spans="1:6" ht="13.7" customHeight="1" x14ac:dyDescent="0.2">
      <c r="A12" s="712" t="s">
        <v>157</v>
      </c>
      <c r="B12" s="1747">
        <f>'Revenues 9-14'!K5</f>
        <v>95228</v>
      </c>
      <c r="C12" s="582">
        <v>0</v>
      </c>
      <c r="D12" s="1750">
        <f t="shared" si="0"/>
        <v>95228</v>
      </c>
      <c r="E12" s="582">
        <v>97293</v>
      </c>
      <c r="F12" s="1750">
        <f t="shared" si="1"/>
        <v>97293</v>
      </c>
    </row>
    <row r="13" spans="1:6" ht="13.7" customHeight="1" x14ac:dyDescent="0.2">
      <c r="A13" s="712" t="s">
        <v>936</v>
      </c>
      <c r="B13" s="1747">
        <f>SUM('Revenues 9-14'!C6:D6)</f>
        <v>95228</v>
      </c>
      <c r="C13" s="582">
        <v>0</v>
      </c>
      <c r="D13" s="1750">
        <f t="shared" si="0"/>
        <v>95228</v>
      </c>
      <c r="E13" s="582">
        <v>97293</v>
      </c>
      <c r="F13" s="1750">
        <f t="shared" si="1"/>
        <v>97293</v>
      </c>
    </row>
    <row r="14" spans="1:6" ht="13.7" customHeight="1" x14ac:dyDescent="0.2">
      <c r="A14" s="712" t="s">
        <v>410</v>
      </c>
      <c r="B14" s="1747">
        <f>SUM('Revenues 9-14'!C7:D7,'Revenues 9-14'!F7:H7)</f>
        <v>38091</v>
      </c>
      <c r="C14" s="582">
        <v>0</v>
      </c>
      <c r="D14" s="1750">
        <f t="shared" si="0"/>
        <v>38091</v>
      </c>
      <c r="E14" s="582">
        <v>38917</v>
      </c>
      <c r="F14" s="1750">
        <f t="shared" si="1"/>
        <v>38917</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173866</v>
      </c>
      <c r="C16" s="582">
        <v>0</v>
      </c>
      <c r="D16" s="1750">
        <f t="shared" si="0"/>
        <v>173866</v>
      </c>
      <c r="E16" s="582">
        <v>170010</v>
      </c>
      <c r="F16" s="1750">
        <f t="shared" si="1"/>
        <v>170010</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5953657</v>
      </c>
      <c r="C19" s="1748">
        <f>SUM(C4:C18)</f>
        <v>0</v>
      </c>
      <c r="D19" s="1748">
        <f>SUM(D4:D18)</f>
        <v>5953657</v>
      </c>
      <c r="E19" s="1748">
        <f>SUM(E4:E18)</f>
        <v>6077136</v>
      </c>
      <c r="F19" s="1748">
        <f>SUM(F4:F18)</f>
        <v>6077136</v>
      </c>
    </row>
    <row r="20" spans="1:6" ht="13.5" thickTop="1" x14ac:dyDescent="0.2">
      <c r="B20" s="710"/>
      <c r="F20" s="713"/>
    </row>
    <row r="21" spans="1:6" x14ac:dyDescent="0.2">
      <c r="A21" s="714" t="s">
        <v>1805</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71" t="s">
        <v>629</v>
      </c>
      <c r="B1" s="2369"/>
      <c r="C1" s="718"/>
    </row>
    <row r="2" spans="1:7" ht="33.75" x14ac:dyDescent="0.2">
      <c r="A2" s="2376" t="s">
        <v>1799</v>
      </c>
      <c r="B2" s="2377"/>
      <c r="C2" s="1879" t="s">
        <v>1953</v>
      </c>
      <c r="D2" s="720" t="s">
        <v>1954</v>
      </c>
      <c r="E2" s="720" t="s">
        <v>1955</v>
      </c>
      <c r="F2" s="1879" t="s">
        <v>1956</v>
      </c>
    </row>
    <row r="3" spans="1:7" ht="15.75" customHeight="1" x14ac:dyDescent="0.2">
      <c r="A3" s="2378" t="s">
        <v>1114</v>
      </c>
      <c r="B3" s="2379"/>
      <c r="C3" s="2372"/>
      <c r="D3" s="2373"/>
      <c r="E3" s="2373"/>
      <c r="F3" s="2374"/>
    </row>
    <row r="4" spans="1:7" ht="12.75" customHeight="1" thickBot="1" x14ac:dyDescent="0.25">
      <c r="A4" s="2366" t="s">
        <v>630</v>
      </c>
      <c r="B4" s="2367"/>
      <c r="C4" s="578"/>
      <c r="D4" s="578"/>
      <c r="E4" s="578"/>
      <c r="F4" s="1752">
        <f>SUM(C4+D4)-E4</f>
        <v>0</v>
      </c>
    </row>
    <row r="5" spans="1:7" ht="15.75" customHeight="1" thickTop="1" x14ac:dyDescent="0.2">
      <c r="A5" s="2370" t="s">
        <v>1110</v>
      </c>
      <c r="B5" s="2365"/>
      <c r="C5" s="2359"/>
      <c r="D5" s="2360"/>
      <c r="E5" s="2360"/>
      <c r="F5" s="2361"/>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362" t="s">
        <v>631</v>
      </c>
      <c r="B15" s="2363"/>
      <c r="C15" s="1752">
        <f>SUM(C6:C14)</f>
        <v>0</v>
      </c>
      <c r="D15" s="1752">
        <f>SUM(D6:D14)</f>
        <v>0</v>
      </c>
      <c r="E15" s="1752">
        <f>SUM(E6:E14)</f>
        <v>0</v>
      </c>
      <c r="F15" s="1752">
        <f>SUM(F6:F14)</f>
        <v>0</v>
      </c>
      <c r="G15" s="549"/>
    </row>
    <row r="16" spans="1:7" s="202" customFormat="1" ht="15.75" customHeight="1" thickTop="1" x14ac:dyDescent="0.2">
      <c r="A16" s="2375" t="s">
        <v>1111</v>
      </c>
      <c r="B16" s="2365"/>
      <c r="C16" s="2359"/>
      <c r="D16" s="2360"/>
      <c r="E16" s="2360"/>
      <c r="F16" s="2361"/>
    </row>
    <row r="17" spans="1:11" ht="12.75" customHeight="1" thickBot="1" x14ac:dyDescent="0.25">
      <c r="A17" s="2357" t="s">
        <v>64</v>
      </c>
      <c r="B17" s="2358"/>
      <c r="C17" s="723"/>
      <c r="D17" s="582"/>
      <c r="E17" s="723"/>
      <c r="F17" s="1752">
        <f>SUM(C17+D17)-E17</f>
        <v>0</v>
      </c>
    </row>
    <row r="18" spans="1:11" ht="12.75" customHeight="1" thickTop="1" thickBot="1" x14ac:dyDescent="0.25">
      <c r="A18" s="2357" t="s">
        <v>6</v>
      </c>
      <c r="B18" s="2358"/>
      <c r="C18" s="723"/>
      <c r="D18" s="582"/>
      <c r="E18" s="723"/>
      <c r="F18" s="1752">
        <f>SUM(C18+D18)-E18</f>
        <v>0</v>
      </c>
    </row>
    <row r="19" spans="1:11" ht="12.75" customHeight="1" thickTop="1" thickBot="1" x14ac:dyDescent="0.25">
      <c r="A19" s="2357" t="s">
        <v>388</v>
      </c>
      <c r="B19" s="2358"/>
      <c r="C19" s="723"/>
      <c r="D19" s="582"/>
      <c r="E19" s="723"/>
      <c r="F19" s="1752">
        <f>SUM(C19+D19)-E19</f>
        <v>0</v>
      </c>
    </row>
    <row r="20" spans="1:11" ht="12.75" customHeight="1" thickTop="1" thickBot="1" x14ac:dyDescent="0.25">
      <c r="A20" s="2357" t="s">
        <v>448</v>
      </c>
      <c r="B20" s="2358"/>
      <c r="C20" s="723"/>
      <c r="D20" s="582"/>
      <c r="E20" s="723"/>
      <c r="F20" s="1752">
        <f>SUM(C20+D20)-E20</f>
        <v>0</v>
      </c>
    </row>
    <row r="21" spans="1:11" ht="14.25" thickTop="1" thickBot="1" x14ac:dyDescent="0.25">
      <c r="A21" s="2362" t="s">
        <v>632</v>
      </c>
      <c r="B21" s="2363"/>
      <c r="C21" s="1752">
        <f>SUM(C17:C20)</f>
        <v>0</v>
      </c>
      <c r="D21" s="1752">
        <f>SUM(D17:D20)</f>
        <v>0</v>
      </c>
      <c r="E21" s="1752">
        <f>SUM(E17:E20)</f>
        <v>0</v>
      </c>
      <c r="F21" s="1752">
        <f>SUM(F17:F20)</f>
        <v>0</v>
      </c>
      <c r="G21" s="549"/>
    </row>
    <row r="22" spans="1:11" ht="15.75" customHeight="1" thickTop="1" x14ac:dyDescent="0.2">
      <c r="A22" s="2364" t="s">
        <v>1112</v>
      </c>
      <c r="B22" s="2365"/>
      <c r="C22" s="2359"/>
      <c r="D22" s="2360"/>
      <c r="E22" s="2360"/>
      <c r="F22" s="2361"/>
    </row>
    <row r="23" spans="1:11" ht="13.5" thickBot="1" x14ac:dyDescent="0.25">
      <c r="A23" s="2366" t="s">
        <v>633</v>
      </c>
      <c r="B23" s="2367"/>
      <c r="C23" s="578"/>
      <c r="D23" s="578"/>
      <c r="E23" s="578"/>
      <c r="F23" s="1752">
        <f>SUM(C23+D23)-E23</f>
        <v>0</v>
      </c>
      <c r="G23" s="549"/>
    </row>
    <row r="24" spans="1:11" ht="15.75" customHeight="1" thickTop="1" x14ac:dyDescent="0.2">
      <c r="A24" s="2364" t="s">
        <v>1113</v>
      </c>
      <c r="B24" s="2365"/>
      <c r="C24" s="2359"/>
      <c r="D24" s="2360"/>
      <c r="E24" s="2360"/>
      <c r="F24" s="2361"/>
    </row>
    <row r="25" spans="1:11" ht="13.5" thickBot="1" x14ac:dyDescent="0.25">
      <c r="A25" s="2366" t="s">
        <v>634</v>
      </c>
      <c r="B25" s="2367"/>
      <c r="C25" s="578"/>
      <c r="D25" s="578"/>
      <c r="E25" s="578"/>
      <c r="F25" s="1752">
        <f>SUM(C25+D25)-E25</f>
        <v>0</v>
      </c>
      <c r="G25" s="549"/>
    </row>
    <row r="26" spans="1:11" ht="15.75" customHeight="1" thickTop="1" x14ac:dyDescent="0.2">
      <c r="A26" s="2370" t="s">
        <v>657</v>
      </c>
      <c r="B26" s="2365"/>
      <c r="C26" s="724"/>
      <c r="D26" s="724"/>
      <c r="E26" s="724"/>
      <c r="F26" s="725"/>
    </row>
    <row r="27" spans="1:11" ht="13.5" thickBot="1" x14ac:dyDescent="0.25">
      <c r="A27" s="2362" t="s">
        <v>1070</v>
      </c>
      <c r="B27" s="2363"/>
      <c r="C27" s="582"/>
      <c r="D27" s="582"/>
      <c r="E27" s="582"/>
      <c r="F27" s="1752">
        <f>SUM(C27+D27)-E27</f>
        <v>0</v>
      </c>
      <c r="G27" s="549"/>
    </row>
    <row r="28" spans="1:11" ht="7.5" customHeight="1" thickTop="1" x14ac:dyDescent="0.2">
      <c r="A28" s="590"/>
    </row>
    <row r="29" spans="1:11" ht="23.25" customHeight="1" x14ac:dyDescent="0.2">
      <c r="A29" s="2368" t="s">
        <v>582</v>
      </c>
      <c r="B29" s="2369"/>
      <c r="C29" s="726"/>
      <c r="D29" s="726"/>
      <c r="E29" s="726"/>
      <c r="F29" s="726"/>
      <c r="G29" s="726"/>
      <c r="H29" s="726"/>
      <c r="I29" s="726"/>
      <c r="J29" s="726"/>
    </row>
    <row r="30" spans="1:11" ht="33.75" x14ac:dyDescent="0.2">
      <c r="A30" s="1526" t="s">
        <v>1071</v>
      </c>
      <c r="B30" s="727" t="s">
        <v>1124</v>
      </c>
      <c r="C30" s="1880" t="s">
        <v>583</v>
      </c>
      <c r="D30" s="1880" t="s">
        <v>1673</v>
      </c>
      <c r="E30" s="1880" t="s">
        <v>1957</v>
      </c>
      <c r="F30" s="1880" t="s">
        <v>1958</v>
      </c>
      <c r="G30" s="1880" t="s">
        <v>1908</v>
      </c>
      <c r="H30" s="1880" t="s">
        <v>1959</v>
      </c>
      <c r="I30" s="1880" t="s">
        <v>1960</v>
      </c>
      <c r="J30" s="1881" t="s">
        <v>2</v>
      </c>
      <c r="K30" s="728"/>
    </row>
    <row r="31" spans="1:11" ht="12" customHeight="1" x14ac:dyDescent="0.2">
      <c r="A31" s="729" t="s">
        <v>2079</v>
      </c>
      <c r="B31" s="730">
        <v>41176</v>
      </c>
      <c r="C31" s="731">
        <v>7570000</v>
      </c>
      <c r="D31" s="732">
        <v>3</v>
      </c>
      <c r="E31" s="731">
        <v>4335000</v>
      </c>
      <c r="F31" s="731"/>
      <c r="G31" s="731"/>
      <c r="H31" s="731">
        <v>770000</v>
      </c>
      <c r="I31" s="1753">
        <f>((E31+F31)-H31)+G31</f>
        <v>3565000</v>
      </c>
      <c r="J31" s="731">
        <f>I31-259522</f>
        <v>3305478</v>
      </c>
      <c r="K31" s="733"/>
    </row>
    <row r="32" spans="1:11" ht="12" customHeight="1" x14ac:dyDescent="0.2">
      <c r="A32" s="729" t="s">
        <v>2080</v>
      </c>
      <c r="B32" s="730"/>
      <c r="C32" s="731"/>
      <c r="D32" s="732">
        <v>7</v>
      </c>
      <c r="E32" s="731">
        <v>94635</v>
      </c>
      <c r="F32" s="731"/>
      <c r="G32" s="731">
        <v>44320</v>
      </c>
      <c r="H32" s="731">
        <v>71939</v>
      </c>
      <c r="I32" s="1753">
        <f>((E32+F32)-H32)+G32</f>
        <v>67016</v>
      </c>
      <c r="J32" s="731">
        <v>67016</v>
      </c>
      <c r="K32" s="733"/>
    </row>
    <row r="33" spans="1:11" ht="12" customHeight="1" x14ac:dyDescent="0.2">
      <c r="A33" s="729" t="s">
        <v>2201</v>
      </c>
      <c r="B33" s="730">
        <v>43454</v>
      </c>
      <c r="C33" s="731">
        <v>6645000</v>
      </c>
      <c r="D33" s="732">
        <v>4</v>
      </c>
      <c r="E33" s="731"/>
      <c r="F33" s="731">
        <v>6645000</v>
      </c>
      <c r="G33" s="731"/>
      <c r="H33" s="731"/>
      <c r="I33" s="1753">
        <f t="shared" ref="I33:I48" si="1">((E33+F33)-H33)+G33</f>
        <v>6645000</v>
      </c>
      <c r="J33" s="731">
        <f>I33-781513</f>
        <v>5863487</v>
      </c>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14215000</v>
      </c>
      <c r="D49" s="742"/>
      <c r="E49" s="1753">
        <f t="shared" ref="E49:J49" si="2">SUM(E31:E48)</f>
        <v>4429635</v>
      </c>
      <c r="F49" s="1753">
        <f t="shared" si="2"/>
        <v>6645000</v>
      </c>
      <c r="G49" s="1753">
        <f t="shared" si="2"/>
        <v>44320</v>
      </c>
      <c r="H49" s="1753">
        <f t="shared" si="2"/>
        <v>841939</v>
      </c>
      <c r="I49" s="1753">
        <f t="shared" si="2"/>
        <v>10277016</v>
      </c>
      <c r="J49" s="1753">
        <f t="shared" si="2"/>
        <v>9235981</v>
      </c>
      <c r="K49" s="734"/>
    </row>
    <row r="50" spans="1:11" ht="6" customHeight="1" x14ac:dyDescent="0.2">
      <c r="A50" s="743"/>
      <c r="B50" s="733"/>
      <c r="C50" s="733"/>
      <c r="D50" s="733"/>
      <c r="E50" s="733"/>
      <c r="F50" s="733"/>
      <c r="G50" s="733"/>
      <c r="H50" s="733"/>
      <c r="I50" s="733"/>
      <c r="J50" s="743"/>
    </row>
    <row r="51" spans="1:11" x14ac:dyDescent="0.2">
      <c r="A51" s="744" t="s">
        <v>1804</v>
      </c>
      <c r="B51" s="743"/>
      <c r="C51" s="734"/>
      <c r="D51" s="734"/>
      <c r="E51" s="734"/>
      <c r="F51" s="734"/>
      <c r="G51" s="734"/>
      <c r="H51" s="733"/>
      <c r="I51" s="733"/>
      <c r="J51" s="743"/>
    </row>
    <row r="52" spans="1:11" ht="11.25" customHeight="1" x14ac:dyDescent="0.2">
      <c r="A52" s="745" t="s">
        <v>912</v>
      </c>
      <c r="B52" s="2351" t="s">
        <v>584</v>
      </c>
      <c r="C52" s="2352"/>
      <c r="D52" s="2352"/>
      <c r="E52" s="746" t="s">
        <v>845</v>
      </c>
      <c r="F52" s="2353" t="s">
        <v>2087</v>
      </c>
      <c r="G52" s="2354"/>
      <c r="H52" s="733"/>
      <c r="I52" s="733"/>
      <c r="J52" s="743"/>
    </row>
    <row r="53" spans="1:11" ht="11.25" customHeight="1" x14ac:dyDescent="0.2">
      <c r="A53" s="747" t="s">
        <v>913</v>
      </c>
      <c r="B53" s="748" t="s">
        <v>951</v>
      </c>
      <c r="C53" s="743"/>
      <c r="D53" s="734"/>
      <c r="E53" s="746" t="s">
        <v>497</v>
      </c>
      <c r="F53" s="2355"/>
      <c r="G53" s="2356"/>
      <c r="H53" s="733"/>
      <c r="I53" s="733"/>
      <c r="J53" s="743"/>
    </row>
    <row r="54" spans="1:11" ht="11.25" customHeight="1" x14ac:dyDescent="0.2">
      <c r="A54" s="749" t="s">
        <v>914</v>
      </c>
      <c r="B54" s="744" t="s">
        <v>952</v>
      </c>
      <c r="C54" s="743"/>
      <c r="D54" s="734"/>
      <c r="E54" s="746" t="s">
        <v>498</v>
      </c>
      <c r="F54" s="2355"/>
      <c r="G54" s="2356"/>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80" t="s">
        <v>856</v>
      </c>
      <c r="B1" s="2381"/>
      <c r="C1" s="2381"/>
      <c r="D1" s="2381"/>
      <c r="E1" s="2381"/>
      <c r="F1" s="2381"/>
      <c r="G1" s="2382"/>
      <c r="H1" s="1527"/>
      <c r="I1" s="757"/>
      <c r="J1" s="433"/>
    </row>
    <row r="2" spans="1:11" ht="26.25" x14ac:dyDescent="0.2">
      <c r="A2" s="2399" t="s">
        <v>1677</v>
      </c>
      <c r="B2" s="2400"/>
      <c r="C2" s="2400"/>
      <c r="D2" s="2400"/>
      <c r="E2" s="2401"/>
      <c r="F2" s="758" t="s">
        <v>904</v>
      </c>
      <c r="G2" s="759" t="s">
        <v>1674</v>
      </c>
      <c r="H2" s="759" t="s">
        <v>410</v>
      </c>
      <c r="I2" s="759" t="s">
        <v>1158</v>
      </c>
      <c r="J2" s="759" t="s">
        <v>1809</v>
      </c>
      <c r="K2" s="759" t="s">
        <v>138</v>
      </c>
    </row>
    <row r="3" spans="1:11" x14ac:dyDescent="0.2">
      <c r="A3" s="2402" t="s">
        <v>1961</v>
      </c>
      <c r="B3" s="2403"/>
      <c r="C3" s="2403"/>
      <c r="D3" s="2403"/>
      <c r="E3" s="2404"/>
      <c r="F3" s="760"/>
      <c r="G3" s="761"/>
      <c r="H3" s="761"/>
      <c r="I3" s="761"/>
      <c r="J3" s="762"/>
      <c r="K3" s="762"/>
    </row>
    <row r="4" spans="1:11" x14ac:dyDescent="0.2">
      <c r="A4" s="2405" t="s">
        <v>369</v>
      </c>
      <c r="B4" s="2406"/>
      <c r="C4" s="2406"/>
      <c r="D4" s="2406"/>
      <c r="E4" s="2352"/>
      <c r="F4" s="763"/>
      <c r="G4" s="764"/>
      <c r="H4" s="765"/>
      <c r="I4" s="764"/>
      <c r="J4" s="766"/>
      <c r="K4" s="766"/>
    </row>
    <row r="5" spans="1:11" x14ac:dyDescent="0.2">
      <c r="A5" s="2383" t="s">
        <v>1069</v>
      </c>
      <c r="B5" s="2384"/>
      <c r="C5" s="2384"/>
      <c r="D5" s="2384"/>
      <c r="E5" s="2385"/>
      <c r="F5" s="767" t="s">
        <v>848</v>
      </c>
      <c r="G5" s="768"/>
      <c r="H5" s="761">
        <v>38091</v>
      </c>
      <c r="I5" s="769"/>
      <c r="J5" s="770"/>
      <c r="K5" s="770"/>
    </row>
    <row r="6" spans="1:11" x14ac:dyDescent="0.2">
      <c r="A6" s="771" t="s">
        <v>720</v>
      </c>
      <c r="B6" s="772"/>
      <c r="C6" s="772"/>
      <c r="D6" s="772"/>
      <c r="E6" s="773"/>
      <c r="F6" s="774" t="s">
        <v>849</v>
      </c>
      <c r="G6" s="761"/>
      <c r="H6" s="761">
        <v>28</v>
      </c>
      <c r="I6" s="761"/>
      <c r="J6" s="762"/>
      <c r="K6" s="762"/>
    </row>
    <row r="7" spans="1:11" x14ac:dyDescent="0.2">
      <c r="A7" s="775" t="s">
        <v>246</v>
      </c>
      <c r="B7" s="776"/>
      <c r="C7" s="776"/>
      <c r="D7" s="776"/>
      <c r="E7" s="777"/>
      <c r="F7" s="767" t="s">
        <v>850</v>
      </c>
      <c r="G7" s="764"/>
      <c r="H7" s="764"/>
      <c r="I7" s="764"/>
      <c r="J7" s="778"/>
      <c r="K7" s="762">
        <v>25152</v>
      </c>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v>38784</v>
      </c>
    </row>
    <row r="10" spans="1:11" x14ac:dyDescent="0.2">
      <c r="A10" s="2383" t="s">
        <v>1810</v>
      </c>
      <c r="B10" s="2384"/>
      <c r="C10" s="2384"/>
      <c r="D10" s="2384"/>
      <c r="E10" s="2386"/>
      <c r="F10" s="780" t="s">
        <v>862</v>
      </c>
      <c r="G10" s="779"/>
      <c r="H10" s="781"/>
      <c r="I10" s="761"/>
      <c r="J10" s="762"/>
      <c r="K10" s="762"/>
    </row>
    <row r="11" spans="1:11" x14ac:dyDescent="0.2">
      <c r="A11" s="2383" t="s">
        <v>160</v>
      </c>
      <c r="B11" s="2384"/>
      <c r="C11" s="2384"/>
      <c r="D11" s="2384"/>
      <c r="E11" s="2385"/>
      <c r="F11" s="767" t="s">
        <v>852</v>
      </c>
      <c r="G11" s="768"/>
      <c r="H11" s="761"/>
      <c r="I11" s="761"/>
      <c r="J11" s="762"/>
      <c r="K11" s="770"/>
    </row>
    <row r="12" spans="1:11" ht="13.5" thickBot="1" x14ac:dyDescent="0.25">
      <c r="A12" s="2410" t="s">
        <v>905</v>
      </c>
      <c r="B12" s="2411"/>
      <c r="C12" s="2411"/>
      <c r="D12" s="2411"/>
      <c r="E12" s="2412"/>
      <c r="F12" s="1754"/>
      <c r="G12" s="1755">
        <f>SUM(G5:G11)</f>
        <v>0</v>
      </c>
      <c r="H12" s="1755">
        <f>SUM(H5:H11)</f>
        <v>38119</v>
      </c>
      <c r="I12" s="1755">
        <f>SUM(I5:I11)</f>
        <v>0</v>
      </c>
      <c r="J12" s="1755">
        <f>SUM(J5:J11)</f>
        <v>0</v>
      </c>
      <c r="K12" s="1755">
        <f>SUM(K5:K11)</f>
        <v>63936</v>
      </c>
    </row>
    <row r="13" spans="1:11" ht="13.5" thickTop="1" x14ac:dyDescent="0.2">
      <c r="A13" s="2407" t="s">
        <v>370</v>
      </c>
      <c r="B13" s="2408"/>
      <c r="C13" s="2408"/>
      <c r="D13" s="2408"/>
      <c r="E13" s="2409"/>
      <c r="F13" s="782"/>
      <c r="G13" s="783"/>
      <c r="H13" s="784"/>
      <c r="I13" s="785"/>
      <c r="J13" s="785"/>
      <c r="K13" s="785"/>
    </row>
    <row r="14" spans="1:11" x14ac:dyDescent="0.2">
      <c r="A14" s="2390" t="s">
        <v>456</v>
      </c>
      <c r="B14" s="2390"/>
      <c r="C14" s="2390"/>
      <c r="D14" s="2390"/>
      <c r="E14" s="2391"/>
      <c r="F14" s="786" t="s">
        <v>854</v>
      </c>
      <c r="G14" s="779"/>
      <c r="H14" s="761">
        <v>38119</v>
      </c>
      <c r="I14" s="768"/>
      <c r="J14" s="770"/>
      <c r="K14" s="762">
        <v>63936</v>
      </c>
    </row>
    <row r="15" spans="1:11" x14ac:dyDescent="0.2">
      <c r="A15" s="2384" t="s">
        <v>4</v>
      </c>
      <c r="B15" s="2384"/>
      <c r="C15" s="2384"/>
      <c r="D15" s="2384"/>
      <c r="E15" s="2385"/>
      <c r="F15" s="786" t="s">
        <v>855</v>
      </c>
      <c r="G15" s="768"/>
      <c r="H15" s="761"/>
      <c r="I15" s="761"/>
      <c r="J15" s="762"/>
      <c r="K15" s="762"/>
    </row>
    <row r="16" spans="1:11" x14ac:dyDescent="0.2">
      <c r="A16" s="2384" t="s">
        <v>298</v>
      </c>
      <c r="B16" s="2384"/>
      <c r="C16" s="2384"/>
      <c r="D16" s="2384"/>
      <c r="E16" s="2385"/>
      <c r="F16" s="786" t="s">
        <v>923</v>
      </c>
      <c r="G16" s="769"/>
      <c r="H16" s="764"/>
      <c r="I16" s="764"/>
      <c r="J16" s="766"/>
      <c r="K16" s="766"/>
    </row>
    <row r="17" spans="1:11" x14ac:dyDescent="0.2">
      <c r="A17" s="2415" t="s">
        <v>935</v>
      </c>
      <c r="B17" s="2415"/>
      <c r="C17" s="2415"/>
      <c r="D17" s="2415"/>
      <c r="E17" s="2416"/>
      <c r="F17" s="787"/>
      <c r="G17" s="788"/>
      <c r="H17" s="789"/>
      <c r="I17" s="789"/>
      <c r="J17" s="790"/>
      <c r="K17" s="791"/>
    </row>
    <row r="18" spans="1:11" x14ac:dyDescent="0.2">
      <c r="A18" s="2394" t="s">
        <v>368</v>
      </c>
      <c r="B18" s="2395"/>
      <c r="C18" s="2395"/>
      <c r="D18" s="2395"/>
      <c r="E18" s="2396"/>
      <c r="F18" s="786" t="s">
        <v>932</v>
      </c>
      <c r="G18" s="779"/>
      <c r="H18" s="779"/>
      <c r="I18" s="779"/>
      <c r="J18" s="762"/>
      <c r="K18" s="792"/>
    </row>
    <row r="19" spans="1:11" ht="21.75" customHeight="1" x14ac:dyDescent="0.2">
      <c r="A19" s="2392" t="s">
        <v>1806</v>
      </c>
      <c r="B19" s="2392"/>
      <c r="C19" s="2392"/>
      <c r="D19" s="2392"/>
      <c r="E19" s="2393"/>
      <c r="F19" s="786" t="s">
        <v>933</v>
      </c>
      <c r="G19" s="779"/>
      <c r="H19" s="779"/>
      <c r="I19" s="779"/>
      <c r="J19" s="762"/>
      <c r="K19" s="792"/>
    </row>
    <row r="20" spans="1:11" x14ac:dyDescent="0.2">
      <c r="A20" s="2394" t="s">
        <v>1811</v>
      </c>
      <c r="B20" s="2395"/>
      <c r="C20" s="2395"/>
      <c r="D20" s="2395"/>
      <c r="E20" s="2396"/>
      <c r="F20" s="786" t="s">
        <v>934</v>
      </c>
      <c r="G20" s="779"/>
      <c r="H20" s="779"/>
      <c r="I20" s="779"/>
      <c r="J20" s="762"/>
      <c r="K20" s="792"/>
    </row>
    <row r="21" spans="1:11" ht="13.5" thickBot="1" x14ac:dyDescent="0.25">
      <c r="A21" s="2413" t="s">
        <v>638</v>
      </c>
      <c r="B21" s="2413"/>
      <c r="C21" s="2413"/>
      <c r="D21" s="2413"/>
      <c r="E21" s="2413"/>
      <c r="F21" s="1756"/>
      <c r="G21" s="789"/>
      <c r="H21" s="793"/>
      <c r="I21" s="793"/>
      <c r="J21" s="1757">
        <f>SUM(J18:J20)</f>
        <v>0</v>
      </c>
      <c r="K21" s="790"/>
    </row>
    <row r="22" spans="1:11" ht="13.5" thickTop="1" x14ac:dyDescent="0.2">
      <c r="A22" s="2384" t="s">
        <v>1812</v>
      </c>
      <c r="B22" s="2384"/>
      <c r="C22" s="2384"/>
      <c r="D22" s="2384"/>
      <c r="E22" s="2385"/>
      <c r="F22" s="786" t="s">
        <v>862</v>
      </c>
      <c r="G22" s="779"/>
      <c r="H22" s="761"/>
      <c r="I22" s="761"/>
      <c r="J22" s="794"/>
      <c r="K22" s="762"/>
    </row>
    <row r="23" spans="1:11" ht="13.5" thickBot="1" x14ac:dyDescent="0.25">
      <c r="A23" s="2414" t="s">
        <v>906</v>
      </c>
      <c r="B23" s="2413"/>
      <c r="C23" s="2413"/>
      <c r="D23" s="2413"/>
      <c r="E23" s="2413"/>
      <c r="F23" s="1758"/>
      <c r="G23" s="1755">
        <f>SUM(G14:G16,G21,G22)</f>
        <v>0</v>
      </c>
      <c r="H23" s="1755">
        <f>SUM(H14:H16,H21,H22)</f>
        <v>38119</v>
      </c>
      <c r="I23" s="1755">
        <f>SUM(I14:I16,I21,I22)</f>
        <v>0</v>
      </c>
      <c r="J23" s="1755">
        <f>SUM(J14:J16,J21,J22)</f>
        <v>0</v>
      </c>
      <c r="K23" s="1755">
        <f>SUM(K14:K16,K21,K22)</f>
        <v>63936</v>
      </c>
    </row>
    <row r="24" spans="1:11" ht="14.25" thickTop="1" thickBot="1" x14ac:dyDescent="0.25">
      <c r="A24" s="2414" t="s">
        <v>1962</v>
      </c>
      <c r="B24" s="2413"/>
      <c r="C24" s="2413"/>
      <c r="D24" s="2413"/>
      <c r="E24" s="2413"/>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5" t="s">
        <v>1907</v>
      </c>
      <c r="B28" s="1876"/>
      <c r="C28" s="1876"/>
      <c r="D28" s="1876"/>
      <c r="E28" s="1877"/>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87"/>
      <c r="I31" s="2388"/>
      <c r="J31" s="2388"/>
      <c r="K31" s="2388"/>
    </row>
    <row r="32" spans="1:11" x14ac:dyDescent="0.2">
      <c r="A32" s="806"/>
      <c r="B32" s="237"/>
      <c r="C32" s="237"/>
      <c r="D32" s="237"/>
      <c r="E32" s="802"/>
      <c r="F32" s="808" t="s">
        <v>540</v>
      </c>
      <c r="G32" s="761"/>
      <c r="H32" s="2389"/>
      <c r="I32" s="2388"/>
      <c r="J32" s="2388"/>
      <c r="K32" s="2388"/>
    </row>
    <row r="33" spans="1:11" ht="1.5" customHeight="1" x14ac:dyDescent="0.2">
      <c r="A33" s="809" t="s">
        <v>1169</v>
      </c>
      <c r="B33" s="364"/>
      <c r="C33" s="364"/>
      <c r="D33" s="364"/>
      <c r="E33" s="364"/>
      <c r="F33" s="364"/>
      <c r="G33" s="810"/>
      <c r="H33" s="2389"/>
      <c r="I33" s="2388"/>
      <c r="J33" s="2388"/>
      <c r="K33" s="2388"/>
    </row>
    <row r="34" spans="1:11" x14ac:dyDescent="0.2">
      <c r="A34" s="811" t="s">
        <v>1813</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84" t="s">
        <v>541</v>
      </c>
      <c r="B41" s="2397"/>
      <c r="C41" s="2397"/>
      <c r="D41" s="2397"/>
      <c r="E41" s="2397"/>
      <c r="F41" s="2398"/>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1807</v>
      </c>
      <c r="B46" s="408" t="s">
        <v>1675</v>
      </c>
    </row>
    <row r="47" spans="1:11" s="820" customFormat="1" ht="12.75" customHeight="1" x14ac:dyDescent="0.2">
      <c r="A47" s="818"/>
      <c r="B47" s="819" t="s">
        <v>1676</v>
      </c>
      <c r="E47" s="819"/>
      <c r="K47" s="821"/>
    </row>
    <row r="48" spans="1:11" ht="12.75" customHeight="1" x14ac:dyDescent="0.2">
      <c r="A48" s="1529"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19" t="s">
        <v>1906</v>
      </c>
      <c r="B1" s="2420"/>
      <c r="C1" s="2421"/>
      <c r="D1" s="823"/>
      <c r="E1" s="824"/>
      <c r="F1" s="824"/>
      <c r="G1" s="825"/>
      <c r="H1" s="826"/>
      <c r="I1" s="827"/>
      <c r="J1" s="2417"/>
      <c r="K1" s="2418"/>
      <c r="L1" s="2418"/>
    </row>
    <row r="2" spans="1:14" ht="69.75" customHeight="1" x14ac:dyDescent="0.2">
      <c r="A2" s="828" t="s">
        <v>1678</v>
      </c>
      <c r="B2" s="829" t="s">
        <v>378</v>
      </c>
      <c r="C2" s="830" t="s">
        <v>1963</v>
      </c>
      <c r="D2" s="830" t="s">
        <v>1964</v>
      </c>
      <c r="E2" s="830" t="s">
        <v>1965</v>
      </c>
      <c r="F2" s="830" t="s">
        <v>1966</v>
      </c>
      <c r="G2" s="830" t="s">
        <v>605</v>
      </c>
      <c r="H2" s="830" t="s">
        <v>1967</v>
      </c>
      <c r="I2" s="830" t="s">
        <v>1968</v>
      </c>
      <c r="J2" s="830" t="s">
        <v>1969</v>
      </c>
      <c r="K2" s="830" t="s">
        <v>1970</v>
      </c>
      <c r="L2" s="830" t="s">
        <v>1971</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1547158</v>
      </c>
      <c r="D5" s="838"/>
      <c r="E5" s="838"/>
      <c r="F5" s="1757">
        <f>(C5+D5)-E5</f>
        <v>1547158</v>
      </c>
      <c r="G5" s="834"/>
      <c r="H5" s="839"/>
      <c r="I5" s="839"/>
      <c r="J5" s="839"/>
      <c r="K5" s="790"/>
      <c r="L5" s="1766">
        <f>F5-K5</f>
        <v>1547158</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40125545</v>
      </c>
      <c r="D8" s="841">
        <v>98692</v>
      </c>
      <c r="E8" s="841"/>
      <c r="F8" s="1757">
        <f>(C8+D8)-E8</f>
        <v>40224237</v>
      </c>
      <c r="G8" s="840">
        <v>50</v>
      </c>
      <c r="H8" s="762">
        <v>14708229</v>
      </c>
      <c r="I8" s="762">
        <v>804485</v>
      </c>
      <c r="J8" s="762"/>
      <c r="K8" s="1766">
        <f>(H8+I8)-J8</f>
        <v>15512714</v>
      </c>
      <c r="L8" s="1766">
        <f>F8-K8</f>
        <v>24711523</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1179652</v>
      </c>
      <c r="D10" s="843">
        <v>256814</v>
      </c>
      <c r="E10" s="843"/>
      <c r="F10" s="1761">
        <f>(C10+D10)-E10</f>
        <v>1436466</v>
      </c>
      <c r="G10" s="840">
        <v>20</v>
      </c>
      <c r="H10" s="844">
        <v>287861</v>
      </c>
      <c r="I10" s="844">
        <v>65672</v>
      </c>
      <c r="J10" s="844"/>
      <c r="K10" s="1766">
        <f>(H10+I10)-J10</f>
        <v>353533</v>
      </c>
      <c r="L10" s="1766">
        <f>F10-K10</f>
        <v>1082933</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1277257</v>
      </c>
      <c r="D12" s="841">
        <v>181062</v>
      </c>
      <c r="E12" s="841">
        <v>193876</v>
      </c>
      <c r="F12" s="1757">
        <f>(C12+D12)-E12</f>
        <v>1264443</v>
      </c>
      <c r="G12" s="840">
        <v>10</v>
      </c>
      <c r="H12" s="762">
        <v>875645</v>
      </c>
      <c r="I12" s="762">
        <v>136130</v>
      </c>
      <c r="J12" s="762">
        <v>193876</v>
      </c>
      <c r="K12" s="1766">
        <f>(H12+I12)-J12</f>
        <v>817899</v>
      </c>
      <c r="L12" s="1766">
        <f>F12-K12</f>
        <v>446544</v>
      </c>
    </row>
    <row r="13" spans="1:14" ht="14.25" thickTop="1" thickBot="1" x14ac:dyDescent="0.25">
      <c r="A13" s="845" t="s">
        <v>1122</v>
      </c>
      <c r="B13" s="837">
        <v>252</v>
      </c>
      <c r="C13" s="841">
        <v>87706</v>
      </c>
      <c r="D13" s="841">
        <v>52562</v>
      </c>
      <c r="E13" s="841"/>
      <c r="F13" s="1757">
        <f>(C13+D13)-E13</f>
        <v>140268</v>
      </c>
      <c r="G13" s="840">
        <v>5</v>
      </c>
      <c r="H13" s="762">
        <v>87706</v>
      </c>
      <c r="I13" s="762">
        <v>10512</v>
      </c>
      <c r="J13" s="762"/>
      <c r="K13" s="1766">
        <f>(H13+I13)-J13</f>
        <v>98218</v>
      </c>
      <c r="L13" s="1766">
        <f>F13-K13</f>
        <v>42050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23327</v>
      </c>
      <c r="D15" s="841">
        <v>1570710</v>
      </c>
      <c r="E15" s="841">
        <v>23327</v>
      </c>
      <c r="F15" s="1757">
        <f>(C15+D15)-E15</f>
        <v>1570710</v>
      </c>
      <c r="G15" s="846" t="s">
        <v>862</v>
      </c>
      <c r="H15" s="778"/>
      <c r="I15" s="778"/>
      <c r="J15" s="778"/>
      <c r="K15" s="778"/>
      <c r="L15" s="1766">
        <f>F15-K15</f>
        <v>1570710</v>
      </c>
    </row>
    <row r="16" spans="1:14" ht="15" customHeight="1" thickTop="1" thickBot="1" x14ac:dyDescent="0.25">
      <c r="A16" s="1762" t="s">
        <v>643</v>
      </c>
      <c r="B16" s="1763">
        <v>200</v>
      </c>
      <c r="C16" s="1757">
        <f>SUM(C3,C5:C6,C8:C10,C12:C15)</f>
        <v>44240645</v>
      </c>
      <c r="D16" s="1757">
        <f>SUM(D3,D5:D6,D8:D10,D12:D15)</f>
        <v>2159840</v>
      </c>
      <c r="E16" s="1757">
        <f>SUM(E3,E5:E6,E8:E10,E12:E15)</f>
        <v>217203</v>
      </c>
      <c r="F16" s="1757">
        <f>SUM(F3,F5:F6,F8:F10,F12:F15)</f>
        <v>46183282</v>
      </c>
      <c r="G16" s="840"/>
      <c r="H16" s="1757">
        <f>SUM(H3,H6,H8:H10,H12:H14,)</f>
        <v>15959441</v>
      </c>
      <c r="I16" s="1757">
        <f>SUM(I3,I6,I8:I10,I12:I14,)</f>
        <v>1016799</v>
      </c>
      <c r="J16" s="1757">
        <f>SUM(J3,J6,J8:J10,J12:J14,)</f>
        <v>193876</v>
      </c>
      <c r="K16" s="1757">
        <f>(H16+I16)-J16</f>
        <v>16782364</v>
      </c>
      <c r="L16" s="1757">
        <f>F16-K16</f>
        <v>29400918</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24890</v>
      </c>
      <c r="G17" s="834">
        <v>10</v>
      </c>
      <c r="H17" s="766"/>
      <c r="I17" s="1766">
        <f>F17/G17</f>
        <v>2489</v>
      </c>
      <c r="J17" s="766"/>
      <c r="K17" s="792"/>
      <c r="L17" s="792"/>
    </row>
    <row r="18" spans="1:12" ht="14.25" thickTop="1" thickBot="1" x14ac:dyDescent="0.25">
      <c r="A18" s="1764" t="s">
        <v>685</v>
      </c>
      <c r="B18" s="1765"/>
      <c r="C18" s="768"/>
      <c r="D18" s="768"/>
      <c r="E18" s="768"/>
      <c r="F18" s="847"/>
      <c r="G18" s="848"/>
      <c r="H18" s="770"/>
      <c r="I18" s="1757">
        <f>SUM(I16,I17)</f>
        <v>1019288</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1" sqref="A41:F4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425" t="s">
        <v>1972</v>
      </c>
      <c r="B1" s="2426"/>
      <c r="C1" s="2426"/>
      <c r="D1" s="2426"/>
      <c r="E1" s="2426"/>
      <c r="F1" s="2427"/>
      <c r="G1" s="852"/>
    </row>
    <row r="2" spans="1:7" ht="15" customHeight="1" thickBot="1" x14ac:dyDescent="0.25">
      <c r="A2" s="2428" t="s">
        <v>477</v>
      </c>
      <c r="B2" s="2429"/>
      <c r="C2" s="2429"/>
      <c r="D2" s="2429"/>
      <c r="E2" s="2429"/>
      <c r="F2" s="2430"/>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431"/>
      <c r="B5" s="2432"/>
      <c r="C5" s="2432"/>
      <c r="D5" s="2432"/>
      <c r="E5" s="2432"/>
      <c r="F5" s="2432"/>
    </row>
    <row r="6" spans="1:7" ht="13.5" customHeight="1" thickBot="1" x14ac:dyDescent="0.25">
      <c r="A6" s="2422" t="s">
        <v>1104</v>
      </c>
      <c r="B6" s="2423"/>
      <c r="C6" s="2423"/>
      <c r="D6" s="2423"/>
      <c r="E6" s="2423"/>
      <c r="F6" s="2424"/>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3">
        <f>'Expenditures 15-22'!K114</f>
        <v>9248558</v>
      </c>
      <c r="G8" s="862"/>
    </row>
    <row r="9" spans="1:7" x14ac:dyDescent="0.2">
      <c r="A9" s="866" t="s">
        <v>460</v>
      </c>
      <c r="B9" s="867" t="s">
        <v>1874</v>
      </c>
      <c r="C9" s="868"/>
      <c r="D9" s="866" t="s">
        <v>501</v>
      </c>
      <c r="E9" s="865"/>
      <c r="F9" s="1904">
        <f>'Expenditures 15-22'!K151</f>
        <v>957772</v>
      </c>
      <c r="G9" s="869"/>
    </row>
    <row r="10" spans="1:7" x14ac:dyDescent="0.2">
      <c r="A10" s="866" t="s">
        <v>499</v>
      </c>
      <c r="B10" s="867" t="s">
        <v>1875</v>
      </c>
      <c r="C10" s="868"/>
      <c r="D10" s="866" t="s">
        <v>501</v>
      </c>
      <c r="E10" s="865"/>
      <c r="F10" s="1904">
        <f>'Expenditures 15-22'!K174</f>
        <v>944811</v>
      </c>
      <c r="G10" s="869"/>
    </row>
    <row r="11" spans="1:7" x14ac:dyDescent="0.2">
      <c r="A11" s="866" t="s">
        <v>461</v>
      </c>
      <c r="B11" s="867" t="s">
        <v>1876</v>
      </c>
      <c r="C11" s="868"/>
      <c r="D11" s="866" t="s">
        <v>501</v>
      </c>
      <c r="E11" s="865"/>
      <c r="F11" s="1904">
        <f>'Expenditures 15-22'!K210</f>
        <v>697938</v>
      </c>
      <c r="G11" s="869"/>
    </row>
    <row r="12" spans="1:7" x14ac:dyDescent="0.2">
      <c r="A12" s="866" t="s">
        <v>462</v>
      </c>
      <c r="B12" s="867" t="s">
        <v>1877</v>
      </c>
      <c r="C12" s="868"/>
      <c r="D12" s="866" t="s">
        <v>501</v>
      </c>
      <c r="E12" s="865"/>
      <c r="F12" s="1904">
        <f>'Expenditures 15-22'!K295</f>
        <v>282683</v>
      </c>
      <c r="G12" s="869"/>
    </row>
    <row r="13" spans="1:7" x14ac:dyDescent="0.2">
      <c r="A13" s="866" t="s">
        <v>106</v>
      </c>
      <c r="B13" s="867" t="s">
        <v>1878</v>
      </c>
      <c r="C13" s="868"/>
      <c r="D13" s="866" t="s">
        <v>501</v>
      </c>
      <c r="E13" s="865"/>
      <c r="F13" s="1904">
        <f>'Expenditures 15-22'!K342</f>
        <v>736797</v>
      </c>
      <c r="G13" s="870"/>
    </row>
    <row r="14" spans="1:7" ht="12" customHeight="1" thickBot="1" x14ac:dyDescent="0.25">
      <c r="A14" s="1767"/>
      <c r="B14" s="1768"/>
      <c r="C14" s="1769"/>
      <c r="D14" s="1770" t="s">
        <v>501</v>
      </c>
      <c r="E14" s="1771" t="s">
        <v>958</v>
      </c>
      <c r="F14" s="1772">
        <f>SUM(F8:F13)</f>
        <v>12868559</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5">
        <f>'Revenues 9-14'!F43</f>
        <v>0</v>
      </c>
      <c r="G18" s="862"/>
    </row>
    <row r="19" spans="1:7" x14ac:dyDescent="0.2">
      <c r="A19" s="866" t="s">
        <v>461</v>
      </c>
      <c r="B19" s="867" t="s">
        <v>1011</v>
      </c>
      <c r="C19" s="874">
        <f>'Revenues 9-14'!B47</f>
        <v>1421</v>
      </c>
      <c r="D19" s="875" t="str">
        <f>'Revenues 9-14'!A47</f>
        <v>Summer Sch - Transp. Fees from Pupils or Parents (In State)</v>
      </c>
      <c r="E19" s="876"/>
      <c r="F19" s="1906">
        <f>'Revenues 9-14'!F47</f>
        <v>0</v>
      </c>
      <c r="G19" s="862"/>
    </row>
    <row r="20" spans="1:7" x14ac:dyDescent="0.2">
      <c r="A20" s="866" t="s">
        <v>461</v>
      </c>
      <c r="B20" s="867" t="s">
        <v>1012</v>
      </c>
      <c r="C20" s="872">
        <f>'Revenues 9-14'!B48</f>
        <v>1422</v>
      </c>
      <c r="D20" s="873" t="str">
        <f>'Revenues 9-14'!A48</f>
        <v>Summer Sch - Transp. Fees from Other Districts (In State)</v>
      </c>
      <c r="E20" s="865"/>
      <c r="F20" s="1907">
        <f>'Revenues 9-14'!F48</f>
        <v>0</v>
      </c>
      <c r="G20" s="862"/>
    </row>
    <row r="21" spans="1:7" x14ac:dyDescent="0.2">
      <c r="A21" s="866" t="s">
        <v>461</v>
      </c>
      <c r="B21" s="867" t="s">
        <v>1013</v>
      </c>
      <c r="C21" s="874">
        <f>'Revenues 9-14'!B49</f>
        <v>1423</v>
      </c>
      <c r="D21" s="873" t="str">
        <f>'Revenues 9-14'!A49</f>
        <v>Summer Sch - Transp. Fees from Other Sources (In State)</v>
      </c>
      <c r="E21" s="865"/>
      <c r="F21" s="1908">
        <f>'Revenues 9-14'!F49</f>
        <v>0</v>
      </c>
      <c r="G21" s="862"/>
    </row>
    <row r="22" spans="1:7" x14ac:dyDescent="0.2">
      <c r="A22" s="866" t="s">
        <v>461</v>
      </c>
      <c r="B22" s="867" t="s">
        <v>1014</v>
      </c>
      <c r="C22" s="874">
        <f>'Revenues 9-14'!B50</f>
        <v>1424</v>
      </c>
      <c r="D22" s="873" t="str">
        <f>'Revenues 9-14'!A50</f>
        <v>Summer Sch - Transp. Fees from Other Sources (Out of State)</v>
      </c>
      <c r="E22" s="865"/>
      <c r="F22" s="1908">
        <f>'Revenues 9-14'!F50</f>
        <v>0</v>
      </c>
      <c r="G22" s="862"/>
    </row>
    <row r="23" spans="1:7" x14ac:dyDescent="0.2">
      <c r="A23" s="866" t="s">
        <v>461</v>
      </c>
      <c r="B23" s="867" t="s">
        <v>1015</v>
      </c>
      <c r="C23" s="872">
        <f>'Revenues 9-14'!B52</f>
        <v>1432</v>
      </c>
      <c r="D23" s="873" t="str">
        <f>'Revenues 9-14'!A52</f>
        <v>CTE - Transp Fees from Other Districts (In State)</v>
      </c>
      <c r="E23" s="865"/>
      <c r="F23" s="1908">
        <f>'Revenues 9-14'!F52</f>
        <v>0</v>
      </c>
      <c r="G23" s="862"/>
    </row>
    <row r="24" spans="1:7" x14ac:dyDescent="0.2">
      <c r="A24" s="866" t="s">
        <v>461</v>
      </c>
      <c r="B24" s="867" t="s">
        <v>1016</v>
      </c>
      <c r="C24" s="872">
        <f>'Revenues 9-14'!B56</f>
        <v>1442</v>
      </c>
      <c r="D24" s="873" t="str">
        <f>'Revenues 9-14'!A56</f>
        <v>Special Ed - Transp Fees from Other Districts (In State)</v>
      </c>
      <c r="E24" s="865"/>
      <c r="F24" s="1908">
        <f>'Revenues 9-14'!F56</f>
        <v>0</v>
      </c>
      <c r="G24" s="862"/>
    </row>
    <row r="25" spans="1:7" x14ac:dyDescent="0.2">
      <c r="A25" s="866" t="s">
        <v>461</v>
      </c>
      <c r="B25" s="867" t="s">
        <v>1017</v>
      </c>
      <c r="C25" s="872">
        <f>'Revenues 9-14'!B59</f>
        <v>1451</v>
      </c>
      <c r="D25" s="873" t="str">
        <f>'Revenues 9-14'!A59</f>
        <v>Adult - Transp Fees from Pupils or Parents (In State)</v>
      </c>
      <c r="E25" s="865"/>
      <c r="F25" s="1908">
        <f>'Revenues 9-14'!F59</f>
        <v>0</v>
      </c>
      <c r="G25" s="862"/>
    </row>
    <row r="26" spans="1:7" x14ac:dyDescent="0.2">
      <c r="A26" s="866" t="s">
        <v>461</v>
      </c>
      <c r="B26" s="867" t="s">
        <v>1018</v>
      </c>
      <c r="C26" s="872">
        <f>'Revenues 9-14'!B60</f>
        <v>1452</v>
      </c>
      <c r="D26" s="873" t="str">
        <f>'Revenues 9-14'!A60</f>
        <v>Adult - Transp Fees from Other Districts (In State)</v>
      </c>
      <c r="E26" s="865"/>
      <c r="F26" s="1908">
        <f>'Revenues 9-14'!F60</f>
        <v>0</v>
      </c>
      <c r="G26" s="862"/>
    </row>
    <row r="27" spans="1:7" x14ac:dyDescent="0.2">
      <c r="A27" s="866" t="s">
        <v>461</v>
      </c>
      <c r="B27" s="867" t="s">
        <v>1019</v>
      </c>
      <c r="C27" s="872">
        <f>'Revenues 9-14'!B61</f>
        <v>1453</v>
      </c>
      <c r="D27" s="873" t="str">
        <f>'Revenues 9-14'!A61</f>
        <v>Adult - Transp Fees from Other Sources (In State)</v>
      </c>
      <c r="E27" s="865"/>
      <c r="F27" s="1908">
        <f>'Revenues 9-14'!F61</f>
        <v>0</v>
      </c>
      <c r="G27" s="862"/>
    </row>
    <row r="28" spans="1:7" x14ac:dyDescent="0.2">
      <c r="A28" s="866" t="s">
        <v>461</v>
      </c>
      <c r="B28" s="867" t="s">
        <v>1020</v>
      </c>
      <c r="C28" s="872">
        <f>'Revenues 9-14'!B62</f>
        <v>1454</v>
      </c>
      <c r="D28" s="873" t="str">
        <f>'Revenues 9-14'!A62</f>
        <v>Adult - Transp Fees from Other Sources (Out of State)</v>
      </c>
      <c r="E28" s="865"/>
      <c r="F28" s="1908">
        <f>'Revenues 9-14'!F62</f>
        <v>0</v>
      </c>
      <c r="G28" s="862"/>
    </row>
    <row r="29" spans="1:7" x14ac:dyDescent="0.2">
      <c r="A29" s="866" t="s">
        <v>1097</v>
      </c>
      <c r="B29" s="867" t="s">
        <v>810</v>
      </c>
      <c r="C29" s="877">
        <f>'Revenues 9-14'!B149</f>
        <v>3410</v>
      </c>
      <c r="D29" s="878" t="str">
        <f>'Revenues 9-14'!A149</f>
        <v>Adult Ed (from ICCB)</v>
      </c>
      <c r="E29" s="865"/>
      <c r="F29" s="1908">
        <f>SUM('Revenues 9-14'!D149,'Revenues 9-14'!F149)</f>
        <v>0</v>
      </c>
      <c r="G29" s="862"/>
    </row>
    <row r="30" spans="1:7" x14ac:dyDescent="0.2">
      <c r="A30" s="866" t="s">
        <v>1097</v>
      </c>
      <c r="B30" s="867" t="s">
        <v>1996</v>
      </c>
      <c r="C30" s="877">
        <f>'Revenues 9-14'!B150</f>
        <v>3499</v>
      </c>
      <c r="D30" s="878" t="str">
        <f>'Revenues 9-14'!A150</f>
        <v>Adult Ed - Other (Describe &amp; Itemize)</v>
      </c>
      <c r="E30" s="865"/>
      <c r="F30" s="1909">
        <f>('Revenues 9-14'!D150+'Revenues 9-14'!F150)</f>
        <v>0</v>
      </c>
      <c r="G30" s="862"/>
    </row>
    <row r="31" spans="1:7" x14ac:dyDescent="0.2">
      <c r="A31" s="866" t="s">
        <v>1097</v>
      </c>
      <c r="B31" s="867" t="s">
        <v>1997</v>
      </c>
      <c r="C31" s="872">
        <f>'Revenues 9-14'!B211</f>
        <v>4600</v>
      </c>
      <c r="D31" s="880" t="str">
        <f>'Revenues 9-14'!A211</f>
        <v>Fed - Spec Education - Preschool Flow-Through</v>
      </c>
      <c r="E31" s="881"/>
      <c r="F31" s="1908">
        <f>SUM('Revenues 9-14'!D211,'Revenues 9-14'!F211)</f>
        <v>0</v>
      </c>
      <c r="G31" s="862"/>
    </row>
    <row r="32" spans="1:7" x14ac:dyDescent="0.2">
      <c r="A32" s="866" t="s">
        <v>1097</v>
      </c>
      <c r="B32" s="867" t="s">
        <v>1998</v>
      </c>
      <c r="C32" s="872">
        <f>'Revenues 9-14'!B212</f>
        <v>4605</v>
      </c>
      <c r="D32" s="882" t="str">
        <f>'Revenues 9-14'!A212</f>
        <v>Fed - Spec Education - Preschool Discretionary</v>
      </c>
      <c r="E32" s="881"/>
      <c r="F32" s="1908">
        <f>SUM('Revenues 9-14'!D212,'Revenues 9-14'!F212)</f>
        <v>0</v>
      </c>
      <c r="G32" s="862"/>
    </row>
    <row r="33" spans="1:7" x14ac:dyDescent="0.2">
      <c r="A33" s="866" t="s">
        <v>460</v>
      </c>
      <c r="B33" s="867" t="s">
        <v>1999</v>
      </c>
      <c r="C33" s="872">
        <f>'Revenues 9-14'!B222</f>
        <v>4810</v>
      </c>
      <c r="D33" s="880" t="str">
        <f>'Revenues 9-14'!A222</f>
        <v>Federal - Adult Education</v>
      </c>
      <c r="E33" s="865"/>
      <c r="F33" s="1908">
        <f>'Revenues 9-14'!D222</f>
        <v>0</v>
      </c>
      <c r="G33" s="862"/>
    </row>
    <row r="34" spans="1:7" x14ac:dyDescent="0.2">
      <c r="A34" s="866" t="s">
        <v>459</v>
      </c>
      <c r="B34" s="866" t="s">
        <v>1469</v>
      </c>
      <c r="C34" s="883" t="str">
        <f>'Expenditures 15-22'!B7</f>
        <v>1125</v>
      </c>
      <c r="D34" s="884" t="str">
        <f>'Expenditures 15-22'!A7</f>
        <v>Pre-K Programs</v>
      </c>
      <c r="E34" s="865"/>
      <c r="F34" s="1908">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08">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08">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8">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8">
        <f>'Expenditures 15-22'!K15-SUM('Expenditures 15-22'!G15,'Expenditures 15-22'!I15)</f>
        <v>5187</v>
      </c>
      <c r="G38" s="862"/>
    </row>
    <row r="39" spans="1:7" x14ac:dyDescent="0.2">
      <c r="A39" s="866" t="s">
        <v>459</v>
      </c>
      <c r="B39" s="866" t="s">
        <v>117</v>
      </c>
      <c r="C39" s="883" t="str">
        <f>'Expenditures 15-22'!B20</f>
        <v>1910</v>
      </c>
      <c r="D39" s="885" t="str">
        <f>'Expenditures 15-22'!A20</f>
        <v>Pre-K Programs - Private Tuition</v>
      </c>
      <c r="E39" s="865"/>
      <c r="F39" s="1908">
        <f>'Expenditures 15-22'!K20</f>
        <v>0</v>
      </c>
      <c r="G39" s="862"/>
    </row>
    <row r="40" spans="1:7" x14ac:dyDescent="0.2">
      <c r="A40" s="866" t="s">
        <v>459</v>
      </c>
      <c r="B40" s="866" t="s">
        <v>118</v>
      </c>
      <c r="C40" s="883" t="str">
        <f>'Expenditures 15-22'!B21</f>
        <v>1911</v>
      </c>
      <c r="D40" s="885" t="str">
        <f>'Expenditures 15-22'!A21</f>
        <v>Regular K-12 Programs - Private Tuition</v>
      </c>
      <c r="E40" s="865"/>
      <c r="F40" s="1908">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8">
        <f>'Expenditures 15-22'!K22</f>
        <v>688329</v>
      </c>
      <c r="G41" s="862"/>
    </row>
    <row r="42" spans="1:7" x14ac:dyDescent="0.2">
      <c r="A42" s="866" t="s">
        <v>459</v>
      </c>
      <c r="B42" s="866" t="s">
        <v>120</v>
      </c>
      <c r="C42" s="886" t="str">
        <f>'Expenditures 15-22'!B23</f>
        <v>1913</v>
      </c>
      <c r="D42" s="885" t="str">
        <f>'Expenditures 15-22'!A23</f>
        <v>Special Education Programs Pre-K - Tuition</v>
      </c>
      <c r="E42" s="865"/>
      <c r="F42" s="1908">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8">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8">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8">
        <f>'Expenditures 15-22'!K26</f>
        <v>0</v>
      </c>
      <c r="G45" s="862"/>
    </row>
    <row r="46" spans="1:7" x14ac:dyDescent="0.2">
      <c r="A46" s="866" t="s">
        <v>459</v>
      </c>
      <c r="B46" s="866" t="s">
        <v>124</v>
      </c>
      <c r="C46" s="883" t="str">
        <f>'Expenditures 15-22'!B27</f>
        <v>1917</v>
      </c>
      <c r="D46" s="885" t="str">
        <f>'Expenditures 15-22'!A27</f>
        <v>CTE Programs - Private Tuition</v>
      </c>
      <c r="E46" s="865"/>
      <c r="F46" s="1908">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8">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8">
        <f>'Expenditures 15-22'!K29</f>
        <v>0</v>
      </c>
      <c r="G48" s="862"/>
    </row>
    <row r="49" spans="1:7" x14ac:dyDescent="0.2">
      <c r="A49" s="866" t="s">
        <v>459</v>
      </c>
      <c r="B49" s="866" t="s">
        <v>127</v>
      </c>
      <c r="C49" s="883" t="str">
        <f>'Expenditures 15-22'!B30</f>
        <v>1920</v>
      </c>
      <c r="D49" s="885" t="str">
        <f>'Expenditures 15-22'!A30</f>
        <v>Gifted Programs - Private Tuition</v>
      </c>
      <c r="E49" s="865"/>
      <c r="F49" s="1908">
        <f>'Expenditures 15-22'!K30</f>
        <v>0</v>
      </c>
      <c r="G49" s="862"/>
    </row>
    <row r="50" spans="1:7" x14ac:dyDescent="0.2">
      <c r="A50" s="866" t="s">
        <v>459</v>
      </c>
      <c r="B50" s="866" t="s">
        <v>128</v>
      </c>
      <c r="C50" s="883" t="str">
        <f>'Expenditures 15-22'!B31</f>
        <v>1921</v>
      </c>
      <c r="D50" s="885" t="str">
        <f>'Expenditures 15-22'!A31</f>
        <v>Bilingual Programs - Private Tuition</v>
      </c>
      <c r="E50" s="865"/>
      <c r="F50" s="1908">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8">
        <f>'Expenditures 15-22'!K32</f>
        <v>0</v>
      </c>
      <c r="G51" s="862"/>
    </row>
    <row r="52" spans="1:7" x14ac:dyDescent="0.2">
      <c r="A52" s="866" t="s">
        <v>459</v>
      </c>
      <c r="B52" s="866" t="s">
        <v>1474</v>
      </c>
      <c r="C52" s="886" t="str">
        <f>'Expenditures 15-22'!B75</f>
        <v>3000</v>
      </c>
      <c r="D52" s="885" t="s">
        <v>449</v>
      </c>
      <c r="E52" s="865"/>
      <c r="F52" s="1908">
        <f>'Expenditures 15-22'!K75-SUM('Expenditures 15-22'!G75,'Expenditures 15-22'!I75)</f>
        <v>1941</v>
      </c>
      <c r="G52" s="862"/>
    </row>
    <row r="53" spans="1:7" x14ac:dyDescent="0.2">
      <c r="A53" s="866" t="s">
        <v>459</v>
      </c>
      <c r="B53" s="866" t="s">
        <v>1475</v>
      </c>
      <c r="C53" s="886">
        <f>'Expenditures 15-22'!B102</f>
        <v>4000</v>
      </c>
      <c r="D53" s="885" t="str">
        <f>'Expenditures 15-22'!A102</f>
        <v>Total Payments to Other Govt Units</v>
      </c>
      <c r="E53" s="865"/>
      <c r="F53" s="1908">
        <f>'Expenditures 15-22'!K102</f>
        <v>230450</v>
      </c>
      <c r="G53" s="862"/>
    </row>
    <row r="54" spans="1:7" x14ac:dyDescent="0.2">
      <c r="A54" s="866" t="s">
        <v>459</v>
      </c>
      <c r="B54" s="866" t="s">
        <v>1476</v>
      </c>
      <c r="C54" s="886" t="s">
        <v>982</v>
      </c>
      <c r="D54" s="882" t="s">
        <v>1095</v>
      </c>
      <c r="E54" s="865"/>
      <c r="F54" s="1908">
        <f>'Expenditures 15-22'!G114</f>
        <v>125082</v>
      </c>
      <c r="G54" s="862"/>
    </row>
    <row r="55" spans="1:7" x14ac:dyDescent="0.2">
      <c r="A55" s="866" t="s">
        <v>459</v>
      </c>
      <c r="B55" s="866" t="s">
        <v>1477</v>
      </c>
      <c r="C55" s="886" t="s">
        <v>982</v>
      </c>
      <c r="D55" s="882" t="s">
        <v>291</v>
      </c>
      <c r="E55" s="865"/>
      <c r="F55" s="1908">
        <f>'Expenditures 15-22'!I114</f>
        <v>23260</v>
      </c>
      <c r="G55" s="862"/>
    </row>
    <row r="56" spans="1:7" x14ac:dyDescent="0.2">
      <c r="A56" s="866" t="s">
        <v>460</v>
      </c>
      <c r="B56" s="866" t="s">
        <v>1478</v>
      </c>
      <c r="C56" s="883" t="str">
        <f>'Expenditures 15-22'!B130</f>
        <v>3000</v>
      </c>
      <c r="D56" s="889" t="s">
        <v>449</v>
      </c>
      <c r="E56" s="865"/>
      <c r="F56" s="1908">
        <f>'Expenditures 15-22'!K130-SUM('Expenditures 15-22'!G130+'Expenditures 15-22'!I130)</f>
        <v>0</v>
      </c>
      <c r="G56" s="862"/>
    </row>
    <row r="57" spans="1:7" x14ac:dyDescent="0.2">
      <c r="A57" s="866" t="s">
        <v>460</v>
      </c>
      <c r="B57" s="866" t="s">
        <v>1879</v>
      </c>
      <c r="C57" s="886">
        <f>'Expenditures 15-22'!B139</f>
        <v>4000</v>
      </c>
      <c r="D57" s="884" t="str">
        <f>'Expenditures 15-22'!A139</f>
        <v>Total Payments to Other Govt Units</v>
      </c>
      <c r="E57" s="865"/>
      <c r="F57" s="1908">
        <f>'Expenditures 15-22'!K139</f>
        <v>0</v>
      </c>
      <c r="G57" s="862"/>
    </row>
    <row r="58" spans="1:7" x14ac:dyDescent="0.2">
      <c r="A58" s="866" t="s">
        <v>460</v>
      </c>
      <c r="B58" s="866" t="s">
        <v>1880</v>
      </c>
      <c r="C58" s="883" t="s">
        <v>982</v>
      </c>
      <c r="D58" s="882" t="s">
        <v>1095</v>
      </c>
      <c r="E58" s="865"/>
      <c r="F58" s="1910">
        <f>'Expenditures 15-22'!G151</f>
        <v>70066</v>
      </c>
      <c r="G58" s="862"/>
    </row>
    <row r="59" spans="1:7" x14ac:dyDescent="0.2">
      <c r="A59" s="890" t="s">
        <v>460</v>
      </c>
      <c r="B59" s="853" t="s">
        <v>1881</v>
      </c>
      <c r="C59" s="891" t="s">
        <v>982</v>
      </c>
      <c r="D59" s="853" t="s">
        <v>291</v>
      </c>
      <c r="F59" s="1911">
        <f>'Expenditures 15-22'!I151</f>
        <v>1630</v>
      </c>
      <c r="G59" s="862"/>
    </row>
    <row r="60" spans="1:7" x14ac:dyDescent="0.2">
      <c r="A60" s="890" t="s">
        <v>499</v>
      </c>
      <c r="B60" s="853" t="s">
        <v>1882</v>
      </c>
      <c r="C60" s="891">
        <v>4000</v>
      </c>
      <c r="D60" s="853" t="s">
        <v>312</v>
      </c>
      <c r="F60" s="1909">
        <f>'Expenditures 15-22'!K160</f>
        <v>0</v>
      </c>
      <c r="G60" s="862"/>
    </row>
    <row r="61" spans="1:7" x14ac:dyDescent="0.2">
      <c r="A61" s="892" t="s">
        <v>499</v>
      </c>
      <c r="B61" s="892" t="s">
        <v>1883</v>
      </c>
      <c r="C61" s="893" t="str">
        <f>'Expenditures 15-22'!B170</f>
        <v>5300</v>
      </c>
      <c r="D61" s="894" t="s">
        <v>311</v>
      </c>
      <c r="E61" s="876"/>
      <c r="F61" s="1908">
        <f>'Expenditures 15-22'!K170</f>
        <v>841939</v>
      </c>
      <c r="G61" s="862"/>
    </row>
    <row r="62" spans="1:7" x14ac:dyDescent="0.2">
      <c r="A62" s="866" t="s">
        <v>461</v>
      </c>
      <c r="B62" s="866" t="s">
        <v>1884</v>
      </c>
      <c r="C62" s="883">
        <f>'Expenditures 15-22'!B185</f>
        <v>3000</v>
      </c>
      <c r="D62" s="873" t="s">
        <v>449</v>
      </c>
      <c r="E62" s="865"/>
      <c r="F62" s="1908">
        <f>'Expenditures 15-22'!K185-SUM('Expenditures 15-22'!G185,'Expenditures 15-22'!I185)</f>
        <v>0</v>
      </c>
      <c r="G62" s="862"/>
    </row>
    <row r="63" spans="1:7" x14ac:dyDescent="0.2">
      <c r="A63" s="866" t="s">
        <v>461</v>
      </c>
      <c r="B63" s="866" t="s">
        <v>1885</v>
      </c>
      <c r="C63" s="883" t="str">
        <f>'Expenditures 15-22'!B196</f>
        <v>4000</v>
      </c>
      <c r="D63" s="884" t="str">
        <f>'Expenditures 15-22'!A196</f>
        <v>Total Payments to Other Govt Units</v>
      </c>
      <c r="E63" s="865"/>
      <c r="F63" s="1908">
        <f>'Expenditures 15-22'!K196</f>
        <v>0</v>
      </c>
      <c r="G63" s="862"/>
    </row>
    <row r="64" spans="1:7" x14ac:dyDescent="0.2">
      <c r="A64" s="892" t="s">
        <v>461</v>
      </c>
      <c r="B64" s="892" t="s">
        <v>1886</v>
      </c>
      <c r="C64" s="893" t="str">
        <f>'Expenditures 15-22'!B206</f>
        <v>5300</v>
      </c>
      <c r="D64" s="889" t="s">
        <v>311</v>
      </c>
      <c r="E64" s="865"/>
      <c r="F64" s="1908">
        <f>'Expenditures 15-22'!K206</f>
        <v>0</v>
      </c>
      <c r="G64" s="862"/>
    </row>
    <row r="65" spans="1:8" x14ac:dyDescent="0.2">
      <c r="A65" s="866" t="s">
        <v>461</v>
      </c>
      <c r="B65" s="866" t="s">
        <v>1887</v>
      </c>
      <c r="C65" s="883" t="s">
        <v>982</v>
      </c>
      <c r="D65" s="882" t="s">
        <v>1095</v>
      </c>
      <c r="E65" s="865"/>
      <c r="F65" s="1908">
        <f>'Expenditures 15-22'!G210</f>
        <v>52562</v>
      </c>
      <c r="G65" s="862"/>
    </row>
    <row r="66" spans="1:8" x14ac:dyDescent="0.2">
      <c r="A66" s="866" t="s">
        <v>461</v>
      </c>
      <c r="B66" s="866" t="s">
        <v>1888</v>
      </c>
      <c r="C66" s="883" t="s">
        <v>982</v>
      </c>
      <c r="D66" s="882" t="s">
        <v>291</v>
      </c>
      <c r="E66" s="865"/>
      <c r="F66" s="1908">
        <f>'Expenditures 15-22'!I210</f>
        <v>0</v>
      </c>
      <c r="G66" s="862"/>
    </row>
    <row r="67" spans="1:8" x14ac:dyDescent="0.2">
      <c r="A67" s="866" t="s">
        <v>462</v>
      </c>
      <c r="B67" s="866" t="s">
        <v>1889</v>
      </c>
      <c r="C67" s="883" t="str">
        <f>'Expenditures 15-22'!B216</f>
        <v>1125</v>
      </c>
      <c r="D67" s="889" t="str">
        <f>'Expenditures 15-22'!A216</f>
        <v>Pre-K Programs</v>
      </c>
      <c r="E67" s="865"/>
      <c r="F67" s="1908">
        <f>'Expenditures 15-22'!K216</f>
        <v>0</v>
      </c>
      <c r="G67" s="862"/>
    </row>
    <row r="68" spans="1:8" x14ac:dyDescent="0.2">
      <c r="A68" s="866" t="s">
        <v>462</v>
      </c>
      <c r="B68" s="866" t="s">
        <v>1479</v>
      </c>
      <c r="C68" s="883" t="str">
        <f>'Expenditures 15-22'!B218</f>
        <v>1225</v>
      </c>
      <c r="D68" s="889" t="str">
        <f>'Expenditures 15-22'!A218</f>
        <v>Special Education Programs - Pre-K</v>
      </c>
      <c r="E68" s="865"/>
      <c r="F68" s="1908">
        <f>'Expenditures 15-22'!K218</f>
        <v>0</v>
      </c>
      <c r="G68" s="862"/>
    </row>
    <row r="69" spans="1:8" x14ac:dyDescent="0.2">
      <c r="A69" s="866" t="s">
        <v>462</v>
      </c>
      <c r="B69" s="866" t="s">
        <v>1890</v>
      </c>
      <c r="C69" s="883" t="str">
        <f>'Expenditures 15-22'!B220</f>
        <v>1275</v>
      </c>
      <c r="D69" s="889" t="str">
        <f>'Expenditures 15-22'!A220</f>
        <v>Remedial and Supplemental Programs - Pre-K</v>
      </c>
      <c r="E69" s="865"/>
      <c r="F69" s="1908">
        <f>'Expenditures 15-22'!K220</f>
        <v>0</v>
      </c>
      <c r="G69" s="862"/>
    </row>
    <row r="70" spans="1:8" x14ac:dyDescent="0.2">
      <c r="A70" s="866" t="s">
        <v>462</v>
      </c>
      <c r="B70" s="866" t="s">
        <v>1891</v>
      </c>
      <c r="C70" s="883">
        <f>'Expenditures 15-22'!B221</f>
        <v>1300</v>
      </c>
      <c r="D70" s="884" t="str">
        <f>'Expenditures 15-22'!A221</f>
        <v>Adult/Continuing Education Programs</v>
      </c>
      <c r="E70" s="865"/>
      <c r="F70" s="1908">
        <f>'Expenditures 15-22'!K221</f>
        <v>0</v>
      </c>
      <c r="G70" s="862"/>
    </row>
    <row r="71" spans="1:8" x14ac:dyDescent="0.2">
      <c r="A71" s="866" t="s">
        <v>462</v>
      </c>
      <c r="B71" s="866" t="s">
        <v>1892</v>
      </c>
      <c r="C71" s="883">
        <f>'Expenditures 15-22'!B224</f>
        <v>1600</v>
      </c>
      <c r="D71" s="884" t="str">
        <f>'Expenditures 15-22'!A224</f>
        <v>Summer School Programs</v>
      </c>
      <c r="E71" s="865"/>
      <c r="F71" s="1908">
        <f>'Expenditures 15-22'!K224</f>
        <v>67</v>
      </c>
      <c r="G71" s="862"/>
    </row>
    <row r="72" spans="1:8" x14ac:dyDescent="0.2">
      <c r="A72" s="866" t="s">
        <v>462</v>
      </c>
      <c r="B72" s="866" t="s">
        <v>1893</v>
      </c>
      <c r="C72" s="883">
        <f>'Expenditures 15-22'!B280</f>
        <v>3000</v>
      </c>
      <c r="D72" s="873" t="s">
        <v>449</v>
      </c>
      <c r="E72" s="865"/>
      <c r="F72" s="1908">
        <f>'Expenditures 15-22'!K280</f>
        <v>0</v>
      </c>
      <c r="G72" s="862"/>
    </row>
    <row r="73" spans="1:8" x14ac:dyDescent="0.2">
      <c r="A73" s="866" t="s">
        <v>462</v>
      </c>
      <c r="B73" s="866" t="s">
        <v>1894</v>
      </c>
      <c r="C73" s="883" t="str">
        <f>'Expenditures 15-22'!B285</f>
        <v>4000</v>
      </c>
      <c r="D73" s="884" t="str">
        <f>'Expenditures 15-22'!A285</f>
        <v>Total Payments to Other Govt Units</v>
      </c>
      <c r="E73" s="865"/>
      <c r="F73" s="1908">
        <f>'Expenditures 15-22'!K285</f>
        <v>0</v>
      </c>
      <c r="G73" s="862"/>
    </row>
    <row r="74" spans="1:8" x14ac:dyDescent="0.2">
      <c r="A74" s="866" t="s">
        <v>436</v>
      </c>
      <c r="B74" s="866" t="s">
        <v>1895</v>
      </c>
      <c r="C74" s="883" t="s">
        <v>860</v>
      </c>
      <c r="D74" s="884" t="s">
        <v>1487</v>
      </c>
      <c r="E74" s="865"/>
      <c r="F74" s="1912">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1896</v>
      </c>
      <c r="E76" s="1771" t="s">
        <v>958</v>
      </c>
      <c r="F76" s="1775">
        <f>SUM(F18:F74)</f>
        <v>2040513</v>
      </c>
      <c r="G76" s="862"/>
    </row>
    <row r="77" spans="1:8" s="890" customFormat="1" ht="12" customHeight="1" thickTop="1" thickBot="1" x14ac:dyDescent="0.25">
      <c r="A77" s="1776"/>
      <c r="B77" s="1773"/>
      <c r="C77" s="1769"/>
      <c r="D77" s="1774" t="s">
        <v>1897</v>
      </c>
      <c r="E77" s="1771"/>
      <c r="F77" s="1777">
        <f>(F14-F76)</f>
        <v>10828046</v>
      </c>
      <c r="G77" s="866"/>
    </row>
    <row r="78" spans="1:8" s="890" customFormat="1" ht="12" customHeight="1" thickTop="1" x14ac:dyDescent="0.2">
      <c r="A78" s="1778"/>
      <c r="B78" s="1773"/>
      <c r="C78" s="1769"/>
      <c r="D78" s="1774" t="s">
        <v>2059</v>
      </c>
      <c r="E78" s="1771"/>
      <c r="F78" s="895">
        <v>745.3</v>
      </c>
      <c r="G78" s="896"/>
      <c r="H78" s="866"/>
    </row>
    <row r="79" spans="1:8" s="890" customFormat="1" ht="12" customHeight="1" thickBot="1" x14ac:dyDescent="0.25">
      <c r="A79" s="1779"/>
      <c r="B79" s="1773"/>
      <c r="C79" s="1769"/>
      <c r="D79" s="1774" t="s">
        <v>1898</v>
      </c>
      <c r="E79" s="1771" t="s">
        <v>958</v>
      </c>
      <c r="F79" s="1780">
        <f>IF(F78&gt;0,F77/F78," Complete Line 78")</f>
        <v>14528.439554541796</v>
      </c>
      <c r="G79" s="866"/>
    </row>
    <row r="80" spans="1:8" s="890" customFormat="1" ht="8.25" customHeight="1" thickTop="1" x14ac:dyDescent="0.2">
      <c r="A80" s="897"/>
      <c r="B80" s="866"/>
      <c r="C80" s="868"/>
      <c r="D80" s="898"/>
      <c r="E80" s="865"/>
      <c r="F80" s="899"/>
      <c r="G80" s="866"/>
    </row>
    <row r="81" spans="1:7" s="890" customFormat="1" ht="12" thickBot="1" x14ac:dyDescent="0.25">
      <c r="A81" s="2422" t="s">
        <v>1105</v>
      </c>
      <c r="B81" s="2423"/>
      <c r="C81" s="2423"/>
      <c r="D81" s="2423"/>
      <c r="E81" s="2423"/>
      <c r="F81" s="2424"/>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2">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46776</v>
      </c>
      <c r="G94" s="909"/>
    </row>
    <row r="95" spans="1:7" x14ac:dyDescent="0.2">
      <c r="A95" s="905" t="s">
        <v>140</v>
      </c>
      <c r="B95" s="905" t="s">
        <v>175</v>
      </c>
      <c r="C95" s="907">
        <v>1700</v>
      </c>
      <c r="D95" s="915" t="str">
        <f>'Revenues 9-14'!A82</f>
        <v>Total District/School Activity Income</v>
      </c>
      <c r="E95" s="903"/>
      <c r="F95" s="1786">
        <f>SUM('Revenues 9-14'!C82,'Revenues 9-14'!D82)</f>
        <v>117487</v>
      </c>
      <c r="G95" s="909"/>
    </row>
    <row r="96" spans="1:7" x14ac:dyDescent="0.2">
      <c r="A96" s="905" t="s">
        <v>459</v>
      </c>
      <c r="B96" s="905" t="s">
        <v>176</v>
      </c>
      <c r="C96" s="907">
        <f>'Revenues 9-14'!B84</f>
        <v>1811</v>
      </c>
      <c r="D96" s="908" t="str">
        <f>'Revenues 9-14'!A84</f>
        <v>Rentals - Regular Textbooks</v>
      </c>
      <c r="E96" s="903"/>
      <c r="F96" s="1786">
        <f>'Revenues 9-14'!C84</f>
        <v>545</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1634</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49385</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500</v>
      </c>
      <c r="G104" s="909"/>
    </row>
    <row r="105" spans="1:7" x14ac:dyDescent="0.2">
      <c r="A105" s="905" t="s">
        <v>503</v>
      </c>
      <c r="B105" s="905" t="s">
        <v>2000</v>
      </c>
      <c r="C105" s="910">
        <v>3100</v>
      </c>
      <c r="D105" s="916" t="str">
        <f>'Revenues 9-14'!A132</f>
        <v>Total Special Education</v>
      </c>
      <c r="E105" s="903"/>
      <c r="F105" s="1786">
        <f>SUM('Revenues 9-14'!C132:D132,'Revenues 9-14'!F132)</f>
        <v>185411</v>
      </c>
      <c r="G105" s="909"/>
    </row>
    <row r="106" spans="1:7" x14ac:dyDescent="0.2">
      <c r="A106" s="905" t="s">
        <v>673</v>
      </c>
      <c r="B106" s="905" t="s">
        <v>2001</v>
      </c>
      <c r="C106" s="917">
        <v>3200</v>
      </c>
      <c r="D106" s="908" t="str">
        <f>'Revenues 9-14'!A141</f>
        <v>Total Career and Technical Education</v>
      </c>
      <c r="E106" s="903"/>
      <c r="F106" s="1786">
        <f>SUM('Revenues 9-14'!C141,'Revenues 9-14'!D141,'Revenues 9-14'!G141)</f>
        <v>85525</v>
      </c>
      <c r="G106" s="909"/>
    </row>
    <row r="107" spans="1:7" x14ac:dyDescent="0.2">
      <c r="A107" s="918" t="s">
        <v>664</v>
      </c>
      <c r="B107" s="905" t="s">
        <v>2002</v>
      </c>
      <c r="C107" s="917">
        <v>3300</v>
      </c>
      <c r="D107" s="908" t="str">
        <f>'Revenues 9-14'!A145</f>
        <v>Total Bilingual Ed</v>
      </c>
      <c r="E107" s="903"/>
      <c r="F107" s="1786">
        <f>SUM('Revenues 9-14'!C145,'Revenues 9-14'!G145)</f>
        <v>0</v>
      </c>
      <c r="G107" s="909"/>
    </row>
    <row r="108" spans="1:7" x14ac:dyDescent="0.2">
      <c r="A108" s="905" t="s">
        <v>459</v>
      </c>
      <c r="B108" s="905" t="s">
        <v>2003</v>
      </c>
      <c r="C108" s="917">
        <f>'Revenues 9-14'!B146</f>
        <v>3360</v>
      </c>
      <c r="D108" s="908" t="str">
        <f>'Revenues 9-14'!A146</f>
        <v>State Free Lunch &amp; Breakfast</v>
      </c>
      <c r="E108" s="903"/>
      <c r="F108" s="1786">
        <f>'Revenues 9-14'!C146</f>
        <v>8382</v>
      </c>
      <c r="G108" s="909"/>
    </row>
    <row r="109" spans="1:7" x14ac:dyDescent="0.2">
      <c r="A109" s="905" t="s">
        <v>673</v>
      </c>
      <c r="B109" s="905" t="s">
        <v>2004</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2005</v>
      </c>
      <c r="C110" s="917">
        <f>'Revenues 9-14'!B148</f>
        <v>3370</v>
      </c>
      <c r="D110" s="908" t="str">
        <f>'Revenues 9-14'!A148</f>
        <v>Driver Education</v>
      </c>
      <c r="E110" s="903"/>
      <c r="F110" s="1786">
        <f>SUM('Revenues 9-14'!C148,'Revenues 9-14'!D148)</f>
        <v>38784</v>
      </c>
      <c r="G110" s="909"/>
    </row>
    <row r="111" spans="1:7" x14ac:dyDescent="0.2">
      <c r="A111" s="905" t="s">
        <v>668</v>
      </c>
      <c r="B111" s="905" t="s">
        <v>2006</v>
      </c>
      <c r="C111" s="919">
        <v>3500</v>
      </c>
      <c r="D111" s="908" t="str">
        <f>'Revenues 9-14'!A155</f>
        <v>Total Transportation</v>
      </c>
      <c r="E111" s="903"/>
      <c r="F111" s="1786">
        <f>SUM('Revenues 9-14'!C155,'Revenues 9-14'!D155,'Revenues 9-14'!F155,'Revenues 9-14'!G155)</f>
        <v>264021</v>
      </c>
      <c r="G111" s="909"/>
    </row>
    <row r="112" spans="1:7" x14ac:dyDescent="0.2">
      <c r="A112" s="905" t="s">
        <v>459</v>
      </c>
      <c r="B112" s="905" t="s">
        <v>2007</v>
      </c>
      <c r="C112" s="917">
        <f>'Revenues 9-14'!B156</f>
        <v>3610</v>
      </c>
      <c r="D112" s="908" t="str">
        <f>'Revenues 9-14'!A156</f>
        <v>Learning Improvement - Change Grants</v>
      </c>
      <c r="E112" s="903"/>
      <c r="F112" s="1786">
        <f>'Revenues 9-14'!C156</f>
        <v>0</v>
      </c>
      <c r="G112" s="909"/>
    </row>
    <row r="113" spans="1:7" x14ac:dyDescent="0.2">
      <c r="A113" s="905" t="s">
        <v>668</v>
      </c>
      <c r="B113" s="905" t="s">
        <v>2008</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2009</v>
      </c>
      <c r="C114" s="917">
        <f>'Revenues 9-14'!B158</f>
        <v>3695</v>
      </c>
      <c r="D114" s="908" t="str">
        <f>'Revenues 9-14'!A158</f>
        <v>Truant Alternative/Optional Education</v>
      </c>
      <c r="E114" s="903"/>
      <c r="F114" s="1786">
        <f>SUM('Revenues 9-14'!C158,'Revenues 9-14'!F158,'Revenues 9-14'!G158)</f>
        <v>28384</v>
      </c>
      <c r="G114" s="909"/>
    </row>
    <row r="115" spans="1:7" x14ac:dyDescent="0.2">
      <c r="A115" s="905" t="s">
        <v>668</v>
      </c>
      <c r="B115" s="905" t="s">
        <v>2010</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2011</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2012</v>
      </c>
      <c r="C117" s="921">
        <f>'Revenues 9-14'!B162</f>
        <v>3775</v>
      </c>
      <c r="D117" s="922" t="str">
        <f>'Revenues 9-14'!A162</f>
        <v>School Safety &amp; Educational Improvement Block Grant</v>
      </c>
      <c r="E117" s="903"/>
      <c r="F117" s="1902">
        <f>SUM('Revenues 9-14'!C162,'Revenues 9-14'!D162,'Revenues 9-14'!E162,'Revenues 9-14'!F162,'Revenues 9-14'!G162)</f>
        <v>0</v>
      </c>
      <c r="G117" s="909"/>
    </row>
    <row r="118" spans="1:7" x14ac:dyDescent="0.2">
      <c r="A118" s="920" t="s">
        <v>1009</v>
      </c>
      <c r="B118" s="920" t="s">
        <v>2013</v>
      </c>
      <c r="C118" s="921">
        <f>'Revenues 9-14'!B163</f>
        <v>3780</v>
      </c>
      <c r="D118" s="922" t="str">
        <f>'Revenues 9-14'!A163</f>
        <v>Technology - Technology for Success</v>
      </c>
      <c r="E118" s="903"/>
      <c r="F118" s="1902">
        <f>SUM('Revenues 9-14'!C163:G163)</f>
        <v>0</v>
      </c>
      <c r="G118" s="909"/>
    </row>
    <row r="119" spans="1:7" x14ac:dyDescent="0.2">
      <c r="A119" s="920" t="s">
        <v>504</v>
      </c>
      <c r="B119" s="920" t="s">
        <v>2014</v>
      </c>
      <c r="C119" s="921">
        <f>'Revenues 9-14'!B164</f>
        <v>3815</v>
      </c>
      <c r="D119" s="922" t="str">
        <f>'Revenues 9-14'!A164</f>
        <v>State Charter Schools</v>
      </c>
      <c r="E119" s="903"/>
      <c r="F119" s="1902">
        <f>SUM('Revenues 9-14'!C164,'Revenues 9-14'!F164)</f>
        <v>0</v>
      </c>
      <c r="G119" s="909"/>
    </row>
    <row r="120" spans="1:7" x14ac:dyDescent="0.2">
      <c r="A120" s="924" t="s">
        <v>460</v>
      </c>
      <c r="B120" s="924" t="s">
        <v>2015</v>
      </c>
      <c r="C120" s="925">
        <f>'Revenues 9-14'!B167</f>
        <v>3925</v>
      </c>
      <c r="D120" s="926" t="str">
        <f>'Revenues 9-14'!A167</f>
        <v>School Infrastructure - Maintenance Projects</v>
      </c>
      <c r="E120" s="903"/>
      <c r="F120" s="1786">
        <f>'Revenues 9-14'!D167</f>
        <v>0</v>
      </c>
      <c r="G120" s="927"/>
    </row>
    <row r="121" spans="1:7" x14ac:dyDescent="0.2">
      <c r="A121" s="924" t="s">
        <v>500</v>
      </c>
      <c r="B121" s="924" t="s">
        <v>2016</v>
      </c>
      <c r="C121" s="925">
        <f>'Revenues 9-14'!B168</f>
        <v>3999</v>
      </c>
      <c r="D121" s="926" t="s">
        <v>543</v>
      </c>
      <c r="E121" s="928"/>
      <c r="F121" s="1786">
        <f>SUM('Revenues 9-14'!C168:G168,'Revenues 9-14'!J168)</f>
        <v>34329</v>
      </c>
      <c r="G121" s="927"/>
    </row>
    <row r="122" spans="1:7" x14ac:dyDescent="0.2">
      <c r="A122" s="924" t="s">
        <v>459</v>
      </c>
      <c r="B122" s="924" t="s">
        <v>2017</v>
      </c>
      <c r="C122" s="929">
        <f>'Revenues 9-14'!B177</f>
        <v>4045</v>
      </c>
      <c r="D122" s="926" t="str">
        <f>'Revenues 9-14'!A177 &amp; " (Subtract)"</f>
        <v>Head Start (Subtract)</v>
      </c>
      <c r="E122" s="903"/>
      <c r="F122" s="1786">
        <f>SUM(-'Revenues 9-14'!C177)</f>
        <v>0</v>
      </c>
      <c r="G122" s="927"/>
    </row>
    <row r="123" spans="1:7" x14ac:dyDescent="0.2">
      <c r="A123" s="924" t="s">
        <v>668</v>
      </c>
      <c r="B123" s="924" t="s">
        <v>2018</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2019</v>
      </c>
      <c r="C124" s="929">
        <v>4100</v>
      </c>
      <c r="D124" s="930" t="str">
        <f>'Revenues 9-14'!A188</f>
        <v>Total Title V</v>
      </c>
      <c r="E124" s="903"/>
      <c r="F124" s="1786">
        <f>SUM('Revenues 9-14'!C188,'Revenues 9-14'!D188,'Revenues 9-14'!F188,'Revenues 9-14'!G188)</f>
        <v>12578</v>
      </c>
      <c r="G124" s="927"/>
    </row>
    <row r="125" spans="1:7" x14ac:dyDescent="0.2">
      <c r="A125" s="924" t="s">
        <v>664</v>
      </c>
      <c r="B125" s="924" t="s">
        <v>2020</v>
      </c>
      <c r="C125" s="929">
        <v>4200</v>
      </c>
      <c r="D125" s="926" t="str">
        <f>'Revenues 9-14'!A198</f>
        <v>Total Food Service</v>
      </c>
      <c r="E125" s="903"/>
      <c r="F125" s="1786">
        <f>SUM('Revenues 9-14'!C198,'Revenues 9-14'!G198)</f>
        <v>428096</v>
      </c>
      <c r="G125" s="927"/>
    </row>
    <row r="126" spans="1:7" x14ac:dyDescent="0.2">
      <c r="A126" s="924" t="s">
        <v>668</v>
      </c>
      <c r="B126" s="924" t="s">
        <v>2021</v>
      </c>
      <c r="C126" s="929">
        <v>4300</v>
      </c>
      <c r="D126" s="930" t="str">
        <f>'Revenues 9-14'!A204</f>
        <v>Total Title I</v>
      </c>
      <c r="E126" s="903"/>
      <c r="F126" s="1786">
        <f>SUM('Revenues 9-14'!C204,'Revenues 9-14'!D204,'Revenues 9-14'!F204,'Revenues 9-14'!G204)</f>
        <v>311694</v>
      </c>
      <c r="G126" s="927"/>
    </row>
    <row r="127" spans="1:7" x14ac:dyDescent="0.2">
      <c r="A127" s="924" t="s">
        <v>668</v>
      </c>
      <c r="B127" s="924" t="s">
        <v>2022</v>
      </c>
      <c r="C127" s="929">
        <v>4400</v>
      </c>
      <c r="D127" s="930" t="str">
        <f>'Revenues 9-14'!A209</f>
        <v>Total Title IV</v>
      </c>
      <c r="E127" s="903"/>
      <c r="F127" s="1786">
        <f>SUM('Revenues 9-14'!C209,'Revenues 9-14'!D209,'Revenues 9-14'!F209,'Revenues 9-14'!G209)</f>
        <v>33652</v>
      </c>
      <c r="G127" s="927"/>
    </row>
    <row r="128" spans="1:7" x14ac:dyDescent="0.2">
      <c r="A128" s="924" t="s">
        <v>668</v>
      </c>
      <c r="B128" s="924" t="s">
        <v>2023</v>
      </c>
      <c r="C128" s="929">
        <f>'Revenues 9-14'!B213</f>
        <v>4620</v>
      </c>
      <c r="D128" s="930" t="str">
        <f>'Revenues 9-14'!A213</f>
        <v>Fed - Spec Education - IDEA - Flow Through</v>
      </c>
      <c r="E128" s="903"/>
      <c r="F128" s="1786">
        <f>SUM('Revenues 9-14'!C213:D213,'Revenues 9-14'!F213:G213)</f>
        <v>116470</v>
      </c>
      <c r="G128" s="927"/>
    </row>
    <row r="129" spans="1:7" x14ac:dyDescent="0.2">
      <c r="A129" s="924" t="s">
        <v>668</v>
      </c>
      <c r="B129" s="924" t="s">
        <v>2024</v>
      </c>
      <c r="C129" s="929">
        <f>'Revenues 9-14'!B214</f>
        <v>4625</v>
      </c>
      <c r="D129" s="930" t="str">
        <f>'Revenues 9-14'!A214</f>
        <v>Fed - Spec Education - IDEA - Room &amp; Board</v>
      </c>
      <c r="E129" s="903"/>
      <c r="F129" s="1786">
        <f>SUM('Revenues 9-14'!C214,'Revenues 9-14'!D214,'Revenues 9-14'!F214,'Revenues 9-14'!G214)</f>
        <v>171925</v>
      </c>
      <c r="G129" s="927"/>
    </row>
    <row r="130" spans="1:7" x14ac:dyDescent="0.2">
      <c r="A130" s="924" t="s">
        <v>668</v>
      </c>
      <c r="B130" s="924" t="s">
        <v>2025</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2026</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2027</v>
      </c>
      <c r="C133" s="932" t="s">
        <v>207</v>
      </c>
      <c r="D133" s="933" t="str">
        <f>'Revenues 9-14'!A224</f>
        <v>ARRA - Title I - Low Income</v>
      </c>
      <c r="E133" s="934"/>
      <c r="F133" s="1902">
        <f>SUM('Revenues 9-14'!$C$224:$D$224,'Revenues 9-14'!$F$224:$G$224)</f>
        <v>0</v>
      </c>
      <c r="G133" s="902"/>
    </row>
    <row r="134" spans="1:7" s="864" customFormat="1" hidden="1" x14ac:dyDescent="0.2">
      <c r="A134" s="931" t="s">
        <v>206</v>
      </c>
      <c r="B134" s="931" t="s">
        <v>2028</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2029</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2030</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2031</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2032</v>
      </c>
      <c r="C138" s="932" t="s">
        <v>212</v>
      </c>
      <c r="D138" s="933" t="str">
        <f>'Revenues 9-14'!A229</f>
        <v>ARRA - IDEA - Part B - Preschool</v>
      </c>
      <c r="E138" s="934"/>
      <c r="F138" s="1786">
        <v>0</v>
      </c>
      <c r="G138" s="902"/>
    </row>
    <row r="139" spans="1:7" s="864" customFormat="1" hidden="1" x14ac:dyDescent="0.2">
      <c r="A139" s="931" t="s">
        <v>206</v>
      </c>
      <c r="B139" s="931" t="s">
        <v>2033</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2034</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2035</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2036</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2037</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2038</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2039</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2040</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2041</v>
      </c>
      <c r="C157" s="937" t="s">
        <v>841</v>
      </c>
      <c r="D157" s="938" t="s">
        <v>777</v>
      </c>
      <c r="E157" s="939"/>
      <c r="F157" s="1786">
        <f>SUM(F133:F156)</f>
        <v>0</v>
      </c>
      <c r="G157" s="902"/>
    </row>
    <row r="158" spans="1:7" s="864" customFormat="1" x14ac:dyDescent="0.2">
      <c r="A158" s="935" t="s">
        <v>459</v>
      </c>
      <c r="B158" s="936" t="s">
        <v>2042</v>
      </c>
      <c r="C158" s="937" t="s">
        <v>1427</v>
      </c>
      <c r="D158" s="938" t="s">
        <v>1428</v>
      </c>
      <c r="E158" s="939"/>
      <c r="F158" s="1786">
        <f>SUM('Revenues 9-14'!C253)</f>
        <v>0</v>
      </c>
      <c r="G158" s="902"/>
    </row>
    <row r="159" spans="1:7" s="864" customFormat="1" x14ac:dyDescent="0.2">
      <c r="A159" s="935" t="s">
        <v>500</v>
      </c>
      <c r="B159" s="936" t="s">
        <v>2043</v>
      </c>
      <c r="C159" s="937" t="s">
        <v>1466</v>
      </c>
      <c r="D159" s="938" t="s">
        <v>1467</v>
      </c>
      <c r="E159" s="939"/>
      <c r="F159" s="1786">
        <f>SUM('Revenues 9-14'!C254:H254,'Revenues 9-14'!J254:K254)</f>
        <v>0</v>
      </c>
      <c r="G159" s="902"/>
    </row>
    <row r="160" spans="1:7" x14ac:dyDescent="0.2">
      <c r="A160" s="924" t="s">
        <v>5</v>
      </c>
      <c r="B160" s="924" t="s">
        <v>2044</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2045</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2046</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2047</v>
      </c>
      <c r="C163" s="942">
        <f>'Revenues 9-14'!B258</f>
        <v>4930</v>
      </c>
      <c r="D163" s="943" t="str">
        <f>'Revenues 9-14'!A258</f>
        <v>Title II - Eisenhower Professional Development Formula</v>
      </c>
      <c r="E163" s="923"/>
      <c r="F163" s="1902">
        <f>SUM('Revenues 9-14'!C258:D258,'Revenues 9-14'!F258,'Revenues 9-14'!G258)</f>
        <v>0</v>
      </c>
      <c r="G163" s="927"/>
    </row>
    <row r="164" spans="1:7" x14ac:dyDescent="0.2">
      <c r="A164" s="924" t="s">
        <v>668</v>
      </c>
      <c r="B164" s="924" t="s">
        <v>2048</v>
      </c>
      <c r="C164" s="929">
        <f>'Revenues 9-14'!B259</f>
        <v>4932</v>
      </c>
      <c r="D164" s="930" t="str">
        <f>'Revenues 9-14'!A259</f>
        <v>Title II - Teacher Quality</v>
      </c>
      <c r="E164" s="903"/>
      <c r="F164" s="1902">
        <f>SUM('Revenues 9-14'!C259,'Revenues 9-14'!D259,'Revenues 9-14'!F259,'Revenues 9-14'!G259)</f>
        <v>43644</v>
      </c>
      <c r="G164" s="927"/>
    </row>
    <row r="165" spans="1:7" x14ac:dyDescent="0.2">
      <c r="A165" s="924" t="s">
        <v>668</v>
      </c>
      <c r="B165" s="924" t="s">
        <v>2049</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1994</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1995</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2050</v>
      </c>
      <c r="C168" s="929">
        <f>'Revenues 9-14'!B263</f>
        <v>4991</v>
      </c>
      <c r="D168" s="930" t="str">
        <f>'Revenues 9-14'!A263</f>
        <v>Medicaid Matching Funds - Administrative Outreach</v>
      </c>
      <c r="E168" s="903"/>
      <c r="F168" s="1786">
        <f>SUM('Revenues 9-14'!C263:D263,'Revenues 9-14'!F263:G263)</f>
        <v>18873</v>
      </c>
      <c r="G168" s="944">
        <v>6320</v>
      </c>
    </row>
    <row r="169" spans="1:7" x14ac:dyDescent="0.2">
      <c r="A169" s="924" t="s">
        <v>668</v>
      </c>
      <c r="B169" s="924" t="s">
        <v>2051</v>
      </c>
      <c r="C169" s="929">
        <f>'Revenues 9-14'!B264</f>
        <v>4992</v>
      </c>
      <c r="D169" s="930" t="str">
        <f>'Revenues 9-14'!A264</f>
        <v>Medicaid Matching Funds - Fee-for-Service Program</v>
      </c>
      <c r="E169" s="903"/>
      <c r="F169" s="1786">
        <f>SUM('Revenues 9-14'!C264:D264,'Revenues 9-14'!F264:G264)</f>
        <v>52391</v>
      </c>
      <c r="G169" s="944"/>
    </row>
    <row r="170" spans="1:7" x14ac:dyDescent="0.2">
      <c r="A170" s="945" t="s">
        <v>668</v>
      </c>
      <c r="B170" s="941" t="s">
        <v>2052</v>
      </c>
      <c r="C170" s="942">
        <f>'Revenues 9-14'!B265</f>
        <v>4999</v>
      </c>
      <c r="D170" s="943" t="str">
        <f>'Revenues 9-14'!A265</f>
        <v>Other Restricted Revenue from Federal Sources (Describe &amp; Itemize)</v>
      </c>
      <c r="E170" s="903"/>
      <c r="F170" s="1786">
        <f>SUM('Revenues 9-14'!C265:D265,'Revenues 9-14'!F265:G265)</f>
        <v>2534</v>
      </c>
      <c r="G170" s="924"/>
    </row>
    <row r="171" spans="1:7" x14ac:dyDescent="0.2">
      <c r="A171" s="1913" t="s">
        <v>5</v>
      </c>
      <c r="B171" s="1914" t="s">
        <v>1917</v>
      </c>
      <c r="C171" s="1915">
        <v>3100</v>
      </c>
      <c r="D171" s="1916" t="s">
        <v>1919</v>
      </c>
      <c r="E171" s="903"/>
      <c r="F171" s="1901">
        <v>428999.56</v>
      </c>
      <c r="G171" s="924"/>
    </row>
    <row r="172" spans="1:7" x14ac:dyDescent="0.2">
      <c r="A172" s="1913" t="s">
        <v>664</v>
      </c>
      <c r="B172" s="1914" t="s">
        <v>1917</v>
      </c>
      <c r="C172" s="1915">
        <v>3300</v>
      </c>
      <c r="D172" s="1916" t="s">
        <v>1920</v>
      </c>
      <c r="E172" s="903"/>
      <c r="F172" s="1901">
        <v>12546.95</v>
      </c>
      <c r="G172" s="924"/>
    </row>
    <row r="173" spans="1:7" ht="6" customHeight="1" x14ac:dyDescent="0.2">
      <c r="A173" s="924"/>
      <c r="B173" s="924"/>
      <c r="C173" s="946"/>
      <c r="D173" s="924"/>
      <c r="E173" s="903"/>
      <c r="F173" s="947"/>
      <c r="G173" s="944"/>
    </row>
    <row r="174" spans="1:7" x14ac:dyDescent="0.2">
      <c r="A174" s="1767"/>
      <c r="B174" s="1781"/>
      <c r="C174" s="1782"/>
      <c r="D174" s="1783" t="s">
        <v>2053</v>
      </c>
      <c r="E174" s="1784" t="s">
        <v>958</v>
      </c>
      <c r="F174" s="1785">
        <f>SUM(F84:F132,F157:F172)</f>
        <v>2494566.5100000002</v>
      </c>
    </row>
    <row r="175" spans="1:7" ht="12" customHeight="1" x14ac:dyDescent="0.2">
      <c r="A175" s="1767"/>
      <c r="B175" s="1781"/>
      <c r="C175" s="1782"/>
      <c r="D175" s="1783" t="s">
        <v>2054</v>
      </c>
      <c r="E175" s="1784"/>
      <c r="F175" s="1786">
        <f>'PCTC-OEPP 27-28'!F77-F174</f>
        <v>8333479.4900000002</v>
      </c>
    </row>
    <row r="176" spans="1:7" ht="12" customHeight="1" x14ac:dyDescent="0.2">
      <c r="A176" s="1767"/>
      <c r="B176" s="1781"/>
      <c r="C176" s="1782"/>
      <c r="D176" s="1783" t="s">
        <v>1814</v>
      </c>
      <c r="E176" s="1784"/>
      <c r="F176" s="1786">
        <f>'Cap Outlay Deprec 26'!I18</f>
        <v>1019288</v>
      </c>
    </row>
    <row r="177" spans="1:7" ht="12" customHeight="1" x14ac:dyDescent="0.2">
      <c r="A177" s="1767"/>
      <c r="B177" s="1781"/>
      <c r="C177" s="1782"/>
      <c r="D177" s="1783" t="s">
        <v>2055</v>
      </c>
      <c r="E177" s="1784"/>
      <c r="F177" s="1786">
        <f>F175+F176</f>
        <v>9352767.4900000002</v>
      </c>
    </row>
    <row r="178" spans="1:7" ht="12" customHeight="1" x14ac:dyDescent="0.2">
      <c r="A178" s="1767"/>
      <c r="B178" s="1787"/>
      <c r="C178" s="1782"/>
      <c r="D178" s="1783" t="str">
        <f>D78</f>
        <v>9 Month ADA from District Average Daily Attendance/Prior General State Aid Inquiry 2018-2019</v>
      </c>
      <c r="E178" s="1784"/>
      <c r="F178" s="1788">
        <f>'PCTC-OEPP 27-28'!F78</f>
        <v>745.3</v>
      </c>
      <c r="G178" s="927"/>
    </row>
    <row r="179" spans="1:7" ht="12" customHeight="1" thickBot="1" x14ac:dyDescent="0.25">
      <c r="A179" s="1767"/>
      <c r="B179" s="1787"/>
      <c r="C179" s="1782"/>
      <c r="D179" s="1783" t="s">
        <v>2056</v>
      </c>
      <c r="E179" s="1784" t="s">
        <v>1545</v>
      </c>
      <c r="F179" s="1789">
        <f>F177/F178</f>
        <v>12548.997034751108</v>
      </c>
      <c r="G179" s="853">
        <v>6323</v>
      </c>
    </row>
    <row r="180" spans="1:7" ht="12" thickTop="1" x14ac:dyDescent="0.2">
      <c r="B180" s="927"/>
      <c r="C180" s="946"/>
      <c r="D180" s="927"/>
      <c r="E180" s="946"/>
      <c r="F180" s="927"/>
      <c r="G180" s="948">
        <v>6326</v>
      </c>
    </row>
    <row r="181" spans="1:7" ht="12.2" customHeight="1" x14ac:dyDescent="0.2">
      <c r="A181" s="927" t="s">
        <v>1918</v>
      </c>
      <c r="B181" s="927"/>
      <c r="C181" s="946"/>
      <c r="D181" s="927"/>
      <c r="E181" s="946"/>
      <c r="F181" s="927"/>
      <c r="G181" s="927"/>
    </row>
    <row r="182" spans="1:7" s="1917" customFormat="1" ht="12.2" customHeight="1" x14ac:dyDescent="0.2">
      <c r="A182" s="1917" t="s">
        <v>1991</v>
      </c>
      <c r="B182" s="1918"/>
      <c r="C182" s="1919"/>
      <c r="D182" s="1918"/>
      <c r="E182" s="1919"/>
      <c r="F182" s="1918"/>
      <c r="G182" s="1918"/>
    </row>
    <row r="183" spans="1:7" s="1917" customFormat="1" ht="12.2" customHeight="1" x14ac:dyDescent="0.2">
      <c r="A183" s="1920" t="s">
        <v>1993</v>
      </c>
      <c r="C183" s="1919"/>
      <c r="D183" s="1918"/>
      <c r="E183" s="1919"/>
      <c r="F183" s="1918"/>
      <c r="G183" s="1918"/>
    </row>
    <row r="184" spans="1:7" ht="12" customHeight="1" x14ac:dyDescent="0.2">
      <c r="C184" s="946"/>
      <c r="D184" s="927"/>
      <c r="E184" s="946"/>
      <c r="F184" s="927"/>
      <c r="G184" s="927"/>
    </row>
    <row r="185" spans="1:7" x14ac:dyDescent="0.2">
      <c r="A185" s="1921" t="s">
        <v>1922</v>
      </c>
      <c r="B185" s="1922" t="s">
        <v>1921</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4" zoomScaleNormal="100" workbookViewId="0">
      <selection activeCell="A41" sqref="A41:F41"/>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436" t="s">
        <v>1815</v>
      </c>
      <c r="B4" s="2437"/>
      <c r="C4" s="2437"/>
      <c r="D4" s="2437"/>
      <c r="E4" s="2437"/>
      <c r="F4" s="2437"/>
      <c r="G4" s="2438"/>
    </row>
    <row r="5" spans="1:7" x14ac:dyDescent="0.25">
      <c r="A5" s="2439"/>
      <c r="B5" s="2440"/>
      <c r="C5" s="2440"/>
      <c r="D5" s="2440"/>
      <c r="E5" s="2440"/>
      <c r="F5" s="2440"/>
      <c r="G5" s="2441"/>
    </row>
    <row r="6" spans="1:7" ht="18.75" x14ac:dyDescent="0.25">
      <c r="A6" s="1531" t="s">
        <v>1816</v>
      </c>
      <c r="B6" s="1532"/>
      <c r="C6" s="1532"/>
      <c r="D6" s="1532"/>
      <c r="E6" s="1532"/>
      <c r="F6" s="1532"/>
      <c r="G6" s="1533"/>
    </row>
    <row r="7" spans="1:7" ht="30.75" customHeight="1" x14ac:dyDescent="0.25">
      <c r="A7" s="2442" t="s">
        <v>1929</v>
      </c>
      <c r="B7" s="2443"/>
      <c r="C7" s="2443"/>
      <c r="D7" s="2443"/>
      <c r="E7" s="2443"/>
      <c r="F7" s="2443"/>
      <c r="G7" s="2444"/>
    </row>
    <row r="8" spans="1:7" ht="15.75" customHeight="1" x14ac:dyDescent="0.25">
      <c r="A8" s="2445" t="s">
        <v>1904</v>
      </c>
      <c r="B8" s="2446"/>
      <c r="C8" s="2446"/>
      <c r="D8" s="2446"/>
      <c r="E8" s="2446"/>
      <c r="F8" s="2446"/>
      <c r="G8" s="2447"/>
    </row>
    <row r="9" spans="1:7" ht="35.25" customHeight="1" x14ac:dyDescent="0.25">
      <c r="A9" s="2442" t="s">
        <v>1932</v>
      </c>
      <c r="B9" s="2443"/>
      <c r="C9" s="2443"/>
      <c r="D9" s="2443"/>
      <c r="E9" s="2443"/>
      <c r="F9" s="2443"/>
      <c r="G9" s="2444"/>
    </row>
    <row r="10" spans="1:7" ht="15" customHeight="1" x14ac:dyDescent="0.25">
      <c r="A10" s="1534" t="s">
        <v>1817</v>
      </c>
      <c r="B10" s="1535"/>
      <c r="C10" s="1535"/>
      <c r="D10" s="1535"/>
      <c r="E10" s="1535"/>
      <c r="F10" s="1535"/>
      <c r="G10" s="1536"/>
    </row>
    <row r="11" spans="1:7" ht="17.25" customHeight="1" x14ac:dyDescent="0.25">
      <c r="A11" s="2442" t="s">
        <v>1931</v>
      </c>
      <c r="B11" s="2443"/>
      <c r="C11" s="2443"/>
      <c r="D11" s="2443"/>
      <c r="E11" s="2443"/>
      <c r="F11" s="2443"/>
      <c r="G11" s="2444"/>
    </row>
    <row r="12" spans="1:7" ht="15" customHeight="1" x14ac:dyDescent="0.25">
      <c r="A12" s="1534" t="s">
        <v>1822</v>
      </c>
      <c r="B12" s="1535"/>
      <c r="C12" s="1535"/>
      <c r="D12" s="1535"/>
      <c r="E12" s="1535"/>
      <c r="F12" s="1535"/>
      <c r="G12" s="1536"/>
    </row>
    <row r="13" spans="1:7" ht="32.25" customHeight="1" x14ac:dyDescent="0.25">
      <c r="A13" s="2433" t="s">
        <v>1973</v>
      </c>
      <c r="B13" s="2434"/>
      <c r="C13" s="2434"/>
      <c r="D13" s="2434"/>
      <c r="E13" s="2434"/>
      <c r="F13" s="2434"/>
      <c r="G13" s="2435"/>
    </row>
    <row r="14" spans="1:7" x14ac:dyDescent="0.25">
      <c r="A14" s="1658" t="s">
        <v>1830</v>
      </c>
      <c r="B14" s="1659"/>
      <c r="C14" s="1659"/>
      <c r="D14" s="1659"/>
      <c r="E14" s="1659"/>
      <c r="F14" s="1659"/>
      <c r="G14" s="1660"/>
    </row>
    <row r="15" spans="1:7" ht="61.5" customHeight="1" x14ac:dyDescent="0.25">
      <c r="A15" s="1543" t="s">
        <v>1823</v>
      </c>
      <c r="B15" s="1543" t="s">
        <v>1824</v>
      </c>
      <c r="C15" s="1543" t="s">
        <v>1825</v>
      </c>
      <c r="D15" s="1544" t="s">
        <v>1826</v>
      </c>
      <c r="E15" s="1544" t="s">
        <v>1818</v>
      </c>
      <c r="F15" s="1544" t="s">
        <v>1827</v>
      </c>
      <c r="G15" s="1544" t="s">
        <v>1828</v>
      </c>
    </row>
    <row r="16" spans="1:7" x14ac:dyDescent="0.25">
      <c r="A16" s="1645" t="s">
        <v>1831</v>
      </c>
      <c r="B16" s="1646" t="s">
        <v>1821</v>
      </c>
      <c r="C16" s="1647" t="s">
        <v>1819</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2060" t="s">
        <v>2194</v>
      </c>
      <c r="B17" s="2061" t="s">
        <v>2195</v>
      </c>
      <c r="C17" s="2062" t="s">
        <v>2196</v>
      </c>
      <c r="D17" s="1841">
        <v>366222</v>
      </c>
      <c r="E17" s="1537">
        <f t="shared" ref="E17:E141" si="0">IF(D17&lt;=25000,D17,IF(D17&gt;25000,25000,0))</f>
        <v>25000</v>
      </c>
      <c r="F17" s="192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341222</v>
      </c>
      <c r="H17" s="1644"/>
    </row>
    <row r="18" spans="1:8" x14ac:dyDescent="0.25">
      <c r="A18" s="2060" t="s">
        <v>2197</v>
      </c>
      <c r="B18" s="2061" t="s">
        <v>2198</v>
      </c>
      <c r="C18" s="2062" t="s">
        <v>2199</v>
      </c>
      <c r="D18" s="1841">
        <v>558411</v>
      </c>
      <c r="E18" s="1537">
        <f t="shared" ref="E18:E140" si="2">IF(D18&lt;=25000,D18,IF(D18&gt;25000,25000,0))</f>
        <v>25000</v>
      </c>
      <c r="F18" s="1927">
        <f t="shared" si="1"/>
        <v>25000</v>
      </c>
      <c r="G18" s="1790">
        <f t="shared" ref="G18:G140" si="3">IF(F18=0,0,D18-F18)</f>
        <v>533411</v>
      </c>
    </row>
    <row r="19" spans="1:8" x14ac:dyDescent="0.25">
      <c r="A19" s="1650"/>
      <c r="B19" s="1929"/>
      <c r="C19" s="1653"/>
      <c r="D19" s="1841"/>
      <c r="E19" s="1537">
        <f t="shared" si="2"/>
        <v>0</v>
      </c>
      <c r="F19" s="1927">
        <f t="shared" si="1"/>
        <v>0</v>
      </c>
      <c r="G19" s="1790">
        <f t="shared" si="3"/>
        <v>0</v>
      </c>
    </row>
    <row r="20" spans="1:8" x14ac:dyDescent="0.25">
      <c r="A20" s="1650"/>
      <c r="B20" s="1929"/>
      <c r="C20" s="1653"/>
      <c r="D20" s="1841"/>
      <c r="E20" s="1537">
        <f t="shared" si="2"/>
        <v>0</v>
      </c>
      <c r="F20" s="1927">
        <f t="shared" si="1"/>
        <v>0</v>
      </c>
      <c r="G20" s="1790">
        <f t="shared" si="3"/>
        <v>0</v>
      </c>
    </row>
    <row r="21" spans="1:8" x14ac:dyDescent="0.25">
      <c r="A21" s="1650"/>
      <c r="B21" s="1929"/>
      <c r="C21" s="1653"/>
      <c r="D21" s="1841"/>
      <c r="E21" s="1537">
        <f t="shared" si="2"/>
        <v>0</v>
      </c>
      <c r="F21" s="1927">
        <f t="shared" si="1"/>
        <v>0</v>
      </c>
      <c r="G21" s="1790">
        <f t="shared" si="3"/>
        <v>0</v>
      </c>
    </row>
    <row r="22" spans="1:8" x14ac:dyDescent="0.25">
      <c r="A22" s="1650"/>
      <c r="B22" s="1929"/>
      <c r="C22" s="1653"/>
      <c r="D22" s="1841"/>
      <c r="E22" s="1537">
        <f t="shared" si="2"/>
        <v>0</v>
      </c>
      <c r="F22" s="1927">
        <f t="shared" si="1"/>
        <v>0</v>
      </c>
      <c r="G22" s="1790">
        <f t="shared" si="3"/>
        <v>0</v>
      </c>
    </row>
    <row r="23" spans="1:8" x14ac:dyDescent="0.25">
      <c r="A23" s="1650"/>
      <c r="B23" s="1929"/>
      <c r="C23" s="1653"/>
      <c r="D23" s="1841"/>
      <c r="E23" s="1537">
        <f t="shared" si="2"/>
        <v>0</v>
      </c>
      <c r="F23" s="1927">
        <f t="shared" si="1"/>
        <v>0</v>
      </c>
      <c r="G23" s="1790">
        <f t="shared" si="3"/>
        <v>0</v>
      </c>
    </row>
    <row r="24" spans="1:8" x14ac:dyDescent="0.25">
      <c r="A24" s="1650"/>
      <c r="B24" s="1929"/>
      <c r="C24" s="1653"/>
      <c r="D24" s="1841"/>
      <c r="E24" s="1537">
        <f t="shared" si="2"/>
        <v>0</v>
      </c>
      <c r="F24" s="1927">
        <f t="shared" si="1"/>
        <v>0</v>
      </c>
      <c r="G24" s="1790">
        <f t="shared" si="3"/>
        <v>0</v>
      </c>
    </row>
    <row r="25" spans="1:8" x14ac:dyDescent="0.25">
      <c r="A25" s="1650"/>
      <c r="B25" s="1929"/>
      <c r="C25" s="1653"/>
      <c r="D25" s="1841"/>
      <c r="E25" s="1537">
        <f t="shared" si="2"/>
        <v>0</v>
      </c>
      <c r="F25" s="1927">
        <f t="shared" si="1"/>
        <v>0</v>
      </c>
      <c r="G25" s="1790">
        <f t="shared" si="3"/>
        <v>0</v>
      </c>
    </row>
    <row r="26" spans="1:8" x14ac:dyDescent="0.25">
      <c r="A26" s="1650"/>
      <c r="B26" s="1929"/>
      <c r="C26" s="1651"/>
      <c r="D26" s="1841"/>
      <c r="E26" s="1537">
        <f t="shared" si="2"/>
        <v>0</v>
      </c>
      <c r="F26" s="1927">
        <f t="shared" si="1"/>
        <v>0</v>
      </c>
      <c r="G26" s="1790">
        <f t="shared" si="3"/>
        <v>0</v>
      </c>
    </row>
    <row r="27" spans="1:8" x14ac:dyDescent="0.25">
      <c r="A27" s="1650"/>
      <c r="B27" s="1929"/>
      <c r="C27" s="1651"/>
      <c r="D27" s="1841"/>
      <c r="E27" s="1537">
        <f t="shared" si="2"/>
        <v>0</v>
      </c>
      <c r="F27" s="1927">
        <f t="shared" si="1"/>
        <v>0</v>
      </c>
      <c r="G27" s="1790">
        <f t="shared" si="3"/>
        <v>0</v>
      </c>
    </row>
    <row r="28" spans="1:8" x14ac:dyDescent="0.25">
      <c r="A28" s="1650"/>
      <c r="B28" s="1929"/>
      <c r="C28" s="1651"/>
      <c r="D28" s="1841"/>
      <c r="E28" s="1537">
        <f t="shared" si="2"/>
        <v>0</v>
      </c>
      <c r="F28" s="1927">
        <f t="shared" si="1"/>
        <v>0</v>
      </c>
      <c r="G28" s="1790">
        <f t="shared" si="3"/>
        <v>0</v>
      </c>
    </row>
    <row r="29" spans="1:8" x14ac:dyDescent="0.25">
      <c r="A29" s="1650"/>
      <c r="B29" s="1929"/>
      <c r="C29" s="1651"/>
      <c r="D29" s="1841"/>
      <c r="E29" s="1537">
        <f t="shared" si="2"/>
        <v>0</v>
      </c>
      <c r="F29" s="1927">
        <f t="shared" si="1"/>
        <v>0</v>
      </c>
      <c r="G29" s="1790">
        <f t="shared" si="3"/>
        <v>0</v>
      </c>
    </row>
    <row r="30" spans="1:8" x14ac:dyDescent="0.25">
      <c r="A30" s="1650"/>
      <c r="B30" s="1929"/>
      <c r="C30" s="1651"/>
      <c r="D30" s="1841"/>
      <c r="E30" s="1537">
        <f t="shared" si="2"/>
        <v>0</v>
      </c>
      <c r="F30" s="1927">
        <f t="shared" si="1"/>
        <v>0</v>
      </c>
      <c r="G30" s="1790">
        <f t="shared" si="3"/>
        <v>0</v>
      </c>
    </row>
    <row r="31" spans="1:8" x14ac:dyDescent="0.25">
      <c r="A31" s="1650"/>
      <c r="B31" s="1929"/>
      <c r="C31" s="1651"/>
      <c r="D31" s="1841"/>
      <c r="E31" s="1537">
        <f t="shared" si="2"/>
        <v>0</v>
      </c>
      <c r="F31" s="1927">
        <f t="shared" si="1"/>
        <v>0</v>
      </c>
      <c r="G31" s="1790">
        <f t="shared" si="3"/>
        <v>0</v>
      </c>
    </row>
    <row r="32" spans="1:8" x14ac:dyDescent="0.25">
      <c r="A32" s="1650"/>
      <c r="B32" s="1929"/>
      <c r="C32" s="1651"/>
      <c r="D32" s="1841"/>
      <c r="E32" s="1537">
        <f t="shared" si="2"/>
        <v>0</v>
      </c>
      <c r="F32" s="1927">
        <f t="shared" si="1"/>
        <v>0</v>
      </c>
      <c r="G32" s="1790">
        <f t="shared" si="3"/>
        <v>0</v>
      </c>
    </row>
    <row r="33" spans="1:7" x14ac:dyDescent="0.25">
      <c r="A33" s="1650"/>
      <c r="B33" s="1929"/>
      <c r="C33" s="1651"/>
      <c r="D33" s="1841"/>
      <c r="E33" s="1537">
        <f t="shared" si="2"/>
        <v>0</v>
      </c>
      <c r="F33" s="1927">
        <f t="shared" si="1"/>
        <v>0</v>
      </c>
      <c r="G33" s="1790">
        <f t="shared" si="3"/>
        <v>0</v>
      </c>
    </row>
    <row r="34" spans="1:7" x14ac:dyDescent="0.25">
      <c r="A34" s="1650"/>
      <c r="B34" s="1929"/>
      <c r="C34" s="1651"/>
      <c r="D34" s="1841"/>
      <c r="E34" s="1537">
        <f t="shared" si="2"/>
        <v>0</v>
      </c>
      <c r="F34" s="1927">
        <f t="shared" si="1"/>
        <v>0</v>
      </c>
      <c r="G34" s="1790">
        <f t="shared" si="3"/>
        <v>0</v>
      </c>
    </row>
    <row r="35" spans="1:7" x14ac:dyDescent="0.25">
      <c r="A35" s="1650"/>
      <c r="B35" s="1929"/>
      <c r="C35" s="1651"/>
      <c r="D35" s="1841"/>
      <c r="E35" s="1537">
        <f t="shared" si="2"/>
        <v>0</v>
      </c>
      <c r="F35" s="1927">
        <f t="shared" si="1"/>
        <v>0</v>
      </c>
      <c r="G35" s="1790">
        <f t="shared" si="3"/>
        <v>0</v>
      </c>
    </row>
    <row r="36" spans="1:7" x14ac:dyDescent="0.25">
      <c r="A36" s="1650"/>
      <c r="B36" s="1929"/>
      <c r="C36" s="1651"/>
      <c r="D36" s="1841"/>
      <c r="E36" s="1537">
        <f t="shared" si="2"/>
        <v>0</v>
      </c>
      <c r="F36" s="1927">
        <f t="shared" si="1"/>
        <v>0</v>
      </c>
      <c r="G36" s="1790">
        <f t="shared" si="3"/>
        <v>0</v>
      </c>
    </row>
    <row r="37" spans="1:7" x14ac:dyDescent="0.25">
      <c r="A37" s="1650"/>
      <c r="B37" s="1929"/>
      <c r="C37" s="1651"/>
      <c r="D37" s="1841"/>
      <c r="E37" s="1537">
        <f t="shared" si="2"/>
        <v>0</v>
      </c>
      <c r="F37" s="1927">
        <f t="shared" si="1"/>
        <v>0</v>
      </c>
      <c r="G37" s="1790">
        <f t="shared" si="3"/>
        <v>0</v>
      </c>
    </row>
    <row r="38" spans="1:7" x14ac:dyDescent="0.25">
      <c r="A38" s="1650"/>
      <c r="B38" s="1930"/>
      <c r="C38" s="1651"/>
      <c r="D38" s="1841"/>
      <c r="E38" s="1537">
        <f t="shared" si="2"/>
        <v>0</v>
      </c>
      <c r="F38" s="1927">
        <f t="shared" si="1"/>
        <v>0</v>
      </c>
      <c r="G38" s="1790">
        <f t="shared" si="3"/>
        <v>0</v>
      </c>
    </row>
    <row r="39" spans="1:7" x14ac:dyDescent="0.25">
      <c r="A39" s="1650"/>
      <c r="B39" s="1930"/>
      <c r="C39" s="1651"/>
      <c r="D39" s="1841"/>
      <c r="E39" s="1537">
        <f t="shared" si="2"/>
        <v>0</v>
      </c>
      <c r="F39" s="1927">
        <f t="shared" si="1"/>
        <v>0</v>
      </c>
      <c r="G39" s="1790">
        <f t="shared" si="3"/>
        <v>0</v>
      </c>
    </row>
    <row r="40" spans="1:7" x14ac:dyDescent="0.25">
      <c r="A40" s="1650"/>
      <c r="B40" s="1930"/>
      <c r="C40" s="1651"/>
      <c r="D40" s="1841"/>
      <c r="E40" s="1537">
        <f t="shared" si="2"/>
        <v>0</v>
      </c>
      <c r="F40" s="1927">
        <f t="shared" si="1"/>
        <v>0</v>
      </c>
      <c r="G40" s="1790">
        <f t="shared" si="3"/>
        <v>0</v>
      </c>
    </row>
    <row r="41" spans="1:7" x14ac:dyDescent="0.25">
      <c r="A41" s="1650"/>
      <c r="B41" s="1930"/>
      <c r="C41" s="1651"/>
      <c r="D41" s="1841"/>
      <c r="E41" s="1537">
        <f t="shared" si="2"/>
        <v>0</v>
      </c>
      <c r="F41" s="1927">
        <f t="shared" si="1"/>
        <v>0</v>
      </c>
      <c r="G41" s="1790">
        <f t="shared" si="3"/>
        <v>0</v>
      </c>
    </row>
    <row r="42" spans="1:7" x14ac:dyDescent="0.25">
      <c r="A42" s="1650"/>
      <c r="B42" s="1930"/>
      <c r="C42" s="1651"/>
      <c r="D42" s="1841"/>
      <c r="E42" s="1537">
        <f t="shared" si="2"/>
        <v>0</v>
      </c>
      <c r="F42" s="1927">
        <f t="shared" si="1"/>
        <v>0</v>
      </c>
      <c r="G42" s="1790">
        <f t="shared" si="3"/>
        <v>0</v>
      </c>
    </row>
    <row r="43" spans="1:7" x14ac:dyDescent="0.25">
      <c r="A43" s="1650"/>
      <c r="B43" s="1930"/>
      <c r="C43" s="1651"/>
      <c r="D43" s="1841"/>
      <c r="E43" s="1537">
        <f t="shared" si="2"/>
        <v>0</v>
      </c>
      <c r="F43" s="1927">
        <f t="shared" si="1"/>
        <v>0</v>
      </c>
      <c r="G43" s="1790">
        <f t="shared" si="3"/>
        <v>0</v>
      </c>
    </row>
    <row r="44" spans="1:7" x14ac:dyDescent="0.25">
      <c r="A44" s="1650"/>
      <c r="B44" s="1930"/>
      <c r="C44" s="1651"/>
      <c r="D44" s="1841"/>
      <c r="E44" s="1537">
        <f t="shared" si="2"/>
        <v>0</v>
      </c>
      <c r="F44" s="1927">
        <f t="shared" si="1"/>
        <v>0</v>
      </c>
      <c r="G44" s="1790">
        <f t="shared" si="3"/>
        <v>0</v>
      </c>
    </row>
    <row r="45" spans="1:7" x14ac:dyDescent="0.25">
      <c r="A45" s="1650"/>
      <c r="B45" s="1930"/>
      <c r="C45" s="1651"/>
      <c r="D45" s="1841"/>
      <c r="E45" s="1537">
        <f t="shared" si="2"/>
        <v>0</v>
      </c>
      <c r="F45" s="1927">
        <f t="shared" si="1"/>
        <v>0</v>
      </c>
      <c r="G45" s="1790">
        <f t="shared" si="3"/>
        <v>0</v>
      </c>
    </row>
    <row r="46" spans="1:7" x14ac:dyDescent="0.25">
      <c r="A46" s="1650"/>
      <c r="B46" s="1664"/>
      <c r="C46" s="1651"/>
      <c r="D46" s="1841"/>
      <c r="E46" s="1537">
        <f t="shared" si="2"/>
        <v>0</v>
      </c>
      <c r="F46" s="1927">
        <f t="shared" si="1"/>
        <v>0</v>
      </c>
      <c r="G46" s="1790">
        <f t="shared" si="3"/>
        <v>0</v>
      </c>
    </row>
    <row r="47" spans="1:7" x14ac:dyDescent="0.25">
      <c r="A47" s="1650"/>
      <c r="B47" s="1664"/>
      <c r="C47" s="1651"/>
      <c r="D47" s="1841"/>
      <c r="E47" s="1537">
        <f t="shared" si="2"/>
        <v>0</v>
      </c>
      <c r="F47" s="1927">
        <f t="shared" si="1"/>
        <v>0</v>
      </c>
      <c r="G47" s="1790">
        <f t="shared" si="3"/>
        <v>0</v>
      </c>
    </row>
    <row r="48" spans="1:7" x14ac:dyDescent="0.25">
      <c r="A48" s="1650"/>
      <c r="B48" s="1664"/>
      <c r="C48" s="1651"/>
      <c r="D48" s="1841"/>
      <c r="E48" s="1537">
        <f t="shared" si="2"/>
        <v>0</v>
      </c>
      <c r="F48" s="1927">
        <f t="shared" si="1"/>
        <v>0</v>
      </c>
      <c r="G48" s="1790">
        <f t="shared" si="3"/>
        <v>0</v>
      </c>
    </row>
    <row r="49" spans="1:7" x14ac:dyDescent="0.25">
      <c r="A49" s="1650"/>
      <c r="B49" s="1664"/>
      <c r="C49" s="1651"/>
      <c r="D49" s="1841"/>
      <c r="E49" s="1537">
        <f t="shared" si="2"/>
        <v>0</v>
      </c>
      <c r="F49" s="1927">
        <f t="shared" si="1"/>
        <v>0</v>
      </c>
      <c r="G49" s="1790">
        <f t="shared" si="3"/>
        <v>0</v>
      </c>
    </row>
    <row r="50" spans="1:7" x14ac:dyDescent="0.25">
      <c r="A50" s="1650"/>
      <c r="B50" s="1664"/>
      <c r="C50" s="1651"/>
      <c r="D50" s="1841"/>
      <c r="E50" s="1537">
        <f t="shared" si="2"/>
        <v>0</v>
      </c>
      <c r="F50" s="1927">
        <f t="shared" si="1"/>
        <v>0</v>
      </c>
      <c r="G50" s="1790">
        <f t="shared" si="3"/>
        <v>0</v>
      </c>
    </row>
    <row r="51" spans="1:7" x14ac:dyDescent="0.25">
      <c r="A51" s="1650"/>
      <c r="B51" s="1664"/>
      <c r="C51" s="1651"/>
      <c r="D51" s="1841"/>
      <c r="E51" s="1537">
        <f t="shared" si="2"/>
        <v>0</v>
      </c>
      <c r="F51" s="1927">
        <f t="shared" si="1"/>
        <v>0</v>
      </c>
      <c r="G51" s="1790">
        <f t="shared" si="3"/>
        <v>0</v>
      </c>
    </row>
    <row r="52" spans="1:7" x14ac:dyDescent="0.25">
      <c r="A52" s="1650"/>
      <c r="B52" s="1664"/>
      <c r="C52" s="1651"/>
      <c r="D52" s="1841"/>
      <c r="E52" s="1537">
        <f t="shared" si="2"/>
        <v>0</v>
      </c>
      <c r="F52" s="1927">
        <f t="shared" si="1"/>
        <v>0</v>
      </c>
      <c r="G52" s="1790">
        <f t="shared" si="3"/>
        <v>0</v>
      </c>
    </row>
    <row r="53" spans="1:7" x14ac:dyDescent="0.25">
      <c r="A53" s="1650"/>
      <c r="B53" s="1664"/>
      <c r="C53" s="1651"/>
      <c r="D53" s="1841"/>
      <c r="E53" s="1537">
        <f t="shared" si="2"/>
        <v>0</v>
      </c>
      <c r="F53" s="1927">
        <f t="shared" si="1"/>
        <v>0</v>
      </c>
      <c r="G53" s="1790">
        <f t="shared" si="3"/>
        <v>0</v>
      </c>
    </row>
    <row r="54" spans="1:7" x14ac:dyDescent="0.25">
      <c r="A54" s="1650"/>
      <c r="B54" s="1664"/>
      <c r="C54" s="1651"/>
      <c r="D54" s="1841"/>
      <c r="E54" s="1537">
        <f t="shared" si="2"/>
        <v>0</v>
      </c>
      <c r="F54" s="1927">
        <f t="shared" si="1"/>
        <v>0</v>
      </c>
      <c r="G54" s="1790">
        <f t="shared" si="3"/>
        <v>0</v>
      </c>
    </row>
    <row r="55" spans="1:7" x14ac:dyDescent="0.25">
      <c r="A55" s="1650"/>
      <c r="B55" s="1664"/>
      <c r="C55" s="1651"/>
      <c r="D55" s="1841"/>
      <c r="E55" s="1537">
        <f t="shared" si="2"/>
        <v>0</v>
      </c>
      <c r="F55" s="1927">
        <f t="shared" si="1"/>
        <v>0</v>
      </c>
      <c r="G55" s="1790">
        <f t="shared" si="3"/>
        <v>0</v>
      </c>
    </row>
    <row r="56" spans="1:7" x14ac:dyDescent="0.25">
      <c r="A56" s="1650"/>
      <c r="B56" s="1664"/>
      <c r="C56" s="1651"/>
      <c r="D56" s="1841"/>
      <c r="E56" s="1537">
        <f t="shared" si="2"/>
        <v>0</v>
      </c>
      <c r="F56" s="1927">
        <f t="shared" si="1"/>
        <v>0</v>
      </c>
      <c r="G56" s="1790">
        <f t="shared" si="3"/>
        <v>0</v>
      </c>
    </row>
    <row r="57" spans="1:7" x14ac:dyDescent="0.25">
      <c r="A57" s="1650"/>
      <c r="B57" s="1664"/>
      <c r="C57" s="1651"/>
      <c r="D57" s="1841"/>
      <c r="E57" s="1537">
        <f t="shared" si="2"/>
        <v>0</v>
      </c>
      <c r="F57" s="1927">
        <f t="shared" si="1"/>
        <v>0</v>
      </c>
      <c r="G57" s="1790">
        <f t="shared" si="3"/>
        <v>0</v>
      </c>
    </row>
    <row r="58" spans="1:7" x14ac:dyDescent="0.25">
      <c r="A58" s="1650"/>
      <c r="B58" s="1664"/>
      <c r="C58" s="1651"/>
      <c r="D58" s="1841"/>
      <c r="E58" s="1537">
        <f t="shared" si="2"/>
        <v>0</v>
      </c>
      <c r="F58" s="1927">
        <f t="shared" si="1"/>
        <v>0</v>
      </c>
      <c r="G58" s="1790">
        <f t="shared" si="3"/>
        <v>0</v>
      </c>
    </row>
    <row r="59" spans="1:7" x14ac:dyDescent="0.25">
      <c r="A59" s="1650"/>
      <c r="B59" s="1664"/>
      <c r="C59" s="1651"/>
      <c r="D59" s="1841"/>
      <c r="E59" s="1537">
        <f t="shared" si="2"/>
        <v>0</v>
      </c>
      <c r="F59" s="1927">
        <f t="shared" si="1"/>
        <v>0</v>
      </c>
      <c r="G59" s="1790">
        <f t="shared" si="3"/>
        <v>0</v>
      </c>
    </row>
    <row r="60" spans="1:7" x14ac:dyDescent="0.25">
      <c r="A60" s="1650"/>
      <c r="B60" s="1664"/>
      <c r="C60" s="1651"/>
      <c r="D60" s="1841"/>
      <c r="E60" s="1537">
        <f t="shared" si="2"/>
        <v>0</v>
      </c>
      <c r="F60" s="1927">
        <f t="shared" si="1"/>
        <v>0</v>
      </c>
      <c r="G60" s="1790">
        <f t="shared" si="3"/>
        <v>0</v>
      </c>
    </row>
    <row r="61" spans="1:7" x14ac:dyDescent="0.25">
      <c r="A61" s="1650"/>
      <c r="B61" s="1664"/>
      <c r="C61" s="1651"/>
      <c r="D61" s="1841"/>
      <c r="E61" s="1537">
        <f t="shared" si="2"/>
        <v>0</v>
      </c>
      <c r="F61" s="1927">
        <f t="shared" si="1"/>
        <v>0</v>
      </c>
      <c r="G61" s="1790">
        <f t="shared" si="3"/>
        <v>0</v>
      </c>
    </row>
    <row r="62" spans="1:7" x14ac:dyDescent="0.25">
      <c r="A62" s="1650"/>
      <c r="B62" s="1664"/>
      <c r="C62" s="1651"/>
      <c r="D62" s="1841"/>
      <c r="E62" s="1537">
        <f t="shared" si="2"/>
        <v>0</v>
      </c>
      <c r="F62" s="1927">
        <f t="shared" si="1"/>
        <v>0</v>
      </c>
      <c r="G62" s="1790">
        <f t="shared" si="3"/>
        <v>0</v>
      </c>
    </row>
    <row r="63" spans="1:7" x14ac:dyDescent="0.25">
      <c r="A63" s="1650"/>
      <c r="B63" s="1664"/>
      <c r="C63" s="1651"/>
      <c r="D63" s="1841"/>
      <c r="E63" s="1537">
        <f t="shared" si="2"/>
        <v>0</v>
      </c>
      <c r="F63" s="1927">
        <f t="shared" si="1"/>
        <v>0</v>
      </c>
      <c r="G63" s="1790">
        <f t="shared" si="3"/>
        <v>0</v>
      </c>
    </row>
    <row r="64" spans="1:7" x14ac:dyDescent="0.25">
      <c r="A64" s="1652"/>
      <c r="B64" s="1664"/>
      <c r="C64" s="1653"/>
      <c r="D64" s="1841"/>
      <c r="E64" s="1537">
        <f t="shared" si="2"/>
        <v>0</v>
      </c>
      <c r="F64" s="1927">
        <f t="shared" si="1"/>
        <v>0</v>
      </c>
      <c r="G64" s="1790">
        <f t="shared" si="3"/>
        <v>0</v>
      </c>
    </row>
    <row r="65" spans="1:7" x14ac:dyDescent="0.25">
      <c r="A65" s="1650"/>
      <c r="B65" s="1664"/>
      <c r="C65" s="1651"/>
      <c r="D65" s="1841"/>
      <c r="E65" s="1537">
        <f t="shared" si="2"/>
        <v>0</v>
      </c>
      <c r="F65" s="1927">
        <f t="shared" si="1"/>
        <v>0</v>
      </c>
      <c r="G65" s="1790">
        <f t="shared" si="3"/>
        <v>0</v>
      </c>
    </row>
    <row r="66" spans="1:7" x14ac:dyDescent="0.25">
      <c r="A66" s="1650"/>
      <c r="B66" s="1664"/>
      <c r="C66" s="1651"/>
      <c r="D66" s="1841"/>
      <c r="E66" s="1537">
        <f t="shared" si="2"/>
        <v>0</v>
      </c>
      <c r="F66" s="1927">
        <f t="shared" si="1"/>
        <v>0</v>
      </c>
      <c r="G66" s="1790">
        <f t="shared" si="3"/>
        <v>0</v>
      </c>
    </row>
    <row r="67" spans="1:7" x14ac:dyDescent="0.25">
      <c r="A67" s="1650"/>
      <c r="B67" s="1664"/>
      <c r="C67" s="1651"/>
      <c r="D67" s="1841"/>
      <c r="E67" s="1537">
        <f t="shared" si="2"/>
        <v>0</v>
      </c>
      <c r="F67" s="1927">
        <f t="shared" si="1"/>
        <v>0</v>
      </c>
      <c r="G67" s="1790">
        <f t="shared" si="3"/>
        <v>0</v>
      </c>
    </row>
    <row r="68" spans="1:7" x14ac:dyDescent="0.25">
      <c r="A68" s="1650"/>
      <c r="B68" s="1664"/>
      <c r="C68" s="1651"/>
      <c r="D68" s="1841"/>
      <c r="E68" s="1537">
        <f t="shared" si="2"/>
        <v>0</v>
      </c>
      <c r="F68" s="1927">
        <f t="shared" si="1"/>
        <v>0</v>
      </c>
      <c r="G68" s="1790">
        <f t="shared" si="3"/>
        <v>0</v>
      </c>
    </row>
    <row r="69" spans="1:7" x14ac:dyDescent="0.25">
      <c r="A69" s="1650"/>
      <c r="B69" s="1664"/>
      <c r="C69" s="1651"/>
      <c r="D69" s="1841"/>
      <c r="E69" s="1537">
        <f t="shared" si="2"/>
        <v>0</v>
      </c>
      <c r="F69" s="1927">
        <f t="shared" si="1"/>
        <v>0</v>
      </c>
      <c r="G69" s="1790">
        <f t="shared" si="3"/>
        <v>0</v>
      </c>
    </row>
    <row r="70" spans="1:7" x14ac:dyDescent="0.25">
      <c r="A70" s="1650"/>
      <c r="B70" s="1664"/>
      <c r="C70" s="1651"/>
      <c r="D70" s="1841"/>
      <c r="E70" s="1537">
        <f t="shared" si="2"/>
        <v>0</v>
      </c>
      <c r="F70" s="1927">
        <f t="shared" si="1"/>
        <v>0</v>
      </c>
      <c r="G70" s="1790">
        <f t="shared" si="3"/>
        <v>0</v>
      </c>
    </row>
    <row r="71" spans="1:7" x14ac:dyDescent="0.25">
      <c r="A71" s="1650"/>
      <c r="B71" s="1664"/>
      <c r="C71" s="1651"/>
      <c r="D71" s="1841"/>
      <c r="E71" s="1537">
        <f t="shared" si="2"/>
        <v>0</v>
      </c>
      <c r="F71" s="1927">
        <f t="shared" si="1"/>
        <v>0</v>
      </c>
      <c r="G71" s="1790">
        <f t="shared" si="3"/>
        <v>0</v>
      </c>
    </row>
    <row r="72" spans="1:7" x14ac:dyDescent="0.25">
      <c r="A72" s="1650"/>
      <c r="B72" s="1664"/>
      <c r="C72" s="1651"/>
      <c r="D72" s="1841"/>
      <c r="E72" s="1537">
        <f t="shared" si="2"/>
        <v>0</v>
      </c>
      <c r="F72" s="1927">
        <f t="shared" si="1"/>
        <v>0</v>
      </c>
      <c r="G72" s="1790">
        <f t="shared" si="3"/>
        <v>0</v>
      </c>
    </row>
    <row r="73" spans="1:7" x14ac:dyDescent="0.25">
      <c r="A73" s="1650"/>
      <c r="B73" s="1664"/>
      <c r="C73" s="1651"/>
      <c r="D73" s="1841"/>
      <c r="E73" s="1537">
        <f t="shared" ref="E73:E84" si="4">IF(D73&lt;=25000,D73,IF(D73&gt;25000,25000,0))</f>
        <v>0</v>
      </c>
      <c r="F73" s="1927">
        <f t="shared" si="1"/>
        <v>0</v>
      </c>
      <c r="G73" s="1790">
        <f t="shared" ref="G73:G84" si="5">IF(F73=0,0,D73-F73)</f>
        <v>0</v>
      </c>
    </row>
    <row r="74" spans="1:7" x14ac:dyDescent="0.25">
      <c r="A74" s="1650"/>
      <c r="B74" s="1664"/>
      <c r="C74" s="1651"/>
      <c r="D74" s="1841"/>
      <c r="E74" s="1537">
        <f t="shared" si="4"/>
        <v>0</v>
      </c>
      <c r="F74" s="1927">
        <f t="shared" si="1"/>
        <v>0</v>
      </c>
      <c r="G74" s="1790">
        <f t="shared" si="5"/>
        <v>0</v>
      </c>
    </row>
    <row r="75" spans="1:7" x14ac:dyDescent="0.25">
      <c r="A75" s="1650"/>
      <c r="B75" s="1664"/>
      <c r="C75" s="1651"/>
      <c r="D75" s="1841"/>
      <c r="E75" s="1537">
        <f t="shared" si="4"/>
        <v>0</v>
      </c>
      <c r="F75" s="1927">
        <f t="shared" si="1"/>
        <v>0</v>
      </c>
      <c r="G75" s="1790">
        <f t="shared" si="5"/>
        <v>0</v>
      </c>
    </row>
    <row r="76" spans="1:7" x14ac:dyDescent="0.25">
      <c r="A76" s="1650"/>
      <c r="B76" s="1664"/>
      <c r="C76" s="1651"/>
      <c r="D76" s="1841"/>
      <c r="E76" s="1537">
        <f t="shared" si="4"/>
        <v>0</v>
      </c>
      <c r="F76" s="1927">
        <f t="shared" si="1"/>
        <v>0</v>
      </c>
      <c r="G76" s="1790">
        <f t="shared" si="5"/>
        <v>0</v>
      </c>
    </row>
    <row r="77" spans="1:7" x14ac:dyDescent="0.25">
      <c r="A77" s="1650"/>
      <c r="B77" s="1664"/>
      <c r="C77" s="1651"/>
      <c r="D77" s="1841"/>
      <c r="E77" s="1537">
        <f t="shared" si="4"/>
        <v>0</v>
      </c>
      <c r="F77" s="1927">
        <f t="shared" si="1"/>
        <v>0</v>
      </c>
      <c r="G77" s="1790">
        <f t="shared" si="5"/>
        <v>0</v>
      </c>
    </row>
    <row r="78" spans="1:7" x14ac:dyDescent="0.25">
      <c r="A78" s="1650"/>
      <c r="B78" s="1664"/>
      <c r="C78" s="1651"/>
      <c r="D78" s="1841"/>
      <c r="E78" s="1537">
        <f t="shared" si="4"/>
        <v>0</v>
      </c>
      <c r="F78" s="1927">
        <f t="shared" si="1"/>
        <v>0</v>
      </c>
      <c r="G78" s="1790">
        <f t="shared" si="5"/>
        <v>0</v>
      </c>
    </row>
    <row r="79" spans="1:7" x14ac:dyDescent="0.25">
      <c r="A79" s="1650"/>
      <c r="B79" s="1664"/>
      <c r="C79" s="1651"/>
      <c r="D79" s="1841"/>
      <c r="E79" s="1537">
        <f t="shared" si="4"/>
        <v>0</v>
      </c>
      <c r="F79" s="1927">
        <f t="shared" si="1"/>
        <v>0</v>
      </c>
      <c r="G79" s="1790">
        <f t="shared" si="5"/>
        <v>0</v>
      </c>
    </row>
    <row r="80" spans="1:7" x14ac:dyDescent="0.25">
      <c r="A80" s="1650"/>
      <c r="B80" s="1664"/>
      <c r="C80" s="1651"/>
      <c r="D80" s="1841"/>
      <c r="E80" s="1537">
        <f t="shared" si="4"/>
        <v>0</v>
      </c>
      <c r="F80" s="1927">
        <f t="shared" si="1"/>
        <v>0</v>
      </c>
      <c r="G80" s="1790">
        <f t="shared" si="5"/>
        <v>0</v>
      </c>
    </row>
    <row r="81" spans="1:7" x14ac:dyDescent="0.25">
      <c r="A81" s="1650"/>
      <c r="B81" s="1664"/>
      <c r="C81" s="1651"/>
      <c r="D81" s="1841"/>
      <c r="E81" s="1537">
        <f t="shared" si="4"/>
        <v>0</v>
      </c>
      <c r="F81" s="192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7">
        <f t="shared" si="6"/>
        <v>0</v>
      </c>
      <c r="G82" s="1790">
        <f t="shared" si="5"/>
        <v>0</v>
      </c>
    </row>
    <row r="83" spans="1:7" x14ac:dyDescent="0.25">
      <c r="A83" s="1650"/>
      <c r="B83" s="1664"/>
      <c r="C83" s="1651"/>
      <c r="D83" s="1841"/>
      <c r="E83" s="1537">
        <f t="shared" si="4"/>
        <v>0</v>
      </c>
      <c r="F83" s="1927">
        <f t="shared" si="6"/>
        <v>0</v>
      </c>
      <c r="G83" s="1790">
        <f t="shared" si="5"/>
        <v>0</v>
      </c>
    </row>
    <row r="84" spans="1:7" x14ac:dyDescent="0.25">
      <c r="A84" s="1650"/>
      <c r="B84" s="1664"/>
      <c r="C84" s="1651"/>
      <c r="D84" s="1841"/>
      <c r="E84" s="1537">
        <f t="shared" si="4"/>
        <v>0</v>
      </c>
      <c r="F84" s="1927">
        <f t="shared" si="6"/>
        <v>0</v>
      </c>
      <c r="G84" s="1790">
        <f t="shared" si="5"/>
        <v>0</v>
      </c>
    </row>
    <row r="85" spans="1:7" x14ac:dyDescent="0.25">
      <c r="A85" s="1650"/>
      <c r="B85" s="1664"/>
      <c r="C85" s="1651"/>
      <c r="D85" s="1841"/>
      <c r="E85" s="1537">
        <f t="shared" si="2"/>
        <v>0</v>
      </c>
      <c r="F85" s="1927">
        <f t="shared" si="6"/>
        <v>0</v>
      </c>
      <c r="G85" s="1790">
        <f t="shared" si="3"/>
        <v>0</v>
      </c>
    </row>
    <row r="86" spans="1:7" x14ac:dyDescent="0.25">
      <c r="A86" s="1650"/>
      <c r="B86" s="1664"/>
      <c r="C86" s="1651"/>
      <c r="D86" s="1841"/>
      <c r="E86" s="1537">
        <f t="shared" si="2"/>
        <v>0</v>
      </c>
      <c r="F86" s="1927">
        <f t="shared" si="6"/>
        <v>0</v>
      </c>
      <c r="G86" s="1790">
        <f t="shared" si="3"/>
        <v>0</v>
      </c>
    </row>
    <row r="87" spans="1:7" x14ac:dyDescent="0.25">
      <c r="A87" s="1650"/>
      <c r="B87" s="1664"/>
      <c r="C87" s="1651"/>
      <c r="D87" s="1841"/>
      <c r="E87" s="1537">
        <f t="shared" si="2"/>
        <v>0</v>
      </c>
      <c r="F87" s="1927">
        <f t="shared" si="6"/>
        <v>0</v>
      </c>
      <c r="G87" s="1790">
        <f t="shared" si="3"/>
        <v>0</v>
      </c>
    </row>
    <row r="88" spans="1:7" x14ac:dyDescent="0.25">
      <c r="A88" s="1650"/>
      <c r="B88" s="1664"/>
      <c r="C88" s="1651"/>
      <c r="D88" s="1841"/>
      <c r="E88" s="1537">
        <f t="shared" si="2"/>
        <v>0</v>
      </c>
      <c r="F88" s="1927">
        <f t="shared" si="6"/>
        <v>0</v>
      </c>
      <c r="G88" s="1790">
        <f t="shared" si="3"/>
        <v>0</v>
      </c>
    </row>
    <row r="89" spans="1:7" x14ac:dyDescent="0.25">
      <c r="A89" s="1650"/>
      <c r="B89" s="1664"/>
      <c r="C89" s="1651"/>
      <c r="D89" s="1841"/>
      <c r="E89" s="1537">
        <f t="shared" si="2"/>
        <v>0</v>
      </c>
      <c r="F89" s="1927">
        <f t="shared" si="6"/>
        <v>0</v>
      </c>
      <c r="G89" s="1790">
        <f t="shared" si="3"/>
        <v>0</v>
      </c>
    </row>
    <row r="90" spans="1:7" x14ac:dyDescent="0.25">
      <c r="A90" s="1650"/>
      <c r="B90" s="1664"/>
      <c r="C90" s="1651"/>
      <c r="D90" s="1841"/>
      <c r="E90" s="1537">
        <f t="shared" si="2"/>
        <v>0</v>
      </c>
      <c r="F90" s="1927">
        <f t="shared" si="6"/>
        <v>0</v>
      </c>
      <c r="G90" s="1790">
        <f t="shared" si="3"/>
        <v>0</v>
      </c>
    </row>
    <row r="91" spans="1:7" x14ac:dyDescent="0.25">
      <c r="A91" s="1650"/>
      <c r="B91" s="1664"/>
      <c r="C91" s="1651"/>
      <c r="D91" s="1841"/>
      <c r="E91" s="1537">
        <f t="shared" si="2"/>
        <v>0</v>
      </c>
      <c r="F91" s="1927">
        <f t="shared" si="6"/>
        <v>0</v>
      </c>
      <c r="G91" s="1790">
        <f t="shared" si="3"/>
        <v>0</v>
      </c>
    </row>
    <row r="92" spans="1:7" x14ac:dyDescent="0.25">
      <c r="A92" s="1650"/>
      <c r="B92" s="1664"/>
      <c r="C92" s="1651"/>
      <c r="D92" s="1841"/>
      <c r="E92" s="1537">
        <f t="shared" si="2"/>
        <v>0</v>
      </c>
      <c r="F92" s="1927">
        <f t="shared" si="6"/>
        <v>0</v>
      </c>
      <c r="G92" s="1790">
        <f t="shared" si="3"/>
        <v>0</v>
      </c>
    </row>
    <row r="93" spans="1:7" x14ac:dyDescent="0.25">
      <c r="A93" s="1650"/>
      <c r="B93" s="1664"/>
      <c r="C93" s="1651"/>
      <c r="D93" s="1841"/>
      <c r="E93" s="1537">
        <f t="shared" ref="E93" si="7">IF(D93&lt;=25000,D93,IF(D93&gt;25000,25000,0))</f>
        <v>0</v>
      </c>
      <c r="F93" s="1927">
        <f t="shared" si="6"/>
        <v>0</v>
      </c>
      <c r="G93" s="1790">
        <f t="shared" ref="G93" si="8">IF(F93=0,0,D93-F93)</f>
        <v>0</v>
      </c>
    </row>
    <row r="94" spans="1:7" x14ac:dyDescent="0.25">
      <c r="A94" s="1650"/>
      <c r="B94" s="1664"/>
      <c r="C94" s="1651"/>
      <c r="D94" s="1841"/>
      <c r="E94" s="1537">
        <f t="shared" si="2"/>
        <v>0</v>
      </c>
      <c r="F94" s="1927">
        <f t="shared" si="6"/>
        <v>0</v>
      </c>
      <c r="G94" s="1790">
        <f t="shared" si="3"/>
        <v>0</v>
      </c>
    </row>
    <row r="95" spans="1:7" x14ac:dyDescent="0.25">
      <c r="A95" s="1650"/>
      <c r="B95" s="1664"/>
      <c r="C95" s="1651"/>
      <c r="D95" s="1841"/>
      <c r="E95" s="1537">
        <f t="shared" ref="E95:E98" si="9">IF(D95&lt;=25000,D95,IF(D95&gt;25000,25000,0))</f>
        <v>0</v>
      </c>
      <c r="F95" s="1927">
        <f t="shared" si="6"/>
        <v>0</v>
      </c>
      <c r="G95" s="1790">
        <f t="shared" ref="G95:G98" si="10">IF(F95=0,0,D95-F95)</f>
        <v>0</v>
      </c>
    </row>
    <row r="96" spans="1:7" x14ac:dyDescent="0.25">
      <c r="A96" s="1650"/>
      <c r="B96" s="1664"/>
      <c r="C96" s="1651"/>
      <c r="D96" s="1841"/>
      <c r="E96" s="1537">
        <f t="shared" si="9"/>
        <v>0</v>
      </c>
      <c r="F96" s="1927">
        <f t="shared" si="6"/>
        <v>0</v>
      </c>
      <c r="G96" s="1790">
        <f t="shared" si="10"/>
        <v>0</v>
      </c>
    </row>
    <row r="97" spans="1:7" x14ac:dyDescent="0.25">
      <c r="A97" s="1650"/>
      <c r="B97" s="1664"/>
      <c r="C97" s="1651"/>
      <c r="D97" s="1841"/>
      <c r="E97" s="1537">
        <f t="shared" si="9"/>
        <v>0</v>
      </c>
      <c r="F97" s="1927">
        <f t="shared" si="6"/>
        <v>0</v>
      </c>
      <c r="G97" s="1790">
        <f t="shared" si="10"/>
        <v>0</v>
      </c>
    </row>
    <row r="98" spans="1:7" x14ac:dyDescent="0.25">
      <c r="A98" s="1650"/>
      <c r="B98" s="1664"/>
      <c r="C98" s="1651"/>
      <c r="D98" s="1841"/>
      <c r="E98" s="1537">
        <f t="shared" si="9"/>
        <v>0</v>
      </c>
      <c r="F98" s="1927">
        <f t="shared" si="6"/>
        <v>0</v>
      </c>
      <c r="G98" s="1790">
        <f t="shared" si="10"/>
        <v>0</v>
      </c>
    </row>
    <row r="99" spans="1:7" x14ac:dyDescent="0.25">
      <c r="A99" s="1650"/>
      <c r="B99" s="1664"/>
      <c r="C99" s="1651"/>
      <c r="D99" s="1841"/>
      <c r="E99" s="1537">
        <f t="shared" ref="E99" si="11">IF(D99&lt;=25000,D99,IF(D99&gt;25000,25000,0))</f>
        <v>0</v>
      </c>
      <c r="F99" s="1927">
        <f t="shared" si="6"/>
        <v>0</v>
      </c>
      <c r="G99" s="1790">
        <f t="shared" ref="G99" si="12">IF(F99=0,0,D99-F99)</f>
        <v>0</v>
      </c>
    </row>
    <row r="100" spans="1:7" x14ac:dyDescent="0.25">
      <c r="A100" s="1650"/>
      <c r="B100" s="1664"/>
      <c r="C100" s="1651"/>
      <c r="D100" s="1841"/>
      <c r="E100" s="1537">
        <f t="shared" ref="E100:E112" si="13">IF(D100&lt;=25000,D100,IF(D100&gt;25000,25000,0))</f>
        <v>0</v>
      </c>
      <c r="F100" s="1927">
        <f t="shared" si="6"/>
        <v>0</v>
      </c>
      <c r="G100" s="1790">
        <f t="shared" ref="G100:G112" si="14">IF(F100=0,0,D100-F100)</f>
        <v>0</v>
      </c>
    </row>
    <row r="101" spans="1:7" x14ac:dyDescent="0.25">
      <c r="A101" s="1650"/>
      <c r="B101" s="1664"/>
      <c r="C101" s="1651"/>
      <c r="D101" s="1841"/>
      <c r="E101" s="1537">
        <f t="shared" si="13"/>
        <v>0</v>
      </c>
      <c r="F101" s="1927">
        <f t="shared" si="6"/>
        <v>0</v>
      </c>
      <c r="G101" s="1790">
        <f t="shared" si="14"/>
        <v>0</v>
      </c>
    </row>
    <row r="102" spans="1:7" x14ac:dyDescent="0.25">
      <c r="A102" s="1650"/>
      <c r="B102" s="1664"/>
      <c r="C102" s="1651"/>
      <c r="D102" s="1841"/>
      <c r="E102" s="1537">
        <f t="shared" si="13"/>
        <v>0</v>
      </c>
      <c r="F102" s="1927">
        <f t="shared" si="6"/>
        <v>0</v>
      </c>
      <c r="G102" s="1790">
        <f t="shared" si="14"/>
        <v>0</v>
      </c>
    </row>
    <row r="103" spans="1:7" x14ac:dyDescent="0.25">
      <c r="A103" s="1650"/>
      <c r="B103" s="1664"/>
      <c r="C103" s="1651"/>
      <c r="D103" s="1841"/>
      <c r="E103" s="1537">
        <f t="shared" si="13"/>
        <v>0</v>
      </c>
      <c r="F103" s="1927">
        <f t="shared" si="6"/>
        <v>0</v>
      </c>
      <c r="G103" s="1790">
        <f t="shared" si="14"/>
        <v>0</v>
      </c>
    </row>
    <row r="104" spans="1:7" x14ac:dyDescent="0.25">
      <c r="A104" s="1650"/>
      <c r="B104" s="1664"/>
      <c r="C104" s="1651"/>
      <c r="D104" s="1841"/>
      <c r="E104" s="1537">
        <f t="shared" si="13"/>
        <v>0</v>
      </c>
      <c r="F104" s="1927">
        <f t="shared" si="6"/>
        <v>0</v>
      </c>
      <c r="G104" s="1790">
        <f t="shared" si="14"/>
        <v>0</v>
      </c>
    </row>
    <row r="105" spans="1:7" x14ac:dyDescent="0.25">
      <c r="A105" s="1650"/>
      <c r="B105" s="1664"/>
      <c r="C105" s="1651"/>
      <c r="D105" s="1841"/>
      <c r="E105" s="1537">
        <f t="shared" si="13"/>
        <v>0</v>
      </c>
      <c r="F105" s="1927">
        <f t="shared" si="6"/>
        <v>0</v>
      </c>
      <c r="G105" s="1790">
        <f t="shared" si="14"/>
        <v>0</v>
      </c>
    </row>
    <row r="106" spans="1:7" x14ac:dyDescent="0.25">
      <c r="A106" s="1650"/>
      <c r="B106" s="1664"/>
      <c r="C106" s="1651"/>
      <c r="D106" s="1841"/>
      <c r="E106" s="1537">
        <f t="shared" si="13"/>
        <v>0</v>
      </c>
      <c r="F106" s="1927">
        <f t="shared" si="6"/>
        <v>0</v>
      </c>
      <c r="G106" s="1790">
        <f t="shared" si="14"/>
        <v>0</v>
      </c>
    </row>
    <row r="107" spans="1:7" x14ac:dyDescent="0.25">
      <c r="A107" s="1650"/>
      <c r="B107" s="1664"/>
      <c r="C107" s="1651"/>
      <c r="D107" s="1841"/>
      <c r="E107" s="1537">
        <f t="shared" si="13"/>
        <v>0</v>
      </c>
      <c r="F107" s="1927">
        <f t="shared" si="6"/>
        <v>0</v>
      </c>
      <c r="G107" s="1790">
        <f t="shared" si="14"/>
        <v>0</v>
      </c>
    </row>
    <row r="108" spans="1:7" x14ac:dyDescent="0.25">
      <c r="A108" s="1650"/>
      <c r="B108" s="1664"/>
      <c r="C108" s="1651"/>
      <c r="D108" s="1841"/>
      <c r="E108" s="1537">
        <f t="shared" si="13"/>
        <v>0</v>
      </c>
      <c r="F108" s="1927">
        <f t="shared" si="6"/>
        <v>0</v>
      </c>
      <c r="G108" s="1790">
        <f t="shared" si="14"/>
        <v>0</v>
      </c>
    </row>
    <row r="109" spans="1:7" x14ac:dyDescent="0.25">
      <c r="A109" s="1650"/>
      <c r="B109" s="1664"/>
      <c r="C109" s="1651"/>
      <c r="D109" s="1841"/>
      <c r="E109" s="1537">
        <f t="shared" si="13"/>
        <v>0</v>
      </c>
      <c r="F109" s="1927">
        <f t="shared" si="6"/>
        <v>0</v>
      </c>
      <c r="G109" s="1790">
        <f t="shared" si="14"/>
        <v>0</v>
      </c>
    </row>
    <row r="110" spans="1:7" x14ac:dyDescent="0.25">
      <c r="A110" s="1650"/>
      <c r="B110" s="1664"/>
      <c r="C110" s="1651"/>
      <c r="D110" s="1841"/>
      <c r="E110" s="1537">
        <f t="shared" si="13"/>
        <v>0</v>
      </c>
      <c r="F110" s="1927">
        <f t="shared" si="6"/>
        <v>0</v>
      </c>
      <c r="G110" s="1790">
        <f t="shared" si="14"/>
        <v>0</v>
      </c>
    </row>
    <row r="111" spans="1:7" x14ac:dyDescent="0.25">
      <c r="A111" s="1650"/>
      <c r="B111" s="1664"/>
      <c r="C111" s="1651"/>
      <c r="D111" s="1841"/>
      <c r="E111" s="1537">
        <f t="shared" si="13"/>
        <v>0</v>
      </c>
      <c r="F111" s="1927">
        <f t="shared" si="6"/>
        <v>0</v>
      </c>
      <c r="G111" s="1790">
        <f t="shared" si="14"/>
        <v>0</v>
      </c>
    </row>
    <row r="112" spans="1:7" x14ac:dyDescent="0.25">
      <c r="A112" s="1650"/>
      <c r="B112" s="1664"/>
      <c r="C112" s="1651"/>
      <c r="D112" s="1841"/>
      <c r="E112" s="1537">
        <f t="shared" si="13"/>
        <v>0</v>
      </c>
      <c r="F112" s="1927">
        <f t="shared" si="6"/>
        <v>0</v>
      </c>
      <c r="G112" s="1790">
        <f t="shared" si="14"/>
        <v>0</v>
      </c>
    </row>
    <row r="113" spans="1:7" x14ac:dyDescent="0.25">
      <c r="A113" s="1650"/>
      <c r="B113" s="1664"/>
      <c r="C113" s="1651"/>
      <c r="D113" s="1841"/>
      <c r="E113" s="1537">
        <f t="shared" ref="E113:E125" si="15">IF(D113&lt;=25000,D113,IF(D113&gt;25000,25000,0))</f>
        <v>0</v>
      </c>
      <c r="F113" s="1927">
        <f t="shared" si="6"/>
        <v>0</v>
      </c>
      <c r="G113" s="1790">
        <f t="shared" ref="G113:G125" si="16">IF(F113=0,0,D113-F113)</f>
        <v>0</v>
      </c>
    </row>
    <row r="114" spans="1:7" x14ac:dyDescent="0.25">
      <c r="A114" s="1650"/>
      <c r="B114" s="1664"/>
      <c r="C114" s="1651"/>
      <c r="D114" s="1841"/>
      <c r="E114" s="1537">
        <f t="shared" si="15"/>
        <v>0</v>
      </c>
      <c r="F114" s="1927">
        <f t="shared" si="6"/>
        <v>0</v>
      </c>
      <c r="G114" s="1790">
        <f t="shared" si="16"/>
        <v>0</v>
      </c>
    </row>
    <row r="115" spans="1:7" x14ac:dyDescent="0.25">
      <c r="A115" s="1650"/>
      <c r="B115" s="1664"/>
      <c r="C115" s="1651"/>
      <c r="D115" s="1841"/>
      <c r="E115" s="1537">
        <f t="shared" si="15"/>
        <v>0</v>
      </c>
      <c r="F115" s="1927">
        <f t="shared" si="6"/>
        <v>0</v>
      </c>
      <c r="G115" s="1790">
        <f t="shared" si="16"/>
        <v>0</v>
      </c>
    </row>
    <row r="116" spans="1:7" x14ac:dyDescent="0.25">
      <c r="A116" s="1650"/>
      <c r="B116" s="1664"/>
      <c r="C116" s="1651"/>
      <c r="D116" s="1841"/>
      <c r="E116" s="1537">
        <f t="shared" si="15"/>
        <v>0</v>
      </c>
      <c r="F116" s="1927">
        <f t="shared" si="6"/>
        <v>0</v>
      </c>
      <c r="G116" s="1790">
        <f t="shared" si="16"/>
        <v>0</v>
      </c>
    </row>
    <row r="117" spans="1:7" x14ac:dyDescent="0.25">
      <c r="A117" s="1650"/>
      <c r="B117" s="1664"/>
      <c r="C117" s="1651"/>
      <c r="D117" s="1841"/>
      <c r="E117" s="1537">
        <f t="shared" si="15"/>
        <v>0</v>
      </c>
      <c r="F117" s="1927">
        <f t="shared" si="6"/>
        <v>0</v>
      </c>
      <c r="G117" s="1790">
        <f t="shared" si="16"/>
        <v>0</v>
      </c>
    </row>
    <row r="118" spans="1:7" x14ac:dyDescent="0.25">
      <c r="A118" s="1650"/>
      <c r="B118" s="1664"/>
      <c r="C118" s="1651"/>
      <c r="D118" s="1841"/>
      <c r="E118" s="1537">
        <f t="shared" si="15"/>
        <v>0</v>
      </c>
      <c r="F118" s="1927">
        <f t="shared" si="6"/>
        <v>0</v>
      </c>
      <c r="G118" s="1790">
        <f t="shared" si="16"/>
        <v>0</v>
      </c>
    </row>
    <row r="119" spans="1:7" x14ac:dyDescent="0.25">
      <c r="A119" s="1650"/>
      <c r="B119" s="1664"/>
      <c r="C119" s="1651"/>
      <c r="D119" s="1841"/>
      <c r="E119" s="1537">
        <f t="shared" si="15"/>
        <v>0</v>
      </c>
      <c r="F119" s="1927">
        <f t="shared" si="6"/>
        <v>0</v>
      </c>
      <c r="G119" s="1790">
        <f t="shared" si="16"/>
        <v>0</v>
      </c>
    </row>
    <row r="120" spans="1:7" x14ac:dyDescent="0.25">
      <c r="A120" s="1650"/>
      <c r="B120" s="1664"/>
      <c r="C120" s="1651"/>
      <c r="D120" s="1841"/>
      <c r="E120" s="1537">
        <f t="shared" si="15"/>
        <v>0</v>
      </c>
      <c r="F120" s="1927">
        <f t="shared" si="6"/>
        <v>0</v>
      </c>
      <c r="G120" s="1790">
        <f t="shared" si="16"/>
        <v>0</v>
      </c>
    </row>
    <row r="121" spans="1:7" x14ac:dyDescent="0.25">
      <c r="A121" s="1650"/>
      <c r="B121" s="1664"/>
      <c r="C121" s="1651"/>
      <c r="D121" s="1841"/>
      <c r="E121" s="1537">
        <f t="shared" si="15"/>
        <v>0</v>
      </c>
      <c r="F121" s="1927">
        <f t="shared" si="6"/>
        <v>0</v>
      </c>
      <c r="G121" s="1790">
        <f t="shared" si="16"/>
        <v>0</v>
      </c>
    </row>
    <row r="122" spans="1:7" x14ac:dyDescent="0.25">
      <c r="A122" s="1650"/>
      <c r="B122" s="1664"/>
      <c r="C122" s="1651"/>
      <c r="D122" s="1841"/>
      <c r="E122" s="1537">
        <f t="shared" si="15"/>
        <v>0</v>
      </c>
      <c r="F122" s="1927">
        <f t="shared" si="6"/>
        <v>0</v>
      </c>
      <c r="G122" s="1790">
        <f t="shared" si="16"/>
        <v>0</v>
      </c>
    </row>
    <row r="123" spans="1:7" x14ac:dyDescent="0.25">
      <c r="A123" s="1650"/>
      <c r="B123" s="1664"/>
      <c r="C123" s="1651"/>
      <c r="D123" s="1841"/>
      <c r="E123" s="1537">
        <f t="shared" si="15"/>
        <v>0</v>
      </c>
      <c r="F123" s="1927">
        <f t="shared" si="6"/>
        <v>0</v>
      </c>
      <c r="G123" s="1790">
        <f t="shared" si="16"/>
        <v>0</v>
      </c>
    </row>
    <row r="124" spans="1:7" x14ac:dyDescent="0.25">
      <c r="A124" s="1650"/>
      <c r="B124" s="1664"/>
      <c r="C124" s="1651"/>
      <c r="D124" s="1841"/>
      <c r="E124" s="1537">
        <f t="shared" si="15"/>
        <v>0</v>
      </c>
      <c r="F124" s="1927">
        <f t="shared" si="6"/>
        <v>0</v>
      </c>
      <c r="G124" s="1790">
        <f t="shared" si="16"/>
        <v>0</v>
      </c>
    </row>
    <row r="125" spans="1:7" x14ac:dyDescent="0.25">
      <c r="A125" s="1650"/>
      <c r="B125" s="1664"/>
      <c r="C125" s="1651"/>
      <c r="D125" s="1841"/>
      <c r="E125" s="1537">
        <f t="shared" si="15"/>
        <v>0</v>
      </c>
      <c r="F125" s="1927">
        <f t="shared" si="6"/>
        <v>0</v>
      </c>
      <c r="G125" s="1790">
        <f t="shared" si="16"/>
        <v>0</v>
      </c>
    </row>
    <row r="126" spans="1:7" x14ac:dyDescent="0.25">
      <c r="A126" s="1650"/>
      <c r="B126" s="1664"/>
      <c r="C126" s="1651"/>
      <c r="D126" s="1841"/>
      <c r="E126" s="1537">
        <f t="shared" ref="E126:E134" si="17">IF(D126&lt;=25000,D126,IF(D126&gt;25000,25000,0))</f>
        <v>0</v>
      </c>
      <c r="F126" s="1927">
        <f t="shared" si="6"/>
        <v>0</v>
      </c>
      <c r="G126" s="1790">
        <f t="shared" ref="G126:G134" si="18">IF(F126=0,0,D126-F126)</f>
        <v>0</v>
      </c>
    </row>
    <row r="127" spans="1:7" x14ac:dyDescent="0.25">
      <c r="A127" s="1650"/>
      <c r="B127" s="1664"/>
      <c r="C127" s="1651"/>
      <c r="D127" s="1841"/>
      <c r="E127" s="1537">
        <f t="shared" si="17"/>
        <v>0</v>
      </c>
      <c r="F127" s="1927">
        <f t="shared" si="6"/>
        <v>0</v>
      </c>
      <c r="G127" s="1790">
        <f t="shared" si="18"/>
        <v>0</v>
      </c>
    </row>
    <row r="128" spans="1:7" x14ac:dyDescent="0.25">
      <c r="A128" s="1650"/>
      <c r="B128" s="1664"/>
      <c r="C128" s="1651"/>
      <c r="D128" s="1841"/>
      <c r="E128" s="1537">
        <f t="shared" si="17"/>
        <v>0</v>
      </c>
      <c r="F128" s="1927">
        <f t="shared" si="6"/>
        <v>0</v>
      </c>
      <c r="G128" s="1790">
        <f t="shared" si="18"/>
        <v>0</v>
      </c>
    </row>
    <row r="129" spans="1:7" x14ac:dyDescent="0.25">
      <c r="A129" s="1650"/>
      <c r="B129" s="1664"/>
      <c r="C129" s="1651"/>
      <c r="D129" s="1841"/>
      <c r="E129" s="1537">
        <f t="shared" si="17"/>
        <v>0</v>
      </c>
      <c r="F129" s="1927">
        <f t="shared" si="6"/>
        <v>0</v>
      </c>
      <c r="G129" s="1790">
        <f t="shared" si="18"/>
        <v>0</v>
      </c>
    </row>
    <row r="130" spans="1:7" x14ac:dyDescent="0.25">
      <c r="A130" s="1650"/>
      <c r="B130" s="1664"/>
      <c r="C130" s="1651"/>
      <c r="D130" s="1841"/>
      <c r="E130" s="1537">
        <f t="shared" si="17"/>
        <v>0</v>
      </c>
      <c r="F130" s="1927">
        <f t="shared" si="6"/>
        <v>0</v>
      </c>
      <c r="G130" s="1790">
        <f t="shared" si="18"/>
        <v>0</v>
      </c>
    </row>
    <row r="131" spans="1:7" x14ac:dyDescent="0.25">
      <c r="A131" s="1650"/>
      <c r="B131" s="1834"/>
      <c r="C131" s="1651"/>
      <c r="D131" s="1841"/>
      <c r="E131" s="1537">
        <f t="shared" si="17"/>
        <v>0</v>
      </c>
      <c r="F131" s="1927">
        <f t="shared" si="6"/>
        <v>0</v>
      </c>
      <c r="G131" s="1790">
        <f t="shared" si="18"/>
        <v>0</v>
      </c>
    </row>
    <row r="132" spans="1:7" x14ac:dyDescent="0.25">
      <c r="A132" s="1650"/>
      <c r="B132" s="1834"/>
      <c r="C132" s="1651"/>
      <c r="D132" s="1841"/>
      <c r="E132" s="1537">
        <f t="shared" si="17"/>
        <v>0</v>
      </c>
      <c r="F132" s="1927">
        <f t="shared" si="6"/>
        <v>0</v>
      </c>
      <c r="G132" s="1790">
        <f t="shared" si="18"/>
        <v>0</v>
      </c>
    </row>
    <row r="133" spans="1:7" x14ac:dyDescent="0.25">
      <c r="A133" s="1650"/>
      <c r="B133" s="1664"/>
      <c r="C133" s="1651"/>
      <c r="D133" s="1841"/>
      <c r="E133" s="1537">
        <f t="shared" si="17"/>
        <v>0</v>
      </c>
      <c r="F133" s="1927">
        <f t="shared" si="6"/>
        <v>0</v>
      </c>
      <c r="G133" s="1790">
        <f t="shared" si="18"/>
        <v>0</v>
      </c>
    </row>
    <row r="134" spans="1:7" x14ac:dyDescent="0.25">
      <c r="A134" s="1650"/>
      <c r="B134" s="1664"/>
      <c r="C134" s="1651"/>
      <c r="D134" s="1841"/>
      <c r="E134" s="1537">
        <f t="shared" si="17"/>
        <v>0</v>
      </c>
      <c r="F134" s="1927">
        <f t="shared" si="6"/>
        <v>0</v>
      </c>
      <c r="G134" s="1790">
        <f t="shared" si="18"/>
        <v>0</v>
      </c>
    </row>
    <row r="135" spans="1:7" x14ac:dyDescent="0.25">
      <c r="A135" s="1650"/>
      <c r="B135" s="1664"/>
      <c r="C135" s="1651"/>
      <c r="D135" s="1841"/>
      <c r="E135" s="1537">
        <f t="shared" ref="E135:E139" si="19">IF(D135&lt;=25000,D135,IF(D135&gt;25000,25000,0))</f>
        <v>0</v>
      </c>
      <c r="F135" s="1927">
        <f t="shared" si="6"/>
        <v>0</v>
      </c>
      <c r="G135" s="1790">
        <f t="shared" ref="G135:G139" si="20">IF(F135=0,0,D135-F135)</f>
        <v>0</v>
      </c>
    </row>
    <row r="136" spans="1:7" x14ac:dyDescent="0.25">
      <c r="A136" s="1650"/>
      <c r="B136" s="1664"/>
      <c r="C136" s="1651"/>
      <c r="D136" s="1841"/>
      <c r="E136" s="1537">
        <f t="shared" si="19"/>
        <v>0</v>
      </c>
      <c r="F136" s="1927">
        <f t="shared" si="6"/>
        <v>0</v>
      </c>
      <c r="G136" s="1790">
        <f t="shared" si="20"/>
        <v>0</v>
      </c>
    </row>
    <row r="137" spans="1:7" x14ac:dyDescent="0.25">
      <c r="A137" s="1650"/>
      <c r="B137" s="1664"/>
      <c r="C137" s="1651"/>
      <c r="D137" s="1841"/>
      <c r="E137" s="1537">
        <f t="shared" si="19"/>
        <v>0</v>
      </c>
      <c r="F137" s="1927">
        <f t="shared" si="6"/>
        <v>0</v>
      </c>
      <c r="G137" s="1790">
        <f t="shared" si="20"/>
        <v>0</v>
      </c>
    </row>
    <row r="138" spans="1:7" x14ac:dyDescent="0.25">
      <c r="A138" s="1650"/>
      <c r="B138" s="1664"/>
      <c r="C138" s="1651"/>
      <c r="D138" s="1841"/>
      <c r="E138" s="1537">
        <f t="shared" si="19"/>
        <v>0</v>
      </c>
      <c r="F138" s="1927">
        <f t="shared" si="6"/>
        <v>0</v>
      </c>
      <c r="G138" s="1790">
        <f t="shared" si="20"/>
        <v>0</v>
      </c>
    </row>
    <row r="139" spans="1:7" x14ac:dyDescent="0.25">
      <c r="A139" s="1650"/>
      <c r="B139" s="1664"/>
      <c r="C139" s="1651"/>
      <c r="D139" s="1841"/>
      <c r="E139" s="1537">
        <f t="shared" si="19"/>
        <v>0</v>
      </c>
      <c r="F139" s="1927">
        <f t="shared" si="6"/>
        <v>0</v>
      </c>
      <c r="G139" s="1790">
        <f t="shared" si="20"/>
        <v>0</v>
      </c>
    </row>
    <row r="140" spans="1:7" x14ac:dyDescent="0.25">
      <c r="A140" s="1650"/>
      <c r="B140" s="1663"/>
      <c r="C140" s="1651"/>
      <c r="D140" s="1841"/>
      <c r="E140" s="1537">
        <f t="shared" si="2"/>
        <v>0</v>
      </c>
      <c r="F140" s="1927">
        <f t="shared" si="6"/>
        <v>0</v>
      </c>
      <c r="G140" s="1790">
        <f t="shared" si="3"/>
        <v>0</v>
      </c>
    </row>
    <row r="141" spans="1:7" x14ac:dyDescent="0.25">
      <c r="A141" s="1793" t="s">
        <v>156</v>
      </c>
      <c r="B141" s="1794"/>
      <c r="C141" s="1795"/>
      <c r="D141" s="1791">
        <f>SUM(D17:D140)</f>
        <v>924633</v>
      </c>
      <c r="E141" s="1538">
        <f t="shared" si="0"/>
        <v>25000</v>
      </c>
      <c r="F141" s="1928">
        <f>SUM(F17:F140)</f>
        <v>50000</v>
      </c>
      <c r="G141" s="1792">
        <f>SUM(G17:G140)</f>
        <v>874633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448" t="s">
        <v>1679</v>
      </c>
      <c r="B5" s="2449"/>
      <c r="C5" s="2449"/>
      <c r="D5" s="2449"/>
      <c r="E5" s="2449"/>
      <c r="F5" s="2449"/>
      <c r="G5" s="2450"/>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1930</v>
      </c>
      <c r="B10" s="968"/>
      <c r="C10" s="973"/>
      <c r="D10" s="969"/>
      <c r="E10" s="970">
        <v>0</v>
      </c>
      <c r="F10" s="971"/>
      <c r="G10" s="972"/>
      <c r="H10" s="162"/>
      <c r="I10" s="162"/>
    </row>
    <row r="11" spans="1:9" s="665" customFormat="1" ht="22.5" customHeight="1" x14ac:dyDescent="0.2">
      <c r="A11" s="2453" t="s">
        <v>1974</v>
      </c>
      <c r="B11" s="2454"/>
      <c r="C11" s="2454"/>
      <c r="D11" s="2455"/>
      <c r="E11" s="974">
        <v>35920</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6978638</v>
      </c>
      <c r="F19" s="1796"/>
      <c r="G19" s="1798">
        <f>'Expenditures 15-22'!K33-SUM('Expenditures 15-22'!G33,'Expenditures 15-22'!I33)+'Expenditures 15-22'!D229</f>
        <v>6978638</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664069</v>
      </c>
      <c r="F21" s="1799"/>
      <c r="G21" s="1802">
        <f>'Expenditures 15-22'!K42-SUM('Expenditures 15-22'!G42,'Expenditures 15-22'!I42)+'Expenditures 15-22'!K120-SUM('Expenditures 15-22'!G120,'Expenditures 15-22'!I120)+'Expenditures 15-22'!K180-SUM('Expenditures 15-22'!G180,'Expenditures 15-22'!I180)+'Expenditures 15-22'!D238</f>
        <v>664069</v>
      </c>
      <c r="H21" s="984"/>
      <c r="I21" s="162"/>
    </row>
    <row r="22" spans="1:9" s="665" customFormat="1" ht="12" customHeight="1" x14ac:dyDescent="0.2">
      <c r="A22" s="991" t="s">
        <v>564</v>
      </c>
      <c r="B22" s="992"/>
      <c r="C22" s="990">
        <v>2200</v>
      </c>
      <c r="D22" s="1799"/>
      <c r="E22" s="1801">
        <f>'Expenditures 15-22'!K47-SUM('Expenditures 15-22'!G47,'Expenditures 15-22'!I47)+'Expenditures 15-22'!D243</f>
        <v>397894</v>
      </c>
      <c r="F22" s="1799"/>
      <c r="G22" s="1802">
        <f>'Expenditures 15-22'!K47-SUM('Expenditures 15-22'!G47,'Expenditures 15-22'!I47)+'Expenditures 15-22'!D243</f>
        <v>397894</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996850</v>
      </c>
      <c r="F23" s="1799"/>
      <c r="G23" s="1801">
        <f>'Expenditures 15-22'!K53-SUM('Expenditures 15-22'!G53,'Expenditures 15-22'!I53)+'Expenditures 15-22'!D257+'Expenditures 15-22'!K330-SUM('Expenditures 15-22'!G330,'Expenditures 15-22'!I330)</f>
        <v>996850</v>
      </c>
      <c r="H23" s="984"/>
      <c r="I23" s="162"/>
    </row>
    <row r="24" spans="1:9" s="665" customFormat="1" ht="12" customHeight="1" x14ac:dyDescent="0.2">
      <c r="A24" s="991" t="s">
        <v>566</v>
      </c>
      <c r="B24" s="992"/>
      <c r="C24" s="990">
        <v>2400</v>
      </c>
      <c r="D24" s="1799"/>
      <c r="E24" s="1801">
        <f>'Expenditures 15-22'!K57-SUM('Expenditures 15-22'!G57,'Expenditures 15-22'!I57)+'Expenditures 15-22'!D261</f>
        <v>253007</v>
      </c>
      <c r="F24" s="1799"/>
      <c r="G24" s="1802">
        <f>'Expenditures 15-22'!K57-SUM('Expenditures 15-22'!G57,'Expenditures 15-22'!I57)+'Expenditures 15-22'!D261</f>
        <v>253007</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147533</v>
      </c>
      <c r="E27" s="1801">
        <f>E8</f>
        <v>0</v>
      </c>
      <c r="F27" s="1801">
        <f>'Expenditures 15-22'!K60-SUM('Expenditures 15-22'!G60,'Expenditures 15-22'!I60)+'Expenditures 15-22'!D264-E8</f>
        <v>147533</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955881</v>
      </c>
      <c r="F28" s="1803">
        <f>'Expenditures 15-22'!K61-SUM('Expenditures 15-22'!G61,'Expenditures 15-22'!I61)+'Expenditures 15-22'!K124-SUM('Expenditures 15-22'!G124,'Expenditures 15-22'!I124)+'Expenditures 15-22'!D266-E9</f>
        <v>955881</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646733</v>
      </c>
      <c r="F29" s="1799"/>
      <c r="G29" s="1802">
        <f>'Expenditures 15-22'!K62-SUM('Expenditures 15-22'!G62,'Expenditures 15-22'!I62)+'Expenditures 15-22'!K125-SUM('Expenditures 15-22'!G125,'Expenditures 15-22'!I125)+'Expenditures 15-22'!K182-SUM('Expenditures 15-22'!G182,'Expenditures 15-22'!I182)+'Expenditures 15-22'!D267</f>
        <v>646733</v>
      </c>
      <c r="H29" s="982"/>
    </row>
    <row r="30" spans="1:9" ht="12" customHeight="1" x14ac:dyDescent="0.2">
      <c r="A30" s="991" t="s">
        <v>100</v>
      </c>
      <c r="B30" s="994"/>
      <c r="C30" s="990">
        <v>2560</v>
      </c>
      <c r="D30" s="1799"/>
      <c r="E30" s="1801">
        <f>'Expenditures 15-22'!K63-SUM('Expenditures 15-22'!G63,'Expenditures 15-22'!I63)+'Expenditures 15-22'!D268-E10</f>
        <v>365460</v>
      </c>
      <c r="F30" s="1799"/>
      <c r="G30" s="1801">
        <f>'Expenditures 15-22'!K63-SUM('Expenditures 15-22'!G63,'Expenditures 15-22'!I63)+'Expenditures 15-22'!D268-E10</f>
        <v>365460</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12692</v>
      </c>
      <c r="F38" s="1799"/>
      <c r="G38" s="1801">
        <f>'Expenditures 15-22'!K73-SUM('Expenditures 15-22'!G73,'Expenditures 15-22'!I73)+'Expenditures 15-22'!K128-SUM('Expenditures 15-22'!G128,'Expenditures 15-22'!I128)+'Expenditures 15-22'!K183-SUM('Expenditures 15-22'!G183,'Expenditures 15-22'!I183)+'Expenditures 15-22'!D278</f>
        <v>12692</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1941</v>
      </c>
      <c r="F39" s="1799"/>
      <c r="G39" s="1801">
        <f>'Expenditures 15-22'!K75-SUM('Expenditures 15-22'!G75,'Expenditures 15-22'!I75)+'Expenditures 15-22'!K130-SUM('Expenditures 15-22'!G130,'Expenditures 15-22'!I130)+'Expenditures 15-22'!K185-SUM('Expenditures 15-22'!G185,'Expenditures 15-22'!I185)+'Expenditures 15-22'!D280</f>
        <v>1941</v>
      </c>
    </row>
    <row r="40" spans="1:7" ht="12" customHeight="1" x14ac:dyDescent="0.2">
      <c r="A40" s="987" t="s">
        <v>1820</v>
      </c>
      <c r="B40" s="988"/>
      <c r="C40" s="990"/>
      <c r="D40" s="1799"/>
      <c r="E40" s="1803">
        <f>-'Contracts Paid in CY 29'!G141</f>
        <v>-874633</v>
      </c>
      <c r="F40" s="1799"/>
      <c r="G40" s="1803">
        <f>-'Contracts Paid in CY 29'!G141</f>
        <v>-874633</v>
      </c>
    </row>
    <row r="41" spans="1:7" ht="12" customHeight="1" x14ac:dyDescent="0.2">
      <c r="A41" s="995" t="s">
        <v>156</v>
      </c>
      <c r="B41" s="996"/>
      <c r="C41" s="997"/>
      <c r="D41" s="1803">
        <f>SUM(D19:D39)</f>
        <v>147533</v>
      </c>
      <c r="E41" s="1803">
        <f>SUM(E19:E40)</f>
        <v>10398532</v>
      </c>
      <c r="F41" s="1803">
        <f>SUM(F19:F39)</f>
        <v>1103414</v>
      </c>
      <c r="G41" s="1803">
        <f>SUM(G19:G40)</f>
        <v>9442651</v>
      </c>
    </row>
    <row r="42" spans="1:7" x14ac:dyDescent="0.2">
      <c r="A42" s="984"/>
      <c r="B42" s="162"/>
      <c r="C42" s="998"/>
      <c r="D42" s="2451" t="s">
        <v>522</v>
      </c>
      <c r="E42" s="2452"/>
      <c r="F42" s="999" t="s">
        <v>523</v>
      </c>
      <c r="G42" s="1000"/>
    </row>
    <row r="43" spans="1:7" ht="12" customHeight="1" x14ac:dyDescent="0.2">
      <c r="A43" s="984"/>
      <c r="B43" s="162"/>
      <c r="C43" s="998"/>
      <c r="D43" s="1804" t="s">
        <v>473</v>
      </c>
      <c r="E43" s="1805">
        <f>D41</f>
        <v>147533</v>
      </c>
      <c r="F43" s="1804" t="s">
        <v>473</v>
      </c>
      <c r="G43" s="1805">
        <f>F41</f>
        <v>1103414</v>
      </c>
    </row>
    <row r="44" spans="1:7" ht="12" customHeight="1" x14ac:dyDescent="0.2">
      <c r="A44" s="984"/>
      <c r="B44" s="162"/>
      <c r="C44" s="998"/>
      <c r="D44" s="1804" t="s">
        <v>474</v>
      </c>
      <c r="E44" s="1805">
        <f>E41</f>
        <v>10398532</v>
      </c>
      <c r="F44" s="1804" t="s">
        <v>474</v>
      </c>
      <c r="G44" s="1805">
        <f>G41</f>
        <v>9442651</v>
      </c>
    </row>
    <row r="45" spans="1:7" ht="12" customHeight="1" x14ac:dyDescent="0.2">
      <c r="A45" s="984"/>
      <c r="B45" s="162"/>
      <c r="C45" s="162"/>
      <c r="D45" s="1806" t="s">
        <v>1006</v>
      </c>
      <c r="E45" s="1807">
        <f>(E43/E44)</f>
        <v>1.418786805676032E-2</v>
      </c>
      <c r="F45" s="1806" t="s">
        <v>1006</v>
      </c>
      <c r="G45" s="1807">
        <f>(G43/G44)</f>
        <v>0.11685426052493098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ustomWidth="1"/>
    <col min="8" max="8" width="5.5703125" style="1873" bestFit="1" customWidth="1"/>
    <col min="9" max="10" width="2" style="1873" bestFit="1" customWidth="1"/>
    <col min="11" max="11" width="9" style="1873" customWidth="1"/>
    <col min="12" max="16384" width="9.140625" style="1842"/>
  </cols>
  <sheetData>
    <row r="1" spans="1:10" x14ac:dyDescent="0.2">
      <c r="A1" s="2470" t="s">
        <v>1379</v>
      </c>
      <c r="B1" s="2470"/>
      <c r="C1" s="2470"/>
      <c r="D1" s="2470"/>
      <c r="E1" s="2470"/>
      <c r="F1" s="2470"/>
    </row>
    <row r="2" spans="1:10" x14ac:dyDescent="0.2">
      <c r="A2" s="1882" t="s">
        <v>1909</v>
      </c>
      <c r="B2" s="1843"/>
      <c r="C2" s="1882"/>
      <c r="D2" s="1843"/>
      <c r="E2" s="1843"/>
      <c r="F2" s="1844"/>
    </row>
    <row r="3" spans="1:10" x14ac:dyDescent="0.2">
      <c r="A3" s="1882" t="s">
        <v>1975</v>
      </c>
      <c r="B3" s="1843"/>
      <c r="C3" s="1882"/>
      <c r="D3" s="1843"/>
      <c r="E3" s="1843"/>
      <c r="F3" s="1844"/>
    </row>
    <row r="4" spans="1:10" ht="3.75" customHeight="1" x14ac:dyDescent="0.2">
      <c r="A4" s="1843"/>
      <c r="B4" s="1843"/>
      <c r="C4" s="1843"/>
      <c r="D4" s="1843"/>
      <c r="E4" s="1843"/>
      <c r="F4" s="1844"/>
    </row>
    <row r="5" spans="1:10" ht="15" x14ac:dyDescent="0.25">
      <c r="A5" s="2471" t="s">
        <v>1546</v>
      </c>
      <c r="B5" s="2472"/>
      <c r="C5" s="2473"/>
      <c r="D5" s="2473"/>
      <c r="E5" s="2473"/>
      <c r="F5" s="2473"/>
    </row>
    <row r="6" spans="1:10" ht="12" customHeight="1" x14ac:dyDescent="0.25">
      <c r="A6" s="1845"/>
      <c r="B6" s="1846"/>
      <c r="C6" s="2474" t="str">
        <f>COVER!A17</f>
        <v>Streator TWP HSD 40</v>
      </c>
      <c r="D6" s="2474"/>
      <c r="E6" s="2474"/>
      <c r="F6" s="1847"/>
    </row>
    <row r="7" spans="1:10" ht="11.25" customHeight="1" thickBot="1" x14ac:dyDescent="0.3">
      <c r="A7" s="1845"/>
      <c r="B7" s="1846"/>
      <c r="C7" s="2475">
        <f>COVER!A13</f>
        <v>35050040017</v>
      </c>
      <c r="D7" s="2475"/>
      <c r="E7" s="2475"/>
      <c r="F7" s="1847"/>
    </row>
    <row r="8" spans="1:10" ht="25.5" customHeight="1" thickBot="1" x14ac:dyDescent="0.25">
      <c r="A8" s="1888" t="s">
        <v>1905</v>
      </c>
      <c r="B8" s="1848"/>
      <c r="C8" s="1884" t="s">
        <v>1681</v>
      </c>
      <c r="D8" s="1883" t="s">
        <v>1682</v>
      </c>
      <c r="E8" s="1885" t="s">
        <v>1380</v>
      </c>
      <c r="F8" s="1883" t="s">
        <v>1683</v>
      </c>
      <c r="H8" s="1849" t="b">
        <v>0</v>
      </c>
    </row>
    <row r="9" spans="1:10" ht="15.75" customHeight="1" x14ac:dyDescent="0.2">
      <c r="A9" s="1850" t="s">
        <v>1542</v>
      </c>
      <c r="B9" s="1851"/>
      <c r="C9" s="1852"/>
      <c r="D9" s="1852"/>
      <c r="E9" s="1853"/>
      <c r="F9" s="1854"/>
    </row>
    <row r="10" spans="1:10" ht="27.75" customHeight="1" x14ac:dyDescent="0.2">
      <c r="A10" s="1855" t="s">
        <v>1680</v>
      </c>
      <c r="B10" s="1856"/>
      <c r="C10" s="1857"/>
      <c r="D10" s="1857"/>
      <c r="E10" s="1886" t="s">
        <v>1381</v>
      </c>
      <c r="F10" s="1887" t="s">
        <v>1382</v>
      </c>
    </row>
    <row r="11" spans="1:10" ht="12" customHeight="1" x14ac:dyDescent="0.2">
      <c r="A11" s="1858" t="s">
        <v>1383</v>
      </c>
      <c r="B11" s="1859"/>
      <c r="C11" s="1860"/>
      <c r="D11" s="1860"/>
      <c r="E11" s="1861"/>
      <c r="F11" s="1862"/>
      <c r="H11" s="1873">
        <f>IF(C11="X",5,0)</f>
        <v>0</v>
      </c>
      <c r="I11" s="1873">
        <f>IF(D11="X",5,0)</f>
        <v>0</v>
      </c>
      <c r="J11" s="1873">
        <f>IF(E11="X",5,0)</f>
        <v>0</v>
      </c>
    </row>
    <row r="12" spans="1:10" ht="12" customHeight="1" x14ac:dyDescent="0.2">
      <c r="A12" s="1858" t="s">
        <v>1384</v>
      </c>
      <c r="B12" s="1859"/>
      <c r="C12" s="1860"/>
      <c r="D12" s="1860"/>
      <c r="E12" s="1863"/>
      <c r="F12" s="1862"/>
      <c r="H12" s="1873">
        <f t="shared" ref="H12:H33" si="0">IF(C12="X",5,0)</f>
        <v>0</v>
      </c>
      <c r="I12" s="1873">
        <f t="shared" ref="I12:I33" si="1">IF(D12="X",5,0)</f>
        <v>0</v>
      </c>
      <c r="J12" s="1873">
        <f t="shared" ref="J12:J33" si="2">IF(E12="X",5,0)</f>
        <v>0</v>
      </c>
    </row>
    <row r="13" spans="1:10" ht="12" customHeight="1" x14ac:dyDescent="0.2">
      <c r="A13" s="1858" t="s">
        <v>1385</v>
      </c>
      <c r="B13" s="1859"/>
      <c r="C13" s="1860"/>
      <c r="D13" s="1860"/>
      <c r="E13" s="1863"/>
      <c r="F13" s="1862"/>
      <c r="H13" s="1873">
        <f t="shared" si="0"/>
        <v>0</v>
      </c>
      <c r="I13" s="1873">
        <f t="shared" si="1"/>
        <v>0</v>
      </c>
      <c r="J13" s="1873">
        <f t="shared" si="2"/>
        <v>0</v>
      </c>
    </row>
    <row r="14" spans="1:10" ht="12" customHeight="1" x14ac:dyDescent="0.2">
      <c r="A14" s="1858" t="s">
        <v>1386</v>
      </c>
      <c r="B14" s="1859"/>
      <c r="C14" s="1860"/>
      <c r="D14" s="1860"/>
      <c r="E14" s="1863"/>
      <c r="F14" s="1862"/>
      <c r="H14" s="1873">
        <f t="shared" si="0"/>
        <v>0</v>
      </c>
      <c r="I14" s="1873">
        <f t="shared" si="1"/>
        <v>0</v>
      </c>
      <c r="J14" s="1873">
        <f t="shared" si="2"/>
        <v>0</v>
      </c>
    </row>
    <row r="15" spans="1:10" ht="12" customHeight="1" x14ac:dyDescent="0.2">
      <c r="A15" s="1858" t="s">
        <v>1387</v>
      </c>
      <c r="B15" s="1859"/>
      <c r="C15" s="1860"/>
      <c r="D15" s="1860"/>
      <c r="E15" s="1863"/>
      <c r="F15" s="1862"/>
      <c r="H15" s="1873">
        <f t="shared" si="0"/>
        <v>0</v>
      </c>
      <c r="I15" s="1873">
        <f t="shared" si="1"/>
        <v>0</v>
      </c>
      <c r="J15" s="1873">
        <f t="shared" si="2"/>
        <v>0</v>
      </c>
    </row>
    <row r="16" spans="1:10" ht="12" customHeight="1" x14ac:dyDescent="0.2">
      <c r="A16" s="1858" t="s">
        <v>1388</v>
      </c>
      <c r="B16" s="1859"/>
      <c r="C16" s="1860"/>
      <c r="D16" s="1860"/>
      <c r="E16" s="1863"/>
      <c r="F16" s="1862"/>
      <c r="H16" s="1873">
        <f t="shared" si="0"/>
        <v>0</v>
      </c>
      <c r="I16" s="1873">
        <f t="shared" si="1"/>
        <v>0</v>
      </c>
      <c r="J16" s="1873">
        <f t="shared" si="2"/>
        <v>0</v>
      </c>
    </row>
    <row r="17" spans="1:12" ht="12" customHeight="1" x14ac:dyDescent="0.2">
      <c r="A17" s="1858" t="s">
        <v>1389</v>
      </c>
      <c r="B17" s="1859"/>
      <c r="C17" s="1860"/>
      <c r="D17" s="1860"/>
      <c r="E17" s="1863"/>
      <c r="F17" s="1862"/>
      <c r="H17" s="1873">
        <f t="shared" si="0"/>
        <v>0</v>
      </c>
      <c r="I17" s="1873">
        <f t="shared" si="1"/>
        <v>0</v>
      </c>
      <c r="J17" s="1873">
        <f t="shared" si="2"/>
        <v>0</v>
      </c>
    </row>
    <row r="18" spans="1:12" ht="12" customHeight="1" x14ac:dyDescent="0.2">
      <c r="A18" s="1858" t="s">
        <v>1390</v>
      </c>
      <c r="B18" s="1859"/>
      <c r="C18" s="1860"/>
      <c r="D18" s="1860"/>
      <c r="E18" s="1863"/>
      <c r="F18" s="1862"/>
      <c r="H18" s="1873">
        <f t="shared" si="0"/>
        <v>0</v>
      </c>
      <c r="I18" s="1873">
        <f t="shared" si="1"/>
        <v>0</v>
      </c>
      <c r="J18" s="1873">
        <f t="shared" si="2"/>
        <v>0</v>
      </c>
    </row>
    <row r="19" spans="1:12" ht="12" customHeight="1" x14ac:dyDescent="0.2">
      <c r="A19" s="1858" t="s">
        <v>1527</v>
      </c>
      <c r="B19" s="1859"/>
      <c r="C19" s="1860"/>
      <c r="D19" s="1860"/>
      <c r="E19" s="1863"/>
      <c r="F19" s="1862"/>
      <c r="H19" s="1873">
        <f t="shared" si="0"/>
        <v>0</v>
      </c>
      <c r="I19" s="1873">
        <f t="shared" si="1"/>
        <v>0</v>
      </c>
      <c r="J19" s="1873">
        <f t="shared" si="2"/>
        <v>0</v>
      </c>
    </row>
    <row r="20" spans="1:12" ht="12" customHeight="1" x14ac:dyDescent="0.2">
      <c r="A20" s="1858" t="s">
        <v>1528</v>
      </c>
      <c r="B20" s="1859"/>
      <c r="C20" s="1860"/>
      <c r="D20" s="1860"/>
      <c r="E20" s="1863"/>
      <c r="F20" s="1862"/>
      <c r="H20" s="1873">
        <f t="shared" si="0"/>
        <v>0</v>
      </c>
      <c r="I20" s="1873">
        <f t="shared" si="1"/>
        <v>0</v>
      </c>
      <c r="J20" s="1873">
        <f t="shared" si="2"/>
        <v>0</v>
      </c>
    </row>
    <row r="21" spans="1:12" ht="12" customHeight="1" x14ac:dyDescent="0.2">
      <c r="A21" s="1858" t="s">
        <v>1529</v>
      </c>
      <c r="B21" s="1859"/>
      <c r="C21" s="1860"/>
      <c r="D21" s="1860"/>
      <c r="E21" s="1863"/>
      <c r="F21" s="1862"/>
      <c r="H21" s="1873">
        <f t="shared" si="0"/>
        <v>0</v>
      </c>
      <c r="I21" s="1873">
        <f t="shared" si="1"/>
        <v>0</v>
      </c>
      <c r="J21" s="1873">
        <f t="shared" si="2"/>
        <v>0</v>
      </c>
    </row>
    <row r="22" spans="1:12" ht="12" customHeight="1" x14ac:dyDescent="0.2">
      <c r="A22" s="1858" t="s">
        <v>1530</v>
      </c>
      <c r="B22" s="1859"/>
      <c r="C22" s="1860"/>
      <c r="D22" s="1860"/>
      <c r="E22" s="1863"/>
      <c r="F22" s="1862"/>
      <c r="H22" s="1873">
        <f t="shared" si="0"/>
        <v>0</v>
      </c>
      <c r="I22" s="1873">
        <f t="shared" si="1"/>
        <v>0</v>
      </c>
      <c r="J22" s="1873">
        <f t="shared" si="2"/>
        <v>0</v>
      </c>
    </row>
    <row r="23" spans="1:12" ht="12" customHeight="1" x14ac:dyDescent="0.2">
      <c r="A23" s="1858" t="s">
        <v>1531</v>
      </c>
      <c r="B23" s="1859"/>
      <c r="C23" s="1860"/>
      <c r="D23" s="1860"/>
      <c r="E23" s="1863"/>
      <c r="F23" s="1862"/>
      <c r="H23" s="1873">
        <f t="shared" si="0"/>
        <v>0</v>
      </c>
      <c r="I23" s="1873">
        <f t="shared" si="1"/>
        <v>0</v>
      </c>
      <c r="J23" s="1873">
        <f t="shared" si="2"/>
        <v>0</v>
      </c>
    </row>
    <row r="24" spans="1:12" ht="12" customHeight="1" x14ac:dyDescent="0.2">
      <c r="A24" s="1858" t="s">
        <v>1532</v>
      </c>
      <c r="B24" s="1859"/>
      <c r="C24" s="1860" t="s">
        <v>2067</v>
      </c>
      <c r="D24" s="1860" t="s">
        <v>2067</v>
      </c>
      <c r="E24" s="1863"/>
      <c r="F24" s="1862" t="s">
        <v>2081</v>
      </c>
      <c r="H24" s="1873">
        <f t="shared" si="0"/>
        <v>5</v>
      </c>
      <c r="I24" s="1873">
        <f t="shared" si="1"/>
        <v>5</v>
      </c>
      <c r="J24" s="1873">
        <f t="shared" si="2"/>
        <v>0</v>
      </c>
    </row>
    <row r="25" spans="1:12" ht="12" customHeight="1" x14ac:dyDescent="0.2">
      <c r="A25" s="1858" t="s">
        <v>1533</v>
      </c>
      <c r="B25" s="1859"/>
      <c r="C25" s="1860"/>
      <c r="D25" s="1860"/>
      <c r="E25" s="1863"/>
      <c r="F25" s="1862"/>
      <c r="H25" s="1873">
        <f t="shared" si="0"/>
        <v>0</v>
      </c>
      <c r="I25" s="1873">
        <f t="shared" si="1"/>
        <v>0</v>
      </c>
      <c r="J25" s="1873">
        <f t="shared" si="2"/>
        <v>0</v>
      </c>
    </row>
    <row r="26" spans="1:12" ht="12" customHeight="1" x14ac:dyDescent="0.2">
      <c r="A26" s="1858" t="s">
        <v>1534</v>
      </c>
      <c r="B26" s="1859"/>
      <c r="C26" s="1860" t="s">
        <v>2067</v>
      </c>
      <c r="D26" s="1860" t="s">
        <v>2067</v>
      </c>
      <c r="E26" s="1863"/>
      <c r="F26" s="1862" t="s">
        <v>2082</v>
      </c>
      <c r="H26" s="1873">
        <f t="shared" si="0"/>
        <v>5</v>
      </c>
      <c r="I26" s="1873">
        <f t="shared" si="1"/>
        <v>5</v>
      </c>
      <c r="J26" s="1873">
        <f t="shared" si="2"/>
        <v>0</v>
      </c>
    </row>
    <row r="27" spans="1:12" ht="18.75" x14ac:dyDescent="0.2">
      <c r="A27" s="1858" t="s">
        <v>1535</v>
      </c>
      <c r="B27" s="1859"/>
      <c r="C27" s="1860"/>
      <c r="D27" s="1860"/>
      <c r="E27" s="1863"/>
      <c r="F27" s="1862"/>
      <c r="H27" s="1873">
        <f t="shared" si="0"/>
        <v>0</v>
      </c>
      <c r="I27" s="1873">
        <f t="shared" si="1"/>
        <v>0</v>
      </c>
      <c r="J27" s="1873">
        <f t="shared" si="2"/>
        <v>0</v>
      </c>
    </row>
    <row r="28" spans="1:12" ht="12" customHeight="1" x14ac:dyDescent="0.2">
      <c r="A28" s="1858" t="s">
        <v>1536</v>
      </c>
      <c r="B28" s="1859"/>
      <c r="C28" s="1860"/>
      <c r="D28" s="1860"/>
      <c r="E28" s="1863"/>
      <c r="F28" s="1862"/>
      <c r="H28" s="1873">
        <f t="shared" si="0"/>
        <v>0</v>
      </c>
      <c r="I28" s="1873">
        <f t="shared" si="1"/>
        <v>0</v>
      </c>
      <c r="J28" s="1873">
        <f t="shared" si="2"/>
        <v>0</v>
      </c>
    </row>
    <row r="29" spans="1:12" ht="12" customHeight="1" x14ac:dyDescent="0.2">
      <c r="A29" s="1858" t="s">
        <v>1537</v>
      </c>
      <c r="B29" s="1859"/>
      <c r="C29" s="1860"/>
      <c r="D29" s="1860"/>
      <c r="E29" s="1863"/>
      <c r="F29" s="1862"/>
      <c r="H29" s="1873">
        <f t="shared" si="0"/>
        <v>0</v>
      </c>
      <c r="I29" s="1873">
        <f t="shared" si="1"/>
        <v>0</v>
      </c>
      <c r="J29" s="1873">
        <f t="shared" si="2"/>
        <v>0</v>
      </c>
    </row>
    <row r="30" spans="1:12" ht="12" customHeight="1" x14ac:dyDescent="0.2">
      <c r="A30" s="1858" t="s">
        <v>1538</v>
      </c>
      <c r="B30" s="1859"/>
      <c r="C30" s="1860" t="s">
        <v>2067</v>
      </c>
      <c r="D30" s="1860" t="s">
        <v>2067</v>
      </c>
      <c r="E30" s="1863"/>
      <c r="F30" s="1862" t="s">
        <v>2083</v>
      </c>
      <c r="H30" s="1873">
        <f t="shared" si="0"/>
        <v>5</v>
      </c>
      <c r="I30" s="1873">
        <f t="shared" si="1"/>
        <v>5</v>
      </c>
      <c r="J30" s="1873">
        <f t="shared" si="2"/>
        <v>0</v>
      </c>
    </row>
    <row r="31" spans="1:12" ht="12" customHeight="1" x14ac:dyDescent="0.2">
      <c r="A31" s="1858" t="s">
        <v>1539</v>
      </c>
      <c r="B31" s="1859"/>
      <c r="C31" s="1860" t="s">
        <v>2067</v>
      </c>
      <c r="D31" s="1860" t="s">
        <v>2067</v>
      </c>
      <c r="E31" s="1863"/>
      <c r="F31" s="1862" t="s">
        <v>2084</v>
      </c>
      <c r="H31" s="1873">
        <f t="shared" si="0"/>
        <v>5</v>
      </c>
      <c r="I31" s="1873">
        <f t="shared" si="1"/>
        <v>5</v>
      </c>
      <c r="J31" s="1873">
        <f t="shared" si="2"/>
        <v>0</v>
      </c>
      <c r="L31" s="1864"/>
    </row>
    <row r="32" spans="1:12" ht="12" customHeight="1" x14ac:dyDescent="0.2">
      <c r="A32" s="1858" t="s">
        <v>1540</v>
      </c>
      <c r="B32" s="1859"/>
      <c r="C32" s="1860" t="s">
        <v>2067</v>
      </c>
      <c r="D32" s="1860" t="s">
        <v>2067</v>
      </c>
      <c r="E32" s="1863"/>
      <c r="F32" s="1862" t="s">
        <v>2085</v>
      </c>
      <c r="H32" s="1873">
        <f t="shared" si="0"/>
        <v>5</v>
      </c>
      <c r="I32" s="1873">
        <f t="shared" si="1"/>
        <v>5</v>
      </c>
      <c r="J32" s="1873">
        <f t="shared" si="2"/>
        <v>0</v>
      </c>
    </row>
    <row r="33" spans="1:11" ht="12" customHeight="1" x14ac:dyDescent="0.2">
      <c r="A33" s="1858" t="s">
        <v>1541</v>
      </c>
      <c r="B33" s="1859"/>
      <c r="C33" s="1860" t="s">
        <v>2067</v>
      </c>
      <c r="D33" s="1860" t="s">
        <v>2067</v>
      </c>
      <c r="E33" s="1863"/>
      <c r="F33" s="1862" t="s">
        <v>2086</v>
      </c>
      <c r="H33" s="1873">
        <f t="shared" si="0"/>
        <v>5</v>
      </c>
      <c r="I33" s="1873">
        <f t="shared" si="1"/>
        <v>5</v>
      </c>
      <c r="J33" s="1873">
        <f t="shared" si="2"/>
        <v>0</v>
      </c>
    </row>
    <row r="34" spans="1:11" ht="12" customHeight="1" x14ac:dyDescent="0.25">
      <c r="A34" s="1865"/>
      <c r="B34" s="1865"/>
      <c r="C34" s="1865"/>
      <c r="D34" s="1865"/>
      <c r="E34" s="1865"/>
      <c r="F34" s="1865"/>
      <c r="H34" s="1873">
        <f>SUM(H11:H32)</f>
        <v>25</v>
      </c>
      <c r="I34" s="1873">
        <f>SUM(I11:I32)</f>
        <v>25</v>
      </c>
      <c r="J34" s="1873">
        <f>SUM(J11:J32)</f>
        <v>0</v>
      </c>
      <c r="K34" s="1873">
        <f>SUM(H34:J34)</f>
        <v>50</v>
      </c>
    </row>
    <row r="35" spans="1:11" ht="12" customHeight="1" x14ac:dyDescent="0.2">
      <c r="A35" s="1866" t="s">
        <v>1392</v>
      </c>
      <c r="B35" s="1867"/>
      <c r="C35" s="2476"/>
      <c r="D35" s="2476"/>
      <c r="E35" s="2476"/>
      <c r="F35" s="2477"/>
    </row>
    <row r="36" spans="1:11" ht="12" customHeight="1" x14ac:dyDescent="0.2">
      <c r="A36" s="2459"/>
      <c r="B36" s="2460"/>
      <c r="C36" s="2460"/>
      <c r="D36" s="2460"/>
      <c r="E36" s="2460"/>
      <c r="F36" s="2461"/>
    </row>
    <row r="37" spans="1:11" ht="12" customHeight="1" x14ac:dyDescent="0.2">
      <c r="A37" s="2459"/>
      <c r="B37" s="2460"/>
      <c r="C37" s="2460"/>
      <c r="D37" s="2460"/>
      <c r="E37" s="2460"/>
      <c r="F37" s="2461"/>
    </row>
    <row r="38" spans="1:11" ht="12" customHeight="1" x14ac:dyDescent="0.2">
      <c r="A38" s="2462"/>
      <c r="B38" s="2463"/>
      <c r="C38" s="2463"/>
      <c r="D38" s="2463"/>
      <c r="E38" s="2463"/>
      <c r="F38" s="2464"/>
    </row>
    <row r="39" spans="1:11" ht="4.5" hidden="1" customHeight="1" x14ac:dyDescent="0.2">
      <c r="A39" s="1868"/>
      <c r="B39" s="1868"/>
      <c r="C39" s="1868"/>
      <c r="D39" s="1868"/>
      <c r="E39" s="1868"/>
      <c r="F39" s="1868"/>
    </row>
    <row r="40" spans="1:11" s="1865" customFormat="1" ht="12" customHeight="1" x14ac:dyDescent="0.25">
      <c r="A40" s="1869" t="s">
        <v>1391</v>
      </c>
      <c r="B40" s="1870"/>
      <c r="C40" s="2465"/>
      <c r="D40" s="2465"/>
      <c r="E40" s="2465"/>
      <c r="F40" s="2466"/>
      <c r="H40" s="1874"/>
      <c r="I40" s="1874"/>
      <c r="J40" s="1874"/>
      <c r="K40" s="1874"/>
    </row>
    <row r="41" spans="1:11" s="1865" customFormat="1" ht="12" customHeight="1" x14ac:dyDescent="0.25">
      <c r="A41" s="2467"/>
      <c r="B41" s="2468"/>
      <c r="C41" s="2468"/>
      <c r="D41" s="2468"/>
      <c r="E41" s="2468"/>
      <c r="F41" s="2469"/>
      <c r="H41" s="1874"/>
      <c r="I41" s="1874"/>
      <c r="J41" s="1874"/>
      <c r="K41" s="1874"/>
    </row>
    <row r="42" spans="1:11" s="1865" customFormat="1" ht="12" customHeight="1" x14ac:dyDescent="0.25">
      <c r="A42" s="2467"/>
      <c r="B42" s="2468"/>
      <c r="C42" s="2468"/>
      <c r="D42" s="2468"/>
      <c r="E42" s="2468"/>
      <c r="F42" s="2469"/>
      <c r="H42" s="1874"/>
      <c r="I42" s="1874"/>
      <c r="J42" s="1874"/>
      <c r="K42" s="1874"/>
    </row>
    <row r="43" spans="1:11" s="1865" customFormat="1" ht="15" x14ac:dyDescent="0.25">
      <c r="A43" s="2456"/>
      <c r="B43" s="2457"/>
      <c r="C43" s="2457"/>
      <c r="D43" s="2457"/>
      <c r="E43" s="2457"/>
      <c r="F43" s="2458"/>
      <c r="H43" s="1874"/>
      <c r="I43" s="1874"/>
      <c r="J43" s="1874"/>
      <c r="K43" s="1874"/>
    </row>
    <row r="44" spans="1:11" s="1865" customFormat="1" ht="12" hidden="1" customHeight="1" x14ac:dyDescent="0.25">
      <c r="A44" s="2456"/>
      <c r="B44" s="2457"/>
      <c r="C44" s="2457"/>
      <c r="D44" s="2457"/>
      <c r="E44" s="2457"/>
      <c r="F44" s="2458"/>
      <c r="H44" s="1874"/>
      <c r="I44" s="1874"/>
      <c r="J44" s="1874"/>
      <c r="K44" s="1874"/>
    </row>
    <row r="45" spans="1:11" s="1865" customFormat="1" ht="12" customHeight="1" x14ac:dyDescent="0.25">
      <c r="H45" s="1874"/>
      <c r="I45" s="1874"/>
      <c r="J45" s="1874"/>
      <c r="K45" s="1874"/>
    </row>
    <row r="46" spans="1:11" s="1865" customFormat="1" ht="9.75" customHeight="1" x14ac:dyDescent="0.25">
      <c r="H46" s="1874"/>
      <c r="I46" s="1874"/>
      <c r="J46" s="1874"/>
      <c r="K46" s="1874"/>
    </row>
    <row r="47" spans="1:11" s="1865" customFormat="1" ht="13.5" customHeight="1" x14ac:dyDescent="0.25">
      <c r="H47" s="1874"/>
      <c r="I47" s="1874"/>
      <c r="J47" s="1874"/>
      <c r="K47" s="1874"/>
    </row>
    <row r="48" spans="1:11" s="1865" customFormat="1" ht="15" x14ac:dyDescent="0.25">
      <c r="H48" s="1874"/>
      <c r="I48" s="1874"/>
      <c r="J48" s="1874"/>
      <c r="K48" s="1874"/>
    </row>
    <row r="49" spans="1:11" s="1865" customFormat="1" ht="15" hidden="1" x14ac:dyDescent="0.25">
      <c r="A49" s="1865" t="b">
        <v>0</v>
      </c>
      <c r="H49" s="1874"/>
      <c r="I49" s="1874"/>
      <c r="J49" s="1874"/>
      <c r="K49" s="1874"/>
    </row>
    <row r="50" spans="1:11" s="1865" customFormat="1" ht="15" x14ac:dyDescent="0.25">
      <c r="H50" s="1874"/>
      <c r="I50" s="1874"/>
      <c r="J50" s="1874"/>
      <c r="K50" s="1874"/>
    </row>
    <row r="51" spans="1:11" s="1865" customFormat="1" ht="15" x14ac:dyDescent="0.25">
      <c r="H51" s="1874"/>
      <c r="I51" s="1874"/>
      <c r="J51" s="1874"/>
      <c r="K51" s="1874"/>
    </row>
    <row r="52" spans="1:11" s="1865" customFormat="1" ht="15" x14ac:dyDescent="0.25">
      <c r="H52" s="1874"/>
      <c r="I52" s="1874"/>
      <c r="J52" s="1874"/>
      <c r="K52" s="1874"/>
    </row>
    <row r="53" spans="1:11" s="1865" customFormat="1" ht="15" x14ac:dyDescent="0.25">
      <c r="H53" s="1874"/>
      <c r="I53" s="1874"/>
      <c r="J53" s="1874"/>
      <c r="K53" s="1874"/>
    </row>
    <row r="54" spans="1:11" s="1865" customFormat="1" ht="15" x14ac:dyDescent="0.25">
      <c r="H54" s="1874"/>
      <c r="I54" s="1874"/>
      <c r="J54" s="1874"/>
      <c r="K54" s="1874"/>
    </row>
    <row r="55" spans="1:11" s="1865" customFormat="1" ht="15" x14ac:dyDescent="0.25">
      <c r="H55" s="1874"/>
      <c r="I55" s="1874"/>
      <c r="J55" s="1874"/>
      <c r="K55" s="1874"/>
    </row>
    <row r="56" spans="1:11" s="1865" customFormat="1" ht="15" x14ac:dyDescent="0.25">
      <c r="H56" s="1874"/>
      <c r="I56" s="1874"/>
      <c r="J56" s="1874"/>
      <c r="K56" s="1874"/>
    </row>
    <row r="57" spans="1:11" s="1865" customFormat="1" ht="15" x14ac:dyDescent="0.25">
      <c r="H57" s="1874"/>
      <c r="I57" s="1874"/>
      <c r="J57" s="1874"/>
      <c r="K57" s="1874"/>
    </row>
    <row r="58" spans="1:11" s="1865" customFormat="1" ht="15" x14ac:dyDescent="0.25">
      <c r="H58" s="1874"/>
      <c r="I58" s="1874"/>
      <c r="J58" s="1874"/>
      <c r="K58" s="1874"/>
    </row>
    <row r="59" spans="1:11" s="1865" customFormat="1" ht="15" x14ac:dyDescent="0.25">
      <c r="H59" s="1874"/>
      <c r="I59" s="1874"/>
      <c r="J59" s="1874"/>
      <c r="K59" s="1874"/>
    </row>
    <row r="60" spans="1:11" s="1865" customFormat="1" ht="15" x14ac:dyDescent="0.25">
      <c r="H60" s="1874"/>
      <c r="I60" s="1874"/>
      <c r="J60" s="1874"/>
      <c r="K60" s="1874"/>
    </row>
    <row r="61" spans="1:11" s="1865" customFormat="1" ht="15" x14ac:dyDescent="0.25">
      <c r="H61" s="1874"/>
      <c r="I61" s="1874"/>
      <c r="J61" s="1874"/>
      <c r="K61" s="1874"/>
    </row>
    <row r="62" spans="1:11" s="1865" customFormat="1" ht="15" x14ac:dyDescent="0.25">
      <c r="H62" s="1874"/>
      <c r="I62" s="1874"/>
      <c r="J62" s="1874"/>
      <c r="K62" s="1874"/>
    </row>
    <row r="63" spans="1:11" s="1865" customFormat="1" ht="15" x14ac:dyDescent="0.25">
      <c r="H63" s="1874"/>
      <c r="I63" s="1874"/>
      <c r="J63" s="1874"/>
      <c r="K63" s="1874"/>
    </row>
    <row r="64" spans="1:11" s="1865" customFormat="1" ht="15" x14ac:dyDescent="0.25">
      <c r="H64" s="1874"/>
      <c r="I64" s="1874"/>
      <c r="J64" s="1874"/>
      <c r="K64" s="1874"/>
    </row>
    <row r="65" spans="8:11" s="1865" customFormat="1" ht="15" x14ac:dyDescent="0.25">
      <c r="H65" s="1874"/>
      <c r="I65" s="1874"/>
      <c r="J65" s="1874"/>
      <c r="K65" s="1874"/>
    </row>
    <row r="66" spans="8:11" s="1865" customFormat="1" ht="15" x14ac:dyDescent="0.25">
      <c r="H66" s="1874"/>
      <c r="I66" s="1874"/>
      <c r="J66" s="1874"/>
      <c r="K66" s="1874"/>
    </row>
    <row r="67" spans="8:11" s="1865" customFormat="1" ht="15" x14ac:dyDescent="0.25">
      <c r="H67" s="1874"/>
      <c r="I67" s="1874"/>
      <c r="J67" s="1874"/>
      <c r="K67" s="1874"/>
    </row>
    <row r="68" spans="8:11" s="1865" customFormat="1" ht="15" x14ac:dyDescent="0.25">
      <c r="H68" s="1874"/>
      <c r="I68" s="1874"/>
      <c r="J68" s="1874"/>
      <c r="K68" s="1874"/>
    </row>
    <row r="69" spans="8:11" s="1865" customFormat="1" ht="15" x14ac:dyDescent="0.25">
      <c r="H69" s="1874"/>
      <c r="I69" s="1874"/>
      <c r="J69" s="1874"/>
      <c r="K69" s="1874"/>
    </row>
    <row r="70" spans="8:11" s="1865" customFormat="1" ht="15" x14ac:dyDescent="0.25">
      <c r="H70" s="1874"/>
      <c r="I70" s="1874"/>
      <c r="J70" s="1874"/>
      <c r="K70" s="1874"/>
    </row>
    <row r="71" spans="8:11" s="1865" customFormat="1" ht="15" x14ac:dyDescent="0.25">
      <c r="H71" s="1874"/>
      <c r="I71" s="1874"/>
      <c r="J71" s="1874"/>
      <c r="K71" s="1874"/>
    </row>
    <row r="72" spans="8:11" s="1865" customFormat="1" ht="15" x14ac:dyDescent="0.25">
      <c r="H72" s="1874"/>
      <c r="I72" s="1874"/>
      <c r="J72" s="1874"/>
      <c r="K72" s="1874"/>
    </row>
    <row r="73" spans="8:11" s="1865" customFormat="1" ht="15" x14ac:dyDescent="0.25">
      <c r="H73" s="1874"/>
      <c r="I73" s="1874"/>
      <c r="J73" s="1874"/>
      <c r="K73" s="1874"/>
    </row>
    <row r="74" spans="8:11" s="1865" customFormat="1" ht="15" x14ac:dyDescent="0.25">
      <c r="H74" s="1874"/>
      <c r="I74" s="1874"/>
      <c r="J74" s="1874"/>
      <c r="K74" s="1874"/>
    </row>
    <row r="75" spans="8:11" s="1865" customFormat="1" ht="15" x14ac:dyDescent="0.25">
      <c r="H75" s="1874"/>
      <c r="I75" s="1874"/>
      <c r="J75" s="1874"/>
      <c r="K75" s="1874"/>
    </row>
    <row r="76" spans="8:11" s="1865" customFormat="1" ht="15" x14ac:dyDescent="0.25">
      <c r="H76" s="1874"/>
      <c r="I76" s="1874"/>
      <c r="J76" s="1874"/>
      <c r="K76" s="1874"/>
    </row>
    <row r="77" spans="8:11" s="1865" customFormat="1" ht="15" x14ac:dyDescent="0.25">
      <c r="H77" s="1874"/>
      <c r="I77" s="1874"/>
      <c r="J77" s="1874"/>
      <c r="K77" s="1874"/>
    </row>
    <row r="78" spans="8:11" s="1865" customFormat="1" ht="15" x14ac:dyDescent="0.25">
      <c r="H78" s="1874"/>
      <c r="I78" s="1874"/>
      <c r="J78" s="1874"/>
      <c r="K78" s="1874"/>
    </row>
    <row r="79" spans="8:11" s="1865" customFormat="1" ht="15" x14ac:dyDescent="0.25">
      <c r="H79" s="1874"/>
      <c r="I79" s="1874"/>
      <c r="J79" s="1874"/>
      <c r="K79" s="1874"/>
    </row>
    <row r="80" spans="8:11" s="1865" customFormat="1" ht="15" x14ac:dyDescent="0.25">
      <c r="H80" s="1874"/>
      <c r="I80" s="1874"/>
      <c r="J80" s="1874"/>
      <c r="K80" s="1874"/>
    </row>
    <row r="81" spans="8:11" s="1865" customFormat="1" ht="15" x14ac:dyDescent="0.25">
      <c r="H81" s="1874"/>
      <c r="I81" s="1874"/>
      <c r="J81" s="1874"/>
      <c r="K81" s="1874"/>
    </row>
    <row r="82" spans="8:11" s="1865" customFormat="1" ht="15" x14ac:dyDescent="0.25">
      <c r="H82" s="1874"/>
      <c r="I82" s="1874"/>
      <c r="J82" s="1874"/>
      <c r="K82" s="1874"/>
    </row>
    <row r="83" spans="8:11" s="1865" customFormat="1" ht="15" x14ac:dyDescent="0.25">
      <c r="H83" s="1874"/>
      <c r="I83" s="1874"/>
      <c r="J83" s="1874"/>
      <c r="K83" s="1874"/>
    </row>
    <row r="84" spans="8:11" s="1865" customFormat="1" ht="15" x14ac:dyDescent="0.25">
      <c r="H84" s="1874"/>
      <c r="I84" s="1874"/>
      <c r="J84" s="1874"/>
      <c r="K84" s="1874"/>
    </row>
    <row r="85" spans="8:11" s="1865" customFormat="1" ht="15" x14ac:dyDescent="0.25">
      <c r="H85" s="1874"/>
      <c r="I85" s="1874"/>
      <c r="J85" s="1874"/>
      <c r="K85" s="1874"/>
    </row>
    <row r="86" spans="8:11" s="1865" customFormat="1" ht="15" x14ac:dyDescent="0.25">
      <c r="H86" s="1874"/>
      <c r="I86" s="1874"/>
      <c r="J86" s="1874"/>
      <c r="K86" s="1874"/>
    </row>
    <row r="87" spans="8:11" s="1865" customFormat="1" ht="15" x14ac:dyDescent="0.25">
      <c r="H87" s="1874"/>
      <c r="I87" s="1874"/>
      <c r="J87" s="1874"/>
      <c r="K87" s="1874"/>
    </row>
    <row r="88" spans="8:11" s="1865" customFormat="1" ht="15" x14ac:dyDescent="0.25">
      <c r="H88" s="1874"/>
      <c r="I88" s="1874"/>
      <c r="J88" s="1874"/>
      <c r="K88" s="1874"/>
    </row>
    <row r="89" spans="8:11" s="1865" customFormat="1" ht="15" x14ac:dyDescent="0.25">
      <c r="H89" s="1874"/>
      <c r="I89" s="1874"/>
      <c r="J89" s="1874"/>
      <c r="K89" s="1874"/>
    </row>
    <row r="90" spans="8:11" s="1865" customFormat="1" ht="15" x14ac:dyDescent="0.25">
      <c r="H90" s="1874"/>
      <c r="I90" s="1874"/>
      <c r="J90" s="1874"/>
      <c r="K90" s="1874"/>
    </row>
    <row r="91" spans="8:11" s="1865" customFormat="1" ht="15" x14ac:dyDescent="0.25">
      <c r="H91" s="1874"/>
      <c r="I91" s="1874"/>
      <c r="J91" s="1874"/>
      <c r="K91" s="1874"/>
    </row>
    <row r="92" spans="8:11" s="1865" customFormat="1" ht="15" x14ac:dyDescent="0.25">
      <c r="H92" s="1874"/>
      <c r="I92" s="1874"/>
      <c r="J92" s="1874"/>
      <c r="K92" s="1874"/>
    </row>
    <row r="93" spans="8:11" s="1865" customFormat="1" ht="15" x14ac:dyDescent="0.25">
      <c r="H93" s="1874"/>
      <c r="I93" s="1874"/>
      <c r="J93" s="1874"/>
      <c r="K93" s="1874"/>
    </row>
    <row r="94" spans="8:11" s="1865" customFormat="1" ht="15" x14ac:dyDescent="0.25">
      <c r="H94" s="1874"/>
      <c r="I94" s="1874"/>
      <c r="J94" s="1874"/>
      <c r="K94" s="1874"/>
    </row>
    <row r="95" spans="8:11" s="1865" customFormat="1" ht="15" x14ac:dyDescent="0.25">
      <c r="H95" s="1874"/>
      <c r="I95" s="1874"/>
      <c r="J95" s="1874"/>
      <c r="K95" s="1874"/>
    </row>
    <row r="96" spans="8:11" s="1865" customFormat="1" ht="15" x14ac:dyDescent="0.25">
      <c r="H96" s="1874"/>
      <c r="I96" s="1874"/>
      <c r="J96" s="1874"/>
      <c r="K96" s="1874"/>
    </row>
    <row r="97" spans="8:11" s="1865" customFormat="1" ht="15" x14ac:dyDescent="0.25">
      <c r="H97" s="1874"/>
      <c r="I97" s="1874"/>
      <c r="J97" s="1874"/>
      <c r="K97" s="1874"/>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89" t="s">
        <v>672</v>
      </c>
      <c r="B6" s="1639"/>
      <c r="C6" s="1639"/>
      <c r="D6" s="1639"/>
      <c r="E6" s="1640"/>
      <c r="F6" s="1012"/>
      <c r="G6" s="1006"/>
      <c r="H6" s="1013" t="s">
        <v>1028</v>
      </c>
      <c r="I6" s="2483" t="str">
        <f>COVER!A17</f>
        <v>Streator TWP HSD 40</v>
      </c>
      <c r="J6" s="2484"/>
      <c r="Q6" s="1661"/>
    </row>
    <row r="7" spans="1:17" x14ac:dyDescent="0.2">
      <c r="A7" s="2485" t="s">
        <v>869</v>
      </c>
      <c r="B7" s="2486"/>
      <c r="C7" s="2486"/>
      <c r="D7" s="2486"/>
      <c r="E7" s="2487"/>
      <c r="F7" s="1014"/>
      <c r="G7" s="1006"/>
      <c r="H7" s="1013" t="s">
        <v>372</v>
      </c>
      <c r="I7" s="2488">
        <f>COVER!A13</f>
        <v>35050040017</v>
      </c>
      <c r="J7" s="2488"/>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0" t="s">
        <v>1976</v>
      </c>
      <c r="F9" s="1020"/>
      <c r="G9" s="1020"/>
      <c r="H9" s="1891" t="s">
        <v>1977</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89" t="s">
        <v>481</v>
      </c>
      <c r="B11" s="2490"/>
      <c r="C11" s="2491"/>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196783</v>
      </c>
      <c r="F12" s="1036"/>
      <c r="G12" s="1808">
        <f t="shared" ref="G12:G18" si="0">SUM(E12:F12)</f>
        <v>196783</v>
      </c>
      <c r="H12" s="1037">
        <v>184430</v>
      </c>
      <c r="I12" s="1036"/>
      <c r="J12" s="1808">
        <f t="shared" ref="J12:J18" si="1">SUM(H12:I12)</f>
        <v>184430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1896</v>
      </c>
      <c r="F14" s="1036"/>
      <c r="G14" s="1808">
        <f t="shared" si="0"/>
        <v>1896</v>
      </c>
      <c r="H14" s="1037">
        <v>2045</v>
      </c>
      <c r="I14" s="1036"/>
      <c r="J14" s="1808">
        <f t="shared" si="1"/>
        <v>2045</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492" t="s">
        <v>7</v>
      </c>
      <c r="C18" s="2493"/>
      <c r="D18" s="2494"/>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198679</v>
      </c>
      <c r="F19" s="1810">
        <f t="shared" si="2"/>
        <v>0</v>
      </c>
      <c r="G19" s="1810">
        <f t="shared" si="2"/>
        <v>198679</v>
      </c>
      <c r="H19" s="1810">
        <f t="shared" si="2"/>
        <v>186475</v>
      </c>
      <c r="I19" s="1810">
        <f t="shared" si="2"/>
        <v>0</v>
      </c>
      <c r="J19" s="1810">
        <f t="shared" si="2"/>
        <v>186475</v>
      </c>
    </row>
    <row r="20" spans="1:10" ht="13.5" thickTop="1" x14ac:dyDescent="0.2">
      <c r="A20" s="1032">
        <v>9</v>
      </c>
      <c r="B20" s="2495" t="s">
        <v>1978</v>
      </c>
      <c r="C20" s="2495"/>
      <c r="D20" s="2496"/>
      <c r="E20" s="1043"/>
      <c r="F20" s="1043"/>
      <c r="G20" s="1043"/>
      <c r="H20" s="1043"/>
      <c r="I20" s="1043"/>
      <c r="J20" s="1811">
        <f>IF(AND(G19&gt;0,J19&gt;0),(((J19-G19)/G19)),"Enter Budget Data")</f>
        <v>-6.1425716859859369E-2</v>
      </c>
    </row>
    <row r="21" spans="1:10" ht="9" customHeight="1" x14ac:dyDescent="0.2">
      <c r="B21" s="1044"/>
    </row>
    <row r="22" spans="1:10" x14ac:dyDescent="0.2">
      <c r="A22" s="1045" t="s">
        <v>133</v>
      </c>
      <c r="B22" s="1044"/>
    </row>
    <row r="23" spans="1:10" x14ac:dyDescent="0.2">
      <c r="A23" s="1008" t="s">
        <v>1979</v>
      </c>
      <c r="B23" s="1044"/>
    </row>
    <row r="24" spans="1:10" x14ac:dyDescent="0.2">
      <c r="A24" s="1008" t="s">
        <v>1992</v>
      </c>
      <c r="B24" s="1044"/>
    </row>
    <row r="25" spans="1:10" x14ac:dyDescent="0.2">
      <c r="A25" s="1046"/>
      <c r="B25" s="1044"/>
    </row>
    <row r="26" spans="1:10" ht="20.100000000000001" customHeight="1" x14ac:dyDescent="0.2">
      <c r="B26" s="1044"/>
      <c r="C26" s="2501"/>
      <c r="D26" s="2501"/>
      <c r="E26" s="1047"/>
      <c r="F26" s="2500"/>
      <c r="G26" s="2500"/>
    </row>
    <row r="27" spans="1:10" x14ac:dyDescent="0.2">
      <c r="B27" s="1044"/>
      <c r="C27" s="1048" t="s">
        <v>1033</v>
      </c>
      <c r="D27" s="1049"/>
      <c r="E27" s="1050"/>
      <c r="F27" s="2497" t="s">
        <v>1509</v>
      </c>
      <c r="G27" s="2497"/>
    </row>
    <row r="28" spans="1:10" ht="28.5" customHeight="1" x14ac:dyDescent="0.2">
      <c r="B28" s="1044"/>
      <c r="C28" s="2499"/>
      <c r="D28" s="2499"/>
      <c r="E28" s="1051"/>
      <c r="F28" s="2499"/>
      <c r="G28" s="2499"/>
    </row>
    <row r="29" spans="1:10" x14ac:dyDescent="0.2">
      <c r="B29" s="1044"/>
      <c r="C29" s="1052" t="s">
        <v>1561</v>
      </c>
      <c r="E29" s="1053"/>
      <c r="F29" s="2498" t="s">
        <v>1510</v>
      </c>
      <c r="G29" s="2498"/>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480" t="s">
        <v>132</v>
      </c>
      <c r="D33" s="2481"/>
      <c r="E33" s="2481"/>
      <c r="F33" s="2481"/>
      <c r="G33" s="2481"/>
      <c r="H33" s="2481"/>
      <c r="I33" s="2481"/>
    </row>
    <row r="34" spans="1:10" ht="10.35" customHeight="1" x14ac:dyDescent="0.2">
      <c r="C34" s="2481"/>
      <c r="D34" s="2481"/>
      <c r="E34" s="2481"/>
      <c r="F34" s="2481"/>
      <c r="G34" s="2481"/>
      <c r="H34" s="2481"/>
      <c r="I34" s="2481"/>
    </row>
    <row r="35" spans="1:10" ht="7.5" customHeight="1" x14ac:dyDescent="0.2">
      <c r="C35" s="1059"/>
    </row>
    <row r="36" spans="1:10" ht="13.5" customHeight="1" x14ac:dyDescent="0.2">
      <c r="B36" s="1058"/>
      <c r="C36" s="2482" t="s">
        <v>1980</v>
      </c>
      <c r="D36" s="2481"/>
      <c r="E36" s="2481"/>
      <c r="F36" s="2481"/>
      <c r="G36" s="2481"/>
      <c r="H36" s="2481"/>
      <c r="I36" s="2481"/>
      <c r="J36" s="1060"/>
    </row>
    <row r="37" spans="1:10" ht="22.5" customHeight="1" x14ac:dyDescent="0.2">
      <c r="C37" s="2481"/>
      <c r="D37" s="2481"/>
      <c r="E37" s="2481"/>
      <c r="F37" s="2481"/>
      <c r="G37" s="2481"/>
      <c r="H37" s="2481"/>
      <c r="I37" s="2481"/>
      <c r="J37" s="1060"/>
    </row>
    <row r="38" spans="1:10" ht="7.5" customHeight="1" x14ac:dyDescent="0.2">
      <c r="C38" s="1059"/>
      <c r="D38" s="1061"/>
      <c r="E38" s="1062"/>
      <c r="F38" s="1063"/>
      <c r="G38" s="1062"/>
    </row>
    <row r="39" spans="1:10" ht="13.5" customHeight="1" x14ac:dyDescent="0.2">
      <c r="B39" s="1058"/>
      <c r="C39" s="2478" t="s">
        <v>882</v>
      </c>
      <c r="D39" s="2479"/>
      <c r="E39" s="2479"/>
      <c r="F39" s="2479"/>
      <c r="G39" s="2479"/>
      <c r="H39" s="2479"/>
      <c r="I39" s="2479"/>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7"/>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2202</v>
      </c>
    </row>
    <row r="6" spans="1:2" x14ac:dyDescent="0.2">
      <c r="A6" s="1065">
        <v>2</v>
      </c>
      <c r="B6" s="329" t="s">
        <v>2203</v>
      </c>
    </row>
    <row r="7" spans="1:2" x14ac:dyDescent="0.2">
      <c r="A7" s="1065">
        <v>3</v>
      </c>
      <c r="B7" s="329" t="s">
        <v>2204</v>
      </c>
    </row>
    <row r="8" spans="1:2" x14ac:dyDescent="0.2">
      <c r="A8" s="1065"/>
      <c r="B8" s="329" t="s">
        <v>2205</v>
      </c>
    </row>
    <row r="9" spans="1:2" x14ac:dyDescent="0.2">
      <c r="A9" s="1065"/>
      <c r="B9" s="329" t="s">
        <v>2206</v>
      </c>
    </row>
    <row r="10" spans="1:2" x14ac:dyDescent="0.2">
      <c r="A10" s="1065">
        <v>4</v>
      </c>
      <c r="B10" s="329" t="s">
        <v>2207</v>
      </c>
    </row>
    <row r="11" spans="1:2" x14ac:dyDescent="0.2">
      <c r="A11" s="1066"/>
      <c r="B11" s="329" t="s">
        <v>2208</v>
      </c>
    </row>
    <row r="12" spans="1:2" x14ac:dyDescent="0.2">
      <c r="A12" s="1066"/>
      <c r="B12" s="329" t="s">
        <v>2209</v>
      </c>
    </row>
    <row r="13" spans="1:2" x14ac:dyDescent="0.2">
      <c r="A13" s="1066">
        <v>5</v>
      </c>
      <c r="B13" s="329" t="s">
        <v>2210</v>
      </c>
    </row>
    <row r="14" spans="1:2" x14ac:dyDescent="0.2">
      <c r="A14" s="1066"/>
      <c r="B14" s="329" t="s">
        <v>2235</v>
      </c>
    </row>
    <row r="15" spans="1:2" x14ac:dyDescent="0.2">
      <c r="A15" s="1066"/>
      <c r="B15" s="329" t="s">
        <v>2211</v>
      </c>
    </row>
    <row r="16" spans="1:2" x14ac:dyDescent="0.2">
      <c r="A16" s="1066">
        <v>6</v>
      </c>
      <c r="B16" s="329" t="s">
        <v>2212</v>
      </c>
    </row>
    <row r="17" spans="1:2" x14ac:dyDescent="0.2">
      <c r="A17" s="1066">
        <v>7</v>
      </c>
      <c r="B17" s="329" t="s">
        <v>2213</v>
      </c>
    </row>
    <row r="18" spans="1:2" x14ac:dyDescent="0.2">
      <c r="A18" s="1066">
        <v>8</v>
      </c>
      <c r="B18" s="329" t="s">
        <v>2214</v>
      </c>
    </row>
    <row r="19" spans="1:2" x14ac:dyDescent="0.2">
      <c r="A19" s="1066">
        <v>9</v>
      </c>
      <c r="B19" s="329" t="s">
        <v>2215</v>
      </c>
    </row>
    <row r="20" spans="1:2" x14ac:dyDescent="0.2">
      <c r="A20" s="1066">
        <v>10</v>
      </c>
      <c r="B20" s="329" t="s">
        <v>2216</v>
      </c>
    </row>
    <row r="21" spans="1:2" x14ac:dyDescent="0.2">
      <c r="A21" s="1066">
        <v>11</v>
      </c>
      <c r="B21" s="329" t="s">
        <v>2217</v>
      </c>
    </row>
    <row r="22" spans="1:2" x14ac:dyDescent="0.2">
      <c r="A22" s="1066">
        <v>12</v>
      </c>
      <c r="B22" s="329" t="s">
        <v>2218</v>
      </c>
    </row>
    <row r="23" spans="1:2" x14ac:dyDescent="0.2">
      <c r="A23" s="1066">
        <v>13</v>
      </c>
      <c r="B23" s="329" t="s">
        <v>2219</v>
      </c>
    </row>
    <row r="24" spans="1:2"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row>
    <row r="66" spans="1:2" x14ac:dyDescent="0.2">
      <c r="A66" s="1066"/>
      <c r="B66" s="258" t="str">
        <f>COVER!A17</f>
        <v>Streator TWP HSD 40</v>
      </c>
    </row>
    <row r="67" spans="1:2" x14ac:dyDescent="0.2">
      <c r="B67" s="1067">
        <f>COVER!A13</f>
        <v>35050040017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3" t="s">
        <v>1611</v>
      </c>
    </row>
    <row r="23" spans="1:5" x14ac:dyDescent="0.2">
      <c r="A23" s="168"/>
      <c r="B23" s="162" t="s">
        <v>1854</v>
      </c>
      <c r="D23" s="167" t="s">
        <v>637</v>
      </c>
      <c r="E23" s="183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219" t="s">
        <v>1065</v>
      </c>
      <c r="B35" s="2219"/>
      <c r="C35" s="2219"/>
      <c r="D35" s="2219"/>
      <c r="E35" s="221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16" t="s">
        <v>691</v>
      </c>
      <c r="B40" s="2216"/>
      <c r="C40" s="2216"/>
      <c r="D40" s="2216"/>
      <c r="E40" s="2216"/>
    </row>
    <row r="41" spans="1:5" x14ac:dyDescent="0.2">
      <c r="A41" s="2217" t="s">
        <v>1608</v>
      </c>
      <c r="B41" s="2217"/>
      <c r="C41" s="2217"/>
      <c r="D41" s="2217"/>
      <c r="E41" s="2217"/>
    </row>
    <row r="42" spans="1:5" ht="12.75" customHeight="1" x14ac:dyDescent="0.2">
      <c r="A42" s="2218" t="s">
        <v>1022</v>
      </c>
      <c r="B42" s="2218"/>
      <c r="C42" s="2218"/>
      <c r="D42" s="2218"/>
      <c r="E42" s="2218"/>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2" t="s">
        <v>1773</v>
      </c>
    </row>
    <row r="60" spans="1:3" x14ac:dyDescent="0.2">
      <c r="A60" s="196"/>
      <c r="B60" s="148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502" t="s">
        <v>1685</v>
      </c>
      <c r="B18" s="250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03" t="s">
        <v>1690</v>
      </c>
      <c r="B1" s="2504"/>
      <c r="C1" s="2504"/>
      <c r="D1" s="2504"/>
      <c r="E1" s="2504"/>
      <c r="F1" s="2505"/>
    </row>
    <row r="2" spans="1:8" ht="45" customHeight="1" x14ac:dyDescent="0.2">
      <c r="A2" s="2513" t="s">
        <v>1984</v>
      </c>
      <c r="B2" s="2514"/>
      <c r="C2" s="2514"/>
      <c r="D2" s="2514"/>
      <c r="E2" s="2514"/>
      <c r="F2" s="2515"/>
      <c r="G2" s="1071"/>
      <c r="H2" s="1071"/>
    </row>
    <row r="3" spans="1:8" ht="57" customHeight="1" x14ac:dyDescent="0.2">
      <c r="A3" s="2516" t="s">
        <v>1686</v>
      </c>
      <c r="B3" s="2517"/>
      <c r="C3" s="2517"/>
      <c r="D3" s="2517"/>
      <c r="E3" s="2517"/>
      <c r="F3" s="2518"/>
      <c r="G3" s="1071"/>
      <c r="H3" s="1071"/>
    </row>
    <row r="4" spans="1:8" ht="14.25" customHeight="1" x14ac:dyDescent="0.2">
      <c r="A4" s="2522" t="s">
        <v>1985</v>
      </c>
      <c r="B4" s="2523"/>
      <c r="C4" s="2523"/>
      <c r="D4" s="2523"/>
      <c r="E4" s="2523"/>
      <c r="F4" s="2524"/>
      <c r="G4" s="1071"/>
      <c r="H4" s="1071"/>
    </row>
    <row r="5" spans="1:8" ht="14.25" customHeight="1" x14ac:dyDescent="0.2">
      <c r="A5" s="2525" t="s">
        <v>1981</v>
      </c>
      <c r="B5" s="2526"/>
      <c r="C5" s="2526"/>
      <c r="D5" s="2526"/>
      <c r="E5" s="2526"/>
      <c r="F5" s="2527"/>
      <c r="G5" s="1071"/>
      <c r="H5" s="1071"/>
    </row>
    <row r="6" spans="1:8" s="1072" customFormat="1" ht="41.25" customHeight="1" x14ac:dyDescent="0.2">
      <c r="A6" s="2519" t="s">
        <v>1691</v>
      </c>
      <c r="B6" s="2520"/>
      <c r="C6" s="2520"/>
      <c r="D6" s="2520"/>
      <c r="E6" s="2520"/>
      <c r="F6" s="2521"/>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9717162</v>
      </c>
      <c r="C8" s="1812">
        <f>'Acct Summary 7-8'!D8</f>
        <v>1092816</v>
      </c>
      <c r="D8" s="1812">
        <f>'Acct Summary 7-8'!F8</f>
        <v>702298</v>
      </c>
      <c r="E8" s="1812">
        <f>'Acct Summary 7-8'!I8</f>
        <v>104305</v>
      </c>
      <c r="F8" s="1812">
        <f>SUM(B8:E8)</f>
        <v>11616581</v>
      </c>
    </row>
    <row r="9" spans="1:8" s="1076" customFormat="1" ht="14.25" customHeight="1" thickBot="1" x14ac:dyDescent="0.25">
      <c r="A9" s="1075" t="s">
        <v>1369</v>
      </c>
      <c r="B9" s="1813">
        <f>'Acct Summary 7-8'!C17</f>
        <v>9248558</v>
      </c>
      <c r="C9" s="1813">
        <f>'Acct Summary 7-8'!D17</f>
        <v>957772</v>
      </c>
      <c r="D9" s="1813">
        <f>'Acct Summary 7-8'!F17</f>
        <v>697938</v>
      </c>
      <c r="E9" s="1812"/>
      <c r="F9" s="1812">
        <f>SUM(B9:E9)</f>
        <v>10904268</v>
      </c>
    </row>
    <row r="10" spans="1:8" s="1076" customFormat="1" ht="14.25" thickTop="1" thickBot="1" x14ac:dyDescent="0.25">
      <c r="A10" s="1077" t="s">
        <v>1370</v>
      </c>
      <c r="B10" s="1814">
        <f>(B8-B9)</f>
        <v>468604</v>
      </c>
      <c r="C10" s="1814">
        <f>(C8-C9)</f>
        <v>135044</v>
      </c>
      <c r="D10" s="1814">
        <f>(D8-D9)</f>
        <v>4360</v>
      </c>
      <c r="E10" s="1813">
        <f>(E8-E9)</f>
        <v>104305</v>
      </c>
      <c r="F10" s="1815">
        <f>SUM(F8-F9)</f>
        <v>712313</v>
      </c>
    </row>
    <row r="11" spans="1:8" s="1076" customFormat="1" ht="14.25" thickTop="1" thickBot="1" x14ac:dyDescent="0.25">
      <c r="A11" s="1078" t="s">
        <v>1982</v>
      </c>
      <c r="B11" s="1816">
        <f>'Acct Summary 7-8'!C81</f>
        <v>3105237</v>
      </c>
      <c r="C11" s="1816">
        <f>'Acct Summary 7-8'!D81</f>
        <v>700080</v>
      </c>
      <c r="D11" s="1816">
        <f>'Acct Summary 7-8'!F81</f>
        <v>12813</v>
      </c>
      <c r="E11" s="1816">
        <f>'Acct Summary 7-8'!I81</f>
        <v>738904</v>
      </c>
      <c r="F11" s="1817">
        <f>SUM(B11:E11)</f>
        <v>4557034</v>
      </c>
    </row>
    <row r="12" spans="1:8" ht="16.5" customHeight="1" thickTop="1" x14ac:dyDescent="0.2">
      <c r="A12" s="1079"/>
      <c r="B12" s="1080"/>
      <c r="C12" s="2507" t="str">
        <f>IF(AND(F10&lt;0,F11&gt;=0,ABS(F10*3)&gt;ABS(F11)),A16,IF(AND(F10&lt;0,F11&gt;0,ABS(F10*3)&lt;=ABS(F11)),A17,IF(AND(F10&lt;0,F11&lt;0),A16,IF(F11=0,A19,A18))))</f>
        <v>Balanced - no deficit reduction plan is required.</v>
      </c>
      <c r="D12" s="2508"/>
      <c r="E12" s="2508"/>
      <c r="F12" s="2509"/>
    </row>
    <row r="13" spans="1:8" ht="19.5" customHeight="1" x14ac:dyDescent="0.2">
      <c r="A13" s="1081"/>
      <c r="B13" s="1082"/>
      <c r="C13" s="2507"/>
      <c r="D13" s="2508"/>
      <c r="E13" s="2508"/>
      <c r="F13" s="2509"/>
      <c r="H13" s="1071"/>
    </row>
    <row r="14" spans="1:8" ht="19.5" customHeight="1" x14ac:dyDescent="0.2">
      <c r="A14" s="1081"/>
      <c r="B14" s="1082"/>
      <c r="C14" s="2507"/>
      <c r="D14" s="2508"/>
      <c r="E14" s="2508"/>
      <c r="F14" s="2509"/>
      <c r="H14" s="1071"/>
    </row>
    <row r="15" spans="1:8" ht="17.25" customHeight="1" x14ac:dyDescent="0.2">
      <c r="A15" s="1081"/>
      <c r="B15" s="1082"/>
      <c r="C15" s="2510"/>
      <c r="D15" s="2511"/>
      <c r="E15" s="2511"/>
      <c r="F15" s="2512"/>
      <c r="H15" s="1071"/>
    </row>
    <row r="16" spans="1:8" s="310" customFormat="1" ht="51.75" hidden="1" customHeight="1" x14ac:dyDescent="0.2">
      <c r="A16" s="2506" t="s">
        <v>1687</v>
      </c>
      <c r="B16" s="2506"/>
      <c r="C16" s="2506"/>
      <c r="D16" s="2506"/>
      <c r="E16" s="2506"/>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2"/>
      <c r="B2" s="1893"/>
      <c r="C2" s="1894"/>
      <c r="D2" s="1895"/>
    </row>
    <row r="3" spans="1:4" ht="36" customHeight="1" x14ac:dyDescent="0.2">
      <c r="A3" s="2528" t="s">
        <v>665</v>
      </c>
      <c r="B3" s="2529"/>
      <c r="C3" s="2529"/>
      <c r="D3" s="2530"/>
    </row>
    <row r="4" spans="1:4" x14ac:dyDescent="0.2">
      <c r="A4" s="1149" t="s">
        <v>1692</v>
      </c>
      <c r="B4" s="1150"/>
      <c r="C4" s="1151"/>
      <c r="D4" s="1152"/>
    </row>
    <row r="5" spans="1:4" ht="21" customHeight="1" x14ac:dyDescent="0.2">
      <c r="A5" s="1145"/>
      <c r="B5" s="1146">
        <v>1</v>
      </c>
      <c r="C5" s="1147" t="s">
        <v>1832</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539" t="s">
        <v>1504</v>
      </c>
      <c r="D7" s="2540"/>
    </row>
    <row r="8" spans="1:4" s="665" customFormat="1" ht="12.75" x14ac:dyDescent="0.2">
      <c r="A8" s="1135"/>
      <c r="B8" s="1090"/>
      <c r="C8" s="1093" t="s">
        <v>1503</v>
      </c>
      <c r="D8" s="1094"/>
    </row>
    <row r="9" spans="1:4" s="665" customFormat="1" ht="14.25" customHeight="1" x14ac:dyDescent="0.2">
      <c r="A9" s="1135"/>
      <c r="B9" s="1090">
        <f>B7+1</f>
        <v>4</v>
      </c>
      <c r="C9" s="1091" t="s">
        <v>1910</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531" t="s">
        <v>1008</v>
      </c>
      <c r="B15" s="2532"/>
      <c r="C15" s="2532"/>
      <c r="D15" s="2533"/>
    </row>
    <row r="16" spans="1:4" s="665" customFormat="1" ht="24" customHeight="1" x14ac:dyDescent="0.2">
      <c r="A16" s="2534" t="s">
        <v>663</v>
      </c>
      <c r="B16" s="2535"/>
      <c r="C16" s="2535"/>
      <c r="D16" s="2536"/>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543" t="s">
        <v>314</v>
      </c>
      <c r="D21" s="2544"/>
    </row>
    <row r="22" spans="1:10" ht="12.75" x14ac:dyDescent="0.2">
      <c r="A22" s="1136"/>
      <c r="B22" s="1137">
        <v>2</v>
      </c>
      <c r="C22" s="2541" t="s">
        <v>1524</v>
      </c>
      <c r="D22" s="2542"/>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NO FINDINGS WERE ISSUED</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545" t="s">
        <v>536</v>
      </c>
      <c r="D43" s="2546"/>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537" t="s">
        <v>784</v>
      </c>
      <c r="D56" s="2538"/>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1911</v>
      </c>
      <c r="D66" s="1122"/>
    </row>
    <row r="67" spans="1:4" x14ac:dyDescent="0.2">
      <c r="A67" s="1116"/>
      <c r="B67" s="1137"/>
      <c r="C67" s="1144" t="s">
        <v>1021</v>
      </c>
      <c r="D67" s="1122"/>
    </row>
    <row r="68" spans="1:4" x14ac:dyDescent="0.2">
      <c r="A68" s="1097"/>
      <c r="B68" s="1107"/>
      <c r="C68" s="1099" t="s">
        <v>1912</v>
      </c>
      <c r="D68" s="1121" t="str">
        <f>IF('Short-Term Long-Term Debt 24'!F49=SUM(,'Acct Summary 7-8'!C33:K33),"OK","ERROR!")</f>
        <v>OK</v>
      </c>
    </row>
    <row r="69" spans="1:4" x14ac:dyDescent="0.2">
      <c r="A69" s="1097"/>
      <c r="B69" s="1107"/>
      <c r="C69" s="1099" t="s">
        <v>1913</v>
      </c>
      <c r="D69" s="1121" t="str">
        <f>IF('Expenditures 15-22'!H170&lt;&gt;'Short-Term Long-Term Debt 24'!H49,"ERROR!","OK")</f>
        <v>OK</v>
      </c>
    </row>
    <row r="70" spans="1:4" x14ac:dyDescent="0.2">
      <c r="A70" s="1095"/>
      <c r="B70" s="1117">
        <f>B66+1</f>
        <v>9</v>
      </c>
      <c r="C70" s="2537" t="s">
        <v>1696</v>
      </c>
      <c r="D70" s="2538"/>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1914</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1915</v>
      </c>
      <c r="D78" s="1121" t="str">
        <f>IF(ISNUMBER('Acct Summary 7-8'!C9),"OK","ENTRY IS REQUIRED!")</f>
        <v>OK</v>
      </c>
    </row>
    <row r="79" spans="1:4" x14ac:dyDescent="0.2">
      <c r="A79" s="1116"/>
      <c r="B79" s="1117">
        <f>B74+1+1</f>
        <v>12</v>
      </c>
      <c r="C79" s="1127" t="s">
        <v>1900</v>
      </c>
      <c r="D79" s="1128" t="str">
        <f>IF(OR(COVER!$B$6="X",'PCTC-OEPP 27-28'!F78&gt;0),"OK","PLEASE ENTER 9 MO ADA.")</f>
        <v>OK</v>
      </c>
    </row>
    <row r="80" spans="1:4" x14ac:dyDescent="0.2">
      <c r="A80" s="1095"/>
      <c r="B80" s="1117">
        <v>13</v>
      </c>
      <c r="C80" s="1127" t="s">
        <v>1916</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35050040017</v>
      </c>
    </row>
    <row r="3" spans="1:2" x14ac:dyDescent="0.2">
      <c r="A3" t="s">
        <v>956</v>
      </c>
      <c r="B3" s="138" t="str">
        <f>COVER!A15</f>
        <v>LaSalle &amp; Livingston</v>
      </c>
    </row>
    <row r="4" spans="1:2" x14ac:dyDescent="0.2">
      <c r="A4" t="s">
        <v>1007</v>
      </c>
      <c r="B4" s="138" t="str">
        <f>COVER!A17</f>
        <v>Streator TWP HSD 40</v>
      </c>
    </row>
    <row r="5" spans="1:2" x14ac:dyDescent="0.2">
      <c r="A5" t="s">
        <v>704</v>
      </c>
      <c r="B5" s="138" t="str">
        <f>COVER!A38</f>
        <v>Matthew Seaton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2155494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3105237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3104086</v>
      </c>
      <c r="D92" s="2" t="str">
        <f t="shared" si="0"/>
        <v>Error?</v>
      </c>
    </row>
    <row r="93" spans="1:4" x14ac:dyDescent="0.2">
      <c r="A93" s="5">
        <v>32</v>
      </c>
      <c r="B93" s="138">
        <f>'Assets-Liab 5-6'!C41</f>
        <v>3105237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539315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700080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692608</v>
      </c>
      <c r="D123" s="2" t="str">
        <f t="shared" si="0"/>
        <v>Error?</v>
      </c>
    </row>
    <row r="124" spans="1:4" x14ac:dyDescent="0.2">
      <c r="A124" s="5">
        <v>63</v>
      </c>
      <c r="B124" s="138">
        <f>'Assets-Liab 5-6'!D41</f>
        <v>700080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1040591</v>
      </c>
      <c r="D129" s="2" t="str">
        <f t="shared" si="1"/>
        <v>Error?</v>
      </c>
    </row>
    <row r="130" spans="1:4" x14ac:dyDescent="0.2">
      <c r="A130" s="5">
        <v>69</v>
      </c>
      <c r="B130" s="138">
        <f>'Assets-Liab 5-6'!E12</f>
        <v>0</v>
      </c>
      <c r="D130" s="2" t="str">
        <f t="shared" si="1"/>
        <v>Error?</v>
      </c>
    </row>
    <row r="131" spans="1:4" x14ac:dyDescent="0.2">
      <c r="A131" s="5">
        <v>70</v>
      </c>
      <c r="B131" s="138">
        <f>'Assets-Liab 5-6'!E13</f>
        <v>1041035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1041035</v>
      </c>
      <c r="D140" s="2" t="str">
        <f t="shared" si="1"/>
        <v>Error?</v>
      </c>
    </row>
    <row r="141" spans="1:4" x14ac:dyDescent="0.2">
      <c r="A141" s="5">
        <v>80</v>
      </c>
      <c r="B141" s="138">
        <f>'Assets-Liab 5-6'!E41</f>
        <v>1041035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11504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12813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12813</v>
      </c>
      <c r="D170" s="2" t="str">
        <f t="shared" si="1"/>
        <v>Error?</v>
      </c>
    </row>
    <row r="171" spans="1:4" x14ac:dyDescent="0.2">
      <c r="A171" s="5">
        <v>110</v>
      </c>
      <c r="B171" s="138">
        <f>'Assets-Liab 5-6'!F41</f>
        <v>12813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332771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356520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227298</v>
      </c>
      <c r="D189" s="2" t="str">
        <f t="shared" si="1"/>
        <v>Error?</v>
      </c>
    </row>
    <row r="190" spans="1:4" x14ac:dyDescent="0.2">
      <c r="A190" s="5">
        <v>129</v>
      </c>
      <c r="B190" s="138">
        <f>'Assets-Liab 5-6'!G41</f>
        <v>356520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6121117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6173607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6104232</v>
      </c>
      <c r="C211" s="2" t="s">
        <v>573</v>
      </c>
      <c r="D211" s="2" t="str">
        <f t="shared" si="2"/>
        <v>Error?</v>
      </c>
    </row>
    <row r="212" spans="1:4" x14ac:dyDescent="0.2">
      <c r="A212" s="5">
        <v>151</v>
      </c>
      <c r="B212" s="138">
        <f>'Assets-Liab 5-6'!H39</f>
        <v>69375</v>
      </c>
      <c r="D212" s="2" t="str">
        <f t="shared" si="2"/>
        <v>Error?</v>
      </c>
    </row>
    <row r="213" spans="1:4" x14ac:dyDescent="0.2">
      <c r="A213" s="12">
        <v>152</v>
      </c>
      <c r="B213" s="138">
        <f>'Assets-Liab 5-6'!H41</f>
        <v>6173607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1547158</v>
      </c>
      <c r="D273" s="2" t="str">
        <f t="shared" si="3"/>
        <v>Error?</v>
      </c>
    </row>
    <row r="274" spans="1:4" x14ac:dyDescent="0.2">
      <c r="A274" s="5">
        <v>213</v>
      </c>
      <c r="B274" s="138">
        <f>'Assets-Liab 5-6'!M17</f>
        <v>40224237</v>
      </c>
      <c r="D274" s="2" t="str">
        <f t="shared" si="3"/>
        <v>Error?</v>
      </c>
    </row>
    <row r="275" spans="1:4" x14ac:dyDescent="0.2">
      <c r="A275" s="5">
        <v>214</v>
      </c>
      <c r="B275" s="138">
        <f>'Assets-Liab 5-6'!M18</f>
        <v>1436466</v>
      </c>
      <c r="D275" s="2" t="str">
        <f t="shared" si="3"/>
        <v>Error?</v>
      </c>
    </row>
    <row r="276" spans="1:4" x14ac:dyDescent="0.2">
      <c r="A276" s="5">
        <v>215</v>
      </c>
      <c r="B276" s="138">
        <f>'Assets-Liab 5-6'!M19</f>
        <v>1404711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46183282</v>
      </c>
      <c r="C279" s="2" t="s">
        <v>573</v>
      </c>
      <c r="D279" s="2" t="str">
        <f t="shared" si="3"/>
        <v>Error?</v>
      </c>
    </row>
    <row r="280" spans="1:4" x14ac:dyDescent="0.2">
      <c r="A280" s="5">
        <v>219</v>
      </c>
      <c r="B280" s="138">
        <f>'Assets-Liab 5-6'!M40</f>
        <v>46183282</v>
      </c>
      <c r="D280" s="2" t="str">
        <f t="shared" si="3"/>
        <v>Error?</v>
      </c>
    </row>
    <row r="281" spans="1:4" x14ac:dyDescent="0.2">
      <c r="A281" s="5">
        <v>220</v>
      </c>
      <c r="B281" s="138">
        <f>'Assets-Liab 5-6'!M41</f>
        <v>46183282</v>
      </c>
      <c r="C281" s="2" t="s">
        <v>573</v>
      </c>
      <c r="D281" s="2" t="str">
        <f t="shared" si="3"/>
        <v>Error?</v>
      </c>
    </row>
    <row r="282" spans="1:4" x14ac:dyDescent="0.2">
      <c r="A282" s="5">
        <v>221</v>
      </c>
      <c r="B282" s="138">
        <f>'Assets-Liab 5-6'!N21</f>
        <v>1041035</v>
      </c>
      <c r="D282" s="2" t="str">
        <f t="shared" si="3"/>
        <v>Error?</v>
      </c>
    </row>
    <row r="283" spans="1:4" x14ac:dyDescent="0.2">
      <c r="A283" s="5">
        <v>222</v>
      </c>
      <c r="B283" s="138">
        <f>'Assets-Liab 5-6'!N22</f>
        <v>9235981</v>
      </c>
      <c r="D283" s="2" t="str">
        <f t="shared" si="3"/>
        <v>Error?</v>
      </c>
    </row>
    <row r="284" spans="1:4" x14ac:dyDescent="0.2">
      <c r="A284" s="5">
        <v>223</v>
      </c>
      <c r="B284" s="138">
        <f>'Assets-Liab 5-6'!N23</f>
        <v>10277016</v>
      </c>
      <c r="C284" s="2" t="s">
        <v>573</v>
      </c>
      <c r="D284" s="2" t="str">
        <f t="shared" si="3"/>
        <v>Error?</v>
      </c>
    </row>
    <row r="285" spans="1:4" x14ac:dyDescent="0.2">
      <c r="A285" s="5">
        <v>224</v>
      </c>
      <c r="B285" s="138">
        <f>'Assets-Liab 5-6'!N36</f>
        <v>10277016</v>
      </c>
      <c r="D285" s="2" t="str">
        <f t="shared" si="3"/>
        <v>Error?</v>
      </c>
    </row>
    <row r="286" spans="1:4" x14ac:dyDescent="0.2">
      <c r="A286" s="10">
        <v>225</v>
      </c>
      <c r="D286" s="2" t="str">
        <f t="shared" si="3"/>
        <v>OK</v>
      </c>
    </row>
    <row r="287" spans="1:4" x14ac:dyDescent="0.2">
      <c r="A287" s="5">
        <v>226</v>
      </c>
      <c r="B287" s="138">
        <f>'Assets-Liab 5-6'!N37</f>
        <v>10277016</v>
      </c>
      <c r="C287" s="2" t="s">
        <v>573</v>
      </c>
      <c r="D287" s="2" t="str">
        <f t="shared" si="3"/>
        <v>Error?</v>
      </c>
    </row>
    <row r="288" spans="1:4" x14ac:dyDescent="0.2">
      <c r="A288" s="5">
        <v>227</v>
      </c>
      <c r="B288" s="138">
        <f>'Assets-Liab 5-6'!N41</f>
        <v>10277016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2410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2605366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612640</v>
      </c>
      <c r="D717" s="2" t="str">
        <f t="shared" si="10"/>
        <v>Error?</v>
      </c>
    </row>
    <row r="718" spans="1:4" x14ac:dyDescent="0.2">
      <c r="A718" s="5">
        <v>657</v>
      </c>
      <c r="B718" s="138">
        <f>'Expenditures 15-22'!C14</f>
        <v>400602</v>
      </c>
      <c r="D718" s="2" t="str">
        <f t="shared" si="10"/>
        <v>Error?</v>
      </c>
    </row>
    <row r="719" spans="1:4" x14ac:dyDescent="0.2">
      <c r="A719" s="5">
        <v>658</v>
      </c>
      <c r="B719" s="138">
        <f>'Expenditures 15-22'!C15</f>
        <v>4621</v>
      </c>
      <c r="D719" s="2" t="str">
        <f t="shared" si="10"/>
        <v>Error?</v>
      </c>
    </row>
    <row r="720" spans="1:4" x14ac:dyDescent="0.2">
      <c r="A720" s="5">
        <v>659</v>
      </c>
      <c r="B720" s="138">
        <f>'Expenditures 15-22'!C33</f>
        <v>4852063</v>
      </c>
      <c r="C720" s="2" t="s">
        <v>573</v>
      </c>
      <c r="D720" s="2" t="str">
        <f t="shared" si="10"/>
        <v>Error?</v>
      </c>
    </row>
    <row r="721" spans="1:4" x14ac:dyDescent="0.2">
      <c r="A721" s="5">
        <v>660</v>
      </c>
      <c r="B721" s="138">
        <f>'Expenditures 15-22'!C36</f>
        <v>183653</v>
      </c>
      <c r="D721" s="2" t="str">
        <f t="shared" si="10"/>
        <v>Error?</v>
      </c>
    </row>
    <row r="722" spans="1:4" x14ac:dyDescent="0.2">
      <c r="A722" s="5">
        <v>661</v>
      </c>
      <c r="B722" s="138">
        <f>'Expenditures 15-22'!C37</f>
        <v>238886</v>
      </c>
      <c r="D722" s="2" t="str">
        <f t="shared" si="10"/>
        <v>Error?</v>
      </c>
    </row>
    <row r="723" spans="1:4" x14ac:dyDescent="0.2">
      <c r="A723" s="5">
        <v>662</v>
      </c>
      <c r="B723" s="138">
        <f>'Expenditures 15-22'!C38</f>
        <v>16003</v>
      </c>
      <c r="D723" s="2" t="str">
        <f t="shared" si="10"/>
        <v>Error?</v>
      </c>
    </row>
    <row r="724" spans="1:4" x14ac:dyDescent="0.2">
      <c r="A724" s="5">
        <v>663</v>
      </c>
      <c r="B724" s="138">
        <f>'Expenditures 15-22'!C39</f>
        <v>42088</v>
      </c>
      <c r="D724" s="2" t="str">
        <f t="shared" si="10"/>
        <v>Error?</v>
      </c>
    </row>
    <row r="725" spans="1:4" x14ac:dyDescent="0.2">
      <c r="A725" s="5">
        <v>664</v>
      </c>
      <c r="B725" s="138">
        <f>'Expenditures 15-22'!C40</f>
        <v>49817</v>
      </c>
      <c r="D725" s="2" t="str">
        <f t="shared" si="10"/>
        <v>Error?</v>
      </c>
    </row>
    <row r="726" spans="1:4" x14ac:dyDescent="0.2">
      <c r="A726" s="5">
        <v>665</v>
      </c>
      <c r="B726" s="138">
        <f>'Expenditures 15-22'!C41</f>
        <v>40085</v>
      </c>
      <c r="D726" s="2" t="str">
        <f t="shared" si="10"/>
        <v>Error?</v>
      </c>
    </row>
    <row r="727" spans="1:4" x14ac:dyDescent="0.2">
      <c r="A727" s="5">
        <v>666</v>
      </c>
      <c r="B727" s="138">
        <f>'Expenditures 15-22'!C42</f>
        <v>570532</v>
      </c>
      <c r="C727" s="2" t="s">
        <v>573</v>
      </c>
      <c r="D727" s="2" t="str">
        <f t="shared" si="10"/>
        <v>Error?</v>
      </c>
    </row>
    <row r="728" spans="1:4" x14ac:dyDescent="0.2">
      <c r="A728" s="5">
        <v>667</v>
      </c>
      <c r="B728" s="138">
        <f>'Expenditures 15-22'!C44</f>
        <v>14418</v>
      </c>
      <c r="D728" s="2" t="str">
        <f t="shared" si="10"/>
        <v>Error?</v>
      </c>
    </row>
    <row r="729" spans="1:4" x14ac:dyDescent="0.2">
      <c r="A729" s="5">
        <v>668</v>
      </c>
      <c r="B729" s="138">
        <f>'Expenditures 15-22'!C45</f>
        <v>151233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165651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167145</v>
      </c>
      <c r="D733" s="2" t="str">
        <f t="shared" si="10"/>
        <v>Error?</v>
      </c>
    </row>
    <row r="734" spans="1:4" x14ac:dyDescent="0.2">
      <c r="A734" s="5">
        <v>673</v>
      </c>
      <c r="B734" s="138">
        <f>'Expenditures 15-22'!C53</f>
        <v>167145</v>
      </c>
      <c r="C734" s="2" t="s">
        <v>573</v>
      </c>
      <c r="D734" s="2" t="str">
        <f t="shared" si="10"/>
        <v>Error?</v>
      </c>
    </row>
    <row r="735" spans="1:4" x14ac:dyDescent="0.2">
      <c r="A735" s="5">
        <v>674</v>
      </c>
      <c r="B735" s="138">
        <f>'Expenditures 15-22'!C55</f>
        <v>193893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193893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100693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100693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10978</v>
      </c>
      <c r="D754" s="2" t="str">
        <f t="shared" si="10"/>
        <v>Error?</v>
      </c>
    </row>
    <row r="755" spans="1:4" x14ac:dyDescent="0.2">
      <c r="A755" s="5">
        <v>694</v>
      </c>
      <c r="B755" s="138">
        <f>'Expenditures 15-22'!C74</f>
        <v>1208892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6060955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554759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91534</v>
      </c>
      <c r="D775" s="2" t="str">
        <f t="shared" si="11"/>
        <v>Error?</v>
      </c>
    </row>
    <row r="776" spans="1:4" x14ac:dyDescent="0.2">
      <c r="A776" s="5">
        <v>715</v>
      </c>
      <c r="B776" s="138">
        <f>'Expenditures 15-22'!D14</f>
        <v>14709</v>
      </c>
      <c r="D776" s="2" t="str">
        <f t="shared" si="11"/>
        <v>Error?</v>
      </c>
    </row>
    <row r="777" spans="1:4" x14ac:dyDescent="0.2">
      <c r="A777" s="5">
        <v>716</v>
      </c>
      <c r="B777" s="138">
        <f>'Expenditures 15-22'!D15</f>
        <v>566</v>
      </c>
      <c r="D777" s="2" t="str">
        <f t="shared" si="11"/>
        <v>Error?</v>
      </c>
    </row>
    <row r="778" spans="1:4" x14ac:dyDescent="0.2">
      <c r="A778" s="5">
        <v>717</v>
      </c>
      <c r="B778" s="138">
        <f>'Expenditures 15-22'!D33</f>
        <v>841225</v>
      </c>
      <c r="C778" s="2" t="s">
        <v>573</v>
      </c>
      <c r="D778" s="2" t="str">
        <f t="shared" si="11"/>
        <v>Error?</v>
      </c>
    </row>
    <row r="779" spans="1:4" x14ac:dyDescent="0.2">
      <c r="A779" s="5">
        <v>718</v>
      </c>
      <c r="B779" s="138">
        <f>'Expenditures 15-22'!D36</f>
        <v>15980</v>
      </c>
      <c r="D779" s="2" t="str">
        <f t="shared" si="11"/>
        <v>Error?</v>
      </c>
    </row>
    <row r="780" spans="1:4" x14ac:dyDescent="0.2">
      <c r="A780" s="5">
        <v>719</v>
      </c>
      <c r="B780" s="138">
        <f>'Expenditures 15-22'!D37</f>
        <v>30646</v>
      </c>
      <c r="D780" s="2" t="str">
        <f t="shared" si="11"/>
        <v>Error?</v>
      </c>
    </row>
    <row r="781" spans="1:4" x14ac:dyDescent="0.2">
      <c r="A781" s="5">
        <v>720</v>
      </c>
      <c r="B781" s="138">
        <f>'Expenditures 15-22'!D38</f>
        <v>8579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1174</v>
      </c>
      <c r="D783" s="2" t="str">
        <f t="shared" si="11"/>
        <v>Error?</v>
      </c>
    </row>
    <row r="784" spans="1:4" x14ac:dyDescent="0.2">
      <c r="A784" s="5">
        <v>723</v>
      </c>
      <c r="B784" s="138">
        <f>'Expenditures 15-22'!D41</f>
        <v>3753</v>
      </c>
      <c r="D784" s="2" t="str">
        <f t="shared" si="11"/>
        <v>Error?</v>
      </c>
    </row>
    <row r="785" spans="1:4" x14ac:dyDescent="0.2">
      <c r="A785" s="5">
        <v>724</v>
      </c>
      <c r="B785" s="138">
        <f>'Expenditures 15-22'!D42</f>
        <v>60132</v>
      </c>
      <c r="C785" s="2" t="s">
        <v>573</v>
      </c>
      <c r="D785" s="2" t="str">
        <f t="shared" si="11"/>
        <v>Error?</v>
      </c>
    </row>
    <row r="786" spans="1:4" x14ac:dyDescent="0.2">
      <c r="A786" s="5">
        <v>725</v>
      </c>
      <c r="B786" s="138">
        <f>'Expenditures 15-22'!D44</f>
        <v>1529</v>
      </c>
      <c r="D786" s="2" t="str">
        <f t="shared" si="11"/>
        <v>Error?</v>
      </c>
    </row>
    <row r="787" spans="1:4" x14ac:dyDescent="0.2">
      <c r="A787" s="5">
        <v>726</v>
      </c>
      <c r="B787" s="138">
        <f>'Expenditures 15-22'!D45</f>
        <v>15960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17489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26025</v>
      </c>
      <c r="D791" s="2" t="str">
        <f t="shared" si="11"/>
        <v>Error?</v>
      </c>
    </row>
    <row r="792" spans="1:4" x14ac:dyDescent="0.2">
      <c r="A792" s="5">
        <v>731</v>
      </c>
      <c r="B792" s="138">
        <f>'Expenditures 15-22'!D53</f>
        <v>26025</v>
      </c>
      <c r="C792" s="2" t="s">
        <v>573</v>
      </c>
      <c r="D792" s="2" t="str">
        <f t="shared" si="11"/>
        <v>Error?</v>
      </c>
    </row>
    <row r="793" spans="1:4" x14ac:dyDescent="0.2">
      <c r="A793" s="5">
        <v>732</v>
      </c>
      <c r="B793" s="138">
        <f>'Expenditures 15-22'!D55</f>
        <v>47585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47585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15031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15031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166262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1007487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24740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235</v>
      </c>
      <c r="D833" s="2" t="str">
        <f t="shared" si="12"/>
        <v>Error?</v>
      </c>
    </row>
    <row r="834" spans="1:4" x14ac:dyDescent="0.2">
      <c r="A834" s="5">
        <v>773</v>
      </c>
      <c r="B834" s="138">
        <f>'Expenditures 15-22'!E14</f>
        <v>71058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108906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2601</v>
      </c>
      <c r="D838" s="2" t="str">
        <f t="shared" si="12"/>
        <v>Error?</v>
      </c>
    </row>
    <row r="839" spans="1:4" x14ac:dyDescent="0.2">
      <c r="A839" s="5">
        <v>778</v>
      </c>
      <c r="B839" s="138">
        <f>'Expenditures 15-22'!E38</f>
        <v>112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2713</v>
      </c>
      <c r="C843" s="2" t="s">
        <v>573</v>
      </c>
      <c r="D843" s="2" t="str">
        <f t="shared" si="12"/>
        <v>Error?</v>
      </c>
    </row>
    <row r="844" spans="1:4" x14ac:dyDescent="0.2">
      <c r="A844" s="5">
        <v>783</v>
      </c>
      <c r="B844" s="138">
        <f>'Expenditures 15-22'!E44</f>
        <v>37403</v>
      </c>
      <c r="D844" s="2" t="str">
        <f t="shared" si="12"/>
        <v>Error?</v>
      </c>
    </row>
    <row r="845" spans="1:4" x14ac:dyDescent="0.2">
      <c r="A845" s="5">
        <v>784</v>
      </c>
      <c r="B845" s="138">
        <f>'Expenditures 15-22'!E45</f>
        <v>6018</v>
      </c>
      <c r="D845" s="2" t="str">
        <f t="shared" si="12"/>
        <v>Error?</v>
      </c>
    </row>
    <row r="846" spans="1:4" x14ac:dyDescent="0.2">
      <c r="A846" s="5">
        <v>785</v>
      </c>
      <c r="B846" s="138">
        <f>'Expenditures 15-22'!E46</f>
        <v>3455</v>
      </c>
      <c r="D846" s="2" t="str">
        <f t="shared" si="12"/>
        <v>Error?</v>
      </c>
    </row>
    <row r="847" spans="1:4" x14ac:dyDescent="0.2">
      <c r="A847" s="5">
        <v>786</v>
      </c>
      <c r="B847" s="138">
        <f>'Expenditures 15-22'!E47</f>
        <v>46876</v>
      </c>
      <c r="C847" s="2" t="s">
        <v>573</v>
      </c>
      <c r="D847" s="2" t="str">
        <f t="shared" si="12"/>
        <v>Error?</v>
      </c>
    </row>
    <row r="848" spans="1:4" x14ac:dyDescent="0.2">
      <c r="A848" s="5">
        <v>787</v>
      </c>
      <c r="B848" s="138">
        <f>'Expenditures 15-22'!E49</f>
        <v>41822</v>
      </c>
      <c r="D848" s="2" t="str">
        <f t="shared" si="12"/>
        <v>Error?</v>
      </c>
    </row>
    <row r="849" spans="1:4" x14ac:dyDescent="0.2">
      <c r="A849" s="5">
        <v>788</v>
      </c>
      <c r="B849" s="138">
        <f>'Expenditures 15-22'!E50</f>
        <v>23</v>
      </c>
      <c r="D849" s="2" t="str">
        <f t="shared" si="12"/>
        <v>Error?</v>
      </c>
    </row>
    <row r="850" spans="1:4" x14ac:dyDescent="0.2">
      <c r="A850" s="5">
        <v>789</v>
      </c>
      <c r="B850" s="138">
        <f>'Expenditures 15-22'!E53</f>
        <v>41845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1350</v>
      </c>
      <c r="D852" s="2" t="str">
        <f t="shared" si="12"/>
        <v>Error?</v>
      </c>
    </row>
    <row r="853" spans="1:4" x14ac:dyDescent="0.2">
      <c r="A853" s="5">
        <v>792</v>
      </c>
      <c r="B853" s="138">
        <f>'Expenditures 15-22'!E57</f>
        <v>1350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16575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365460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382035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474819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629389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146777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54731</v>
      </c>
      <c r="D891" s="2" t="str">
        <f t="shared" si="12"/>
        <v>Error?</v>
      </c>
    </row>
    <row r="892" spans="1:4" x14ac:dyDescent="0.2">
      <c r="A892" s="5">
        <v>831</v>
      </c>
      <c r="B892" s="138">
        <f>'Expenditures 15-22'!F14</f>
        <v>85368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298109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4345</v>
      </c>
      <c r="D896" s="2" t="str">
        <f t="shared" si="13"/>
        <v>Error?</v>
      </c>
    </row>
    <row r="897" spans="1:4" x14ac:dyDescent="0.2">
      <c r="A897" s="5">
        <v>836</v>
      </c>
      <c r="B897" s="138">
        <f>'Expenditures 15-22'!F38</f>
        <v>1457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5802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99463</v>
      </c>
      <c r="D903" s="2" t="str">
        <f t="shared" si="13"/>
        <v>Error?</v>
      </c>
    </row>
    <row r="904" spans="1:4" x14ac:dyDescent="0.2">
      <c r="A904" s="5">
        <v>843</v>
      </c>
      <c r="B904" s="138">
        <f>'Expenditures 15-22'!F46</f>
        <v>728</v>
      </c>
      <c r="D904" s="2" t="str">
        <f t="shared" si="13"/>
        <v>Error?</v>
      </c>
    </row>
    <row r="905" spans="1:4" x14ac:dyDescent="0.2">
      <c r="A905" s="5">
        <v>844</v>
      </c>
      <c r="B905" s="138">
        <f>'Expenditures 15-22'!F47</f>
        <v>100191</v>
      </c>
      <c r="C905" s="2" t="s">
        <v>573</v>
      </c>
      <c r="D905" s="2" t="str">
        <f t="shared" si="13"/>
        <v>Error?</v>
      </c>
    </row>
    <row r="906" spans="1:4" x14ac:dyDescent="0.2">
      <c r="A906" s="5">
        <v>845</v>
      </c>
      <c r="B906" s="138">
        <f>'Expenditures 15-22'!F49</f>
        <v>223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223</v>
      </c>
      <c r="C908" s="2" t="s">
        <v>573</v>
      </c>
      <c r="D908" s="2" t="str">
        <f t="shared" si="13"/>
        <v>Error?</v>
      </c>
    </row>
    <row r="909" spans="1:4" x14ac:dyDescent="0.2">
      <c r="A909" s="5">
        <v>848</v>
      </c>
      <c r="B909" s="138">
        <f>'Expenditures 15-22'!F55</f>
        <v>1249</v>
      </c>
      <c r="D909" s="2" t="str">
        <f t="shared" si="13"/>
        <v>Error?</v>
      </c>
    </row>
    <row r="910" spans="1:4" x14ac:dyDescent="0.2">
      <c r="A910" s="5">
        <v>849</v>
      </c>
      <c r="B910" s="138">
        <f>'Expenditures 15-22'!F56</f>
        <v>546</v>
      </c>
      <c r="D910" s="2" t="str">
        <f t="shared" si="13"/>
        <v>Error?</v>
      </c>
    </row>
    <row r="911" spans="1:4" x14ac:dyDescent="0.2">
      <c r="A911" s="5">
        <v>850</v>
      </c>
      <c r="B911" s="138">
        <f>'Expenditures 15-22'!F57</f>
        <v>1795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108086</v>
      </c>
      <c r="C929" s="2" t="s">
        <v>573</v>
      </c>
      <c r="D929" s="2" t="str">
        <f t="shared" si="13"/>
        <v>Error?</v>
      </c>
    </row>
    <row r="930" spans="1:4" x14ac:dyDescent="0.2">
      <c r="A930" s="5">
        <v>869</v>
      </c>
      <c r="B930" s="138">
        <f>'Expenditures 15-22'!F75</f>
        <v>1941</v>
      </c>
      <c r="D930" s="2" t="str">
        <f t="shared" si="13"/>
        <v>Error?</v>
      </c>
    </row>
    <row r="931" spans="1:4" x14ac:dyDescent="0.2">
      <c r="A931" s="5">
        <v>870</v>
      </c>
      <c r="B931" s="138">
        <f>'Expenditures 15-22'!F114</f>
        <v>408136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24477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42660</v>
      </c>
      <c r="D949" s="2" t="str">
        <f t="shared" si="13"/>
        <v>Error?</v>
      </c>
    </row>
    <row r="950" spans="1:4" x14ac:dyDescent="0.2">
      <c r="A950" s="5">
        <v>889</v>
      </c>
      <c r="B950" s="138">
        <f>'Expenditures 15-22'!G14</f>
        <v>51293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118430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6652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6652</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6652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125082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4015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661</v>
      </c>
      <c r="D1007" s="2" t="str">
        <f t="shared" si="14"/>
        <v>Error?</v>
      </c>
    </row>
    <row r="1008" spans="1:4" x14ac:dyDescent="0.2">
      <c r="A1008" s="5">
        <v>947</v>
      </c>
      <c r="B1008" s="138">
        <f>'Expenditures 15-22'!H14</f>
        <v>41672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734677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14</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14</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58812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58812</v>
      </c>
      <c r="C1021" s="2" t="s">
        <v>573</v>
      </c>
      <c r="D1021" s="2" t="str">
        <f t="shared" si="14"/>
        <v>Error?</v>
      </c>
    </row>
    <row r="1022" spans="1:4" x14ac:dyDescent="0.2">
      <c r="A1022" s="5">
        <v>961</v>
      </c>
      <c r="B1022" s="138">
        <f>'Expenditures 15-22'!H49</f>
        <v>11330</v>
      </c>
      <c r="D1022" s="2" t="str">
        <f t="shared" si="14"/>
        <v>Error?</v>
      </c>
    </row>
    <row r="1023" spans="1:4" x14ac:dyDescent="0.2">
      <c r="A1023" s="5">
        <v>962</v>
      </c>
      <c r="B1023" s="138">
        <f>'Expenditures 15-22'!H50</f>
        <v>3590</v>
      </c>
      <c r="D1023" s="2" t="str">
        <f t="shared" ref="D1023:D1086" si="15">IF(ISBLANK(B1023),"OK",IF(A1023-B1023=0,"OK","Error?"))</f>
        <v>Error?</v>
      </c>
    </row>
    <row r="1024" spans="1:4" x14ac:dyDescent="0.2">
      <c r="A1024" s="5">
        <v>963</v>
      </c>
      <c r="B1024" s="138">
        <f>'Expenditures 15-22'!H53</f>
        <v>14920</v>
      </c>
      <c r="C1024" s="2" t="s">
        <v>573</v>
      </c>
      <c r="D1024" s="2" t="str">
        <f t="shared" si="15"/>
        <v>Error?</v>
      </c>
    </row>
    <row r="1025" spans="1:4" x14ac:dyDescent="0.2">
      <c r="A1025" s="5">
        <v>964</v>
      </c>
      <c r="B1025" s="138">
        <f>'Expenditures 15-22'!H55</f>
        <v>1040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1040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74786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184786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994249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3366252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802971</v>
      </c>
      <c r="C1105" s="2" t="s">
        <v>573</v>
      </c>
      <c r="D1105" s="2" t="str">
        <f t="shared" si="16"/>
        <v>Error?</v>
      </c>
    </row>
    <row r="1106" spans="1:4" x14ac:dyDescent="0.2">
      <c r="A1106" s="5">
        <v>1045</v>
      </c>
      <c r="B1106" s="138">
        <f>'Expenditures 15-22'!K14</f>
        <v>666758</v>
      </c>
      <c r="C1106" s="2" t="s">
        <v>573</v>
      </c>
      <c r="D1106" s="2" t="str">
        <f t="shared" si="16"/>
        <v>Error?</v>
      </c>
    </row>
    <row r="1107" spans="1:4" x14ac:dyDescent="0.2">
      <c r="A1107" s="5">
        <v>1046</v>
      </c>
      <c r="B1107" s="138">
        <f>'Expenditures 15-22'!K15</f>
        <v>5187</v>
      </c>
      <c r="C1107" s="2" t="s">
        <v>573</v>
      </c>
      <c r="D1107" s="2" t="str">
        <f t="shared" si="16"/>
        <v>Error?</v>
      </c>
    </row>
    <row r="1108" spans="1:4" x14ac:dyDescent="0.2">
      <c r="A1108" s="5">
        <v>1047</v>
      </c>
      <c r="B1108" s="138">
        <f>'Expenditures 15-22'!K33</f>
        <v>6962094</v>
      </c>
      <c r="C1108" s="2" t="s">
        <v>573</v>
      </c>
      <c r="D1108" s="2" t="str">
        <f t="shared" si="16"/>
        <v>Error?</v>
      </c>
    </row>
    <row r="1109" spans="1:4" x14ac:dyDescent="0.2">
      <c r="A1109" s="5">
        <v>1048</v>
      </c>
      <c r="B1109" s="138">
        <f>'Expenditures 15-22'!K36</f>
        <v>199633</v>
      </c>
      <c r="C1109" s="2" t="s">
        <v>573</v>
      </c>
      <c r="D1109" s="2" t="str">
        <f t="shared" si="16"/>
        <v>Error?</v>
      </c>
    </row>
    <row r="1110" spans="1:4" x14ac:dyDescent="0.2">
      <c r="A1110" s="5">
        <v>1049</v>
      </c>
      <c r="B1110" s="138">
        <f>'Expenditures 15-22'!K37</f>
        <v>276492</v>
      </c>
      <c r="C1110" s="2" t="s">
        <v>573</v>
      </c>
      <c r="D1110" s="2" t="str">
        <f t="shared" si="16"/>
        <v>Error?</v>
      </c>
    </row>
    <row r="1111" spans="1:4" x14ac:dyDescent="0.2">
      <c r="A1111" s="5">
        <v>1050</v>
      </c>
      <c r="B1111" s="138">
        <f>'Expenditures 15-22'!K38</f>
        <v>26151</v>
      </c>
      <c r="C1111" s="2" t="s">
        <v>573</v>
      </c>
      <c r="D1111" s="2" t="str">
        <f t="shared" si="16"/>
        <v>Error?</v>
      </c>
    </row>
    <row r="1112" spans="1:4" x14ac:dyDescent="0.2">
      <c r="A1112" s="5">
        <v>1051</v>
      </c>
      <c r="B1112" s="138">
        <f>'Expenditures 15-22'!K39</f>
        <v>42088</v>
      </c>
      <c r="C1112" s="2" t="s">
        <v>573</v>
      </c>
      <c r="D1112" s="2" t="str">
        <f t="shared" si="16"/>
        <v>Error?</v>
      </c>
    </row>
    <row r="1113" spans="1:4" x14ac:dyDescent="0.2">
      <c r="A1113" s="5">
        <v>1052</v>
      </c>
      <c r="B1113" s="138">
        <f>'Expenditures 15-22'!K40</f>
        <v>50991</v>
      </c>
      <c r="C1113" s="2" t="s">
        <v>573</v>
      </c>
      <c r="D1113" s="2" t="str">
        <f t="shared" si="16"/>
        <v>Error?</v>
      </c>
    </row>
    <row r="1114" spans="1:4" x14ac:dyDescent="0.2">
      <c r="A1114" s="5">
        <v>1053</v>
      </c>
      <c r="B1114" s="138">
        <f>'Expenditures 15-22'!K41</f>
        <v>43838</v>
      </c>
      <c r="C1114" s="2" t="s">
        <v>573</v>
      </c>
      <c r="D1114" s="2" t="str">
        <f t="shared" si="16"/>
        <v>Error?</v>
      </c>
    </row>
    <row r="1115" spans="1:4" x14ac:dyDescent="0.2">
      <c r="A1115" s="5">
        <v>1054</v>
      </c>
      <c r="B1115" s="138">
        <f>'Expenditures 15-22'!K42</f>
        <v>639193</v>
      </c>
      <c r="C1115" s="2" t="s">
        <v>573</v>
      </c>
      <c r="D1115" s="2" t="str">
        <f t="shared" si="16"/>
        <v>Error?</v>
      </c>
    </row>
    <row r="1116" spans="1:4" x14ac:dyDescent="0.2">
      <c r="A1116" s="5">
        <v>1055</v>
      </c>
      <c r="B1116" s="138">
        <f>'Expenditures 15-22'!K44</f>
        <v>53350</v>
      </c>
      <c r="C1116" s="2" t="s">
        <v>573</v>
      </c>
      <c r="D1116" s="2" t="str">
        <f t="shared" si="16"/>
        <v>Error?</v>
      </c>
    </row>
    <row r="1117" spans="1:4" x14ac:dyDescent="0.2">
      <c r="A1117" s="5">
        <v>1056</v>
      </c>
      <c r="B1117" s="138">
        <f>'Expenditures 15-22'!K45</f>
        <v>352714</v>
      </c>
      <c r="C1117" s="2" t="s">
        <v>573</v>
      </c>
      <c r="D1117" s="2" t="str">
        <f t="shared" si="16"/>
        <v>Error?</v>
      </c>
    </row>
    <row r="1118" spans="1:4" x14ac:dyDescent="0.2">
      <c r="A1118" s="5">
        <v>1057</v>
      </c>
      <c r="B1118" s="138">
        <f>'Expenditures 15-22'!K46</f>
        <v>4183</v>
      </c>
      <c r="C1118" s="2" t="s">
        <v>573</v>
      </c>
      <c r="D1118" s="2" t="str">
        <f t="shared" si="16"/>
        <v>Error?</v>
      </c>
    </row>
    <row r="1119" spans="1:4" x14ac:dyDescent="0.2">
      <c r="A1119" s="5">
        <v>1058</v>
      </c>
      <c r="B1119" s="138">
        <f>'Expenditures 15-22'!K47</f>
        <v>410247</v>
      </c>
      <c r="C1119" s="2" t="s">
        <v>573</v>
      </c>
      <c r="D1119" s="2" t="str">
        <f t="shared" si="16"/>
        <v>Error?</v>
      </c>
    </row>
    <row r="1120" spans="1:4" x14ac:dyDescent="0.2">
      <c r="A1120" s="5">
        <v>1059</v>
      </c>
      <c r="B1120" s="138">
        <f>'Expenditures 15-22'!K49</f>
        <v>53375</v>
      </c>
      <c r="C1120" s="2" t="s">
        <v>573</v>
      </c>
      <c r="D1120" s="2" t="str">
        <f t="shared" si="16"/>
        <v>Error?</v>
      </c>
    </row>
    <row r="1121" spans="1:4" x14ac:dyDescent="0.2">
      <c r="A1121" s="5">
        <v>1060</v>
      </c>
      <c r="B1121" s="138">
        <f>'Expenditures 15-22'!K50</f>
        <v>196783</v>
      </c>
      <c r="C1121" s="2" t="s">
        <v>573</v>
      </c>
      <c r="D1121" s="2" t="str">
        <f t="shared" si="16"/>
        <v>Error?</v>
      </c>
    </row>
    <row r="1122" spans="1:4" x14ac:dyDescent="0.2">
      <c r="A1122" s="5">
        <v>1061</v>
      </c>
      <c r="B1122" s="138">
        <f>'Expenditures 15-22'!K53</f>
        <v>250158</v>
      </c>
      <c r="C1122" s="2" t="s">
        <v>573</v>
      </c>
      <c r="D1122" s="2" t="str">
        <f t="shared" si="16"/>
        <v>Error?</v>
      </c>
    </row>
    <row r="1123" spans="1:4" x14ac:dyDescent="0.2">
      <c r="A1123" s="5">
        <v>1062</v>
      </c>
      <c r="B1123" s="138">
        <f>'Expenditures 15-22'!K55</f>
        <v>243767</v>
      </c>
      <c r="C1123" s="2" t="s">
        <v>573</v>
      </c>
      <c r="D1123" s="2" t="str">
        <f t="shared" si="16"/>
        <v>Error?</v>
      </c>
    </row>
    <row r="1124" spans="1:4" x14ac:dyDescent="0.2">
      <c r="A1124" s="5">
        <v>1063</v>
      </c>
      <c r="B1124" s="138">
        <f>'Expenditures 15-22'!K56</f>
        <v>1896</v>
      </c>
      <c r="C1124" s="2" t="s">
        <v>573</v>
      </c>
      <c r="D1124" s="2" t="str">
        <f t="shared" si="16"/>
        <v>Error?</v>
      </c>
    </row>
    <row r="1125" spans="1:4" x14ac:dyDescent="0.2">
      <c r="A1125" s="5">
        <v>1064</v>
      </c>
      <c r="B1125" s="138">
        <f>'Expenditures 15-22'!K57</f>
        <v>245663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132374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365460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497834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10978</v>
      </c>
      <c r="C1142" s="2" t="s">
        <v>573</v>
      </c>
      <c r="D1142" s="2" t="str">
        <f t="shared" si="16"/>
        <v>Error?</v>
      </c>
    </row>
    <row r="1143" spans="1:4" x14ac:dyDescent="0.2">
      <c r="A1143" s="5">
        <v>1082</v>
      </c>
      <c r="B1143" s="138">
        <f>'Expenditures 15-22'!K74</f>
        <v>2054073</v>
      </c>
      <c r="C1143" s="2" t="s">
        <v>573</v>
      </c>
      <c r="D1143" s="2" t="str">
        <f t="shared" si="16"/>
        <v>Error?</v>
      </c>
    </row>
    <row r="1144" spans="1:4" x14ac:dyDescent="0.2">
      <c r="A1144" s="5">
        <v>1083</v>
      </c>
      <c r="B1144" s="138">
        <f>'Expenditures 15-22'!K75</f>
        <v>1941</v>
      </c>
      <c r="C1144" s="2" t="s">
        <v>573</v>
      </c>
      <c r="D1144" s="2" t="str">
        <f t="shared" si="16"/>
        <v>Error?</v>
      </c>
    </row>
    <row r="1145" spans="1:4" x14ac:dyDescent="0.2">
      <c r="A1145" s="5">
        <v>1084</v>
      </c>
      <c r="B1145" s="138">
        <f>'Expenditures 15-22'!K102</f>
        <v>230450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9248558</v>
      </c>
      <c r="C1152" s="2" t="s">
        <v>573</v>
      </c>
      <c r="D1152" s="2" t="str">
        <f t="shared" si="17"/>
        <v>Error?</v>
      </c>
    </row>
    <row r="1153" spans="1:4" x14ac:dyDescent="0.2">
      <c r="A1153" s="5">
        <v>1092</v>
      </c>
      <c r="B1153" s="138">
        <f>'Expenditures 15-22'!K115</f>
        <v>468604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357819</v>
      </c>
      <c r="D1221" s="2" t="str">
        <f t="shared" si="18"/>
        <v>Error?</v>
      </c>
    </row>
    <row r="1222" spans="1:4" x14ac:dyDescent="0.2">
      <c r="A1222" s="10">
        <v>1161</v>
      </c>
      <c r="D1222" s="2" t="str">
        <f t="shared" si="18"/>
        <v>OK</v>
      </c>
    </row>
    <row r="1223" spans="1:4" x14ac:dyDescent="0.2">
      <c r="A1223" s="5">
        <v>1162</v>
      </c>
      <c r="B1223" s="138">
        <f>'Expenditures 15-22'!C127</f>
        <v>357819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357819</v>
      </c>
      <c r="C1225" s="2" t="s">
        <v>573</v>
      </c>
      <c r="D1225" s="2" t="str">
        <f t="shared" si="18"/>
        <v>Error?</v>
      </c>
    </row>
    <row r="1226" spans="1:4" x14ac:dyDescent="0.2">
      <c r="A1226" s="5">
        <v>1165</v>
      </c>
      <c r="B1226" s="138">
        <f>'Expenditures 15-22'!C151</f>
        <v>357819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48543</v>
      </c>
      <c r="D1229" s="2" t="str">
        <f t="shared" si="18"/>
        <v>Error?</v>
      </c>
    </row>
    <row r="1230" spans="1:4" x14ac:dyDescent="0.2">
      <c r="A1230" s="10">
        <v>1169</v>
      </c>
      <c r="D1230" s="2" t="str">
        <f t="shared" si="18"/>
        <v>OK</v>
      </c>
    </row>
    <row r="1231" spans="1:4" x14ac:dyDescent="0.2">
      <c r="A1231" s="5">
        <v>1170</v>
      </c>
      <c r="B1231" s="138">
        <f>'Expenditures 15-22'!D127</f>
        <v>48543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48543</v>
      </c>
      <c r="C1233" s="2" t="s">
        <v>573</v>
      </c>
      <c r="D1233" s="2" t="str">
        <f t="shared" si="18"/>
        <v>Error?</v>
      </c>
    </row>
    <row r="1234" spans="1:4" x14ac:dyDescent="0.2">
      <c r="A1234" s="5">
        <v>1173</v>
      </c>
      <c r="B1234" s="138">
        <f>'Expenditures 15-22'!D151</f>
        <v>48543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245371</v>
      </c>
      <c r="D1237" s="2" t="str">
        <f t="shared" si="18"/>
        <v>Error?</v>
      </c>
    </row>
    <row r="1238" spans="1:4" x14ac:dyDescent="0.2">
      <c r="A1238" s="10">
        <v>1177</v>
      </c>
      <c r="D1238" s="2" t="str">
        <f t="shared" si="18"/>
        <v>OK</v>
      </c>
    </row>
    <row r="1239" spans="1:4" x14ac:dyDescent="0.2">
      <c r="A1239" s="5">
        <v>1178</v>
      </c>
      <c r="B1239" s="138">
        <f>'Expenditures 15-22'!E127</f>
        <v>245371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245371</v>
      </c>
      <c r="C1241" s="2" t="s">
        <v>573</v>
      </c>
      <c r="D1241" s="2" t="str">
        <f t="shared" si="18"/>
        <v>Error?</v>
      </c>
    </row>
    <row r="1242" spans="1:4" x14ac:dyDescent="0.2">
      <c r="A1242" s="5">
        <v>1181</v>
      </c>
      <c r="B1242" s="138">
        <f>'Expenditures 15-22'!E151</f>
        <v>245371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234343</v>
      </c>
      <c r="D1245" s="2" t="str">
        <f t="shared" si="18"/>
        <v>Error?</v>
      </c>
    </row>
    <row r="1246" spans="1:4" x14ac:dyDescent="0.2">
      <c r="A1246" s="10">
        <v>1185</v>
      </c>
      <c r="D1246" s="2" t="str">
        <f t="shared" si="18"/>
        <v>OK</v>
      </c>
    </row>
    <row r="1247" spans="1:4" x14ac:dyDescent="0.2">
      <c r="A1247" s="5">
        <v>1186</v>
      </c>
      <c r="B1247" s="138">
        <f>'Expenditures 15-22'!F127</f>
        <v>234343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234343</v>
      </c>
      <c r="C1249" s="2" t="s">
        <v>573</v>
      </c>
      <c r="D1249" s="2" t="str">
        <f t="shared" si="18"/>
        <v>Error?</v>
      </c>
    </row>
    <row r="1250" spans="1:4" x14ac:dyDescent="0.2">
      <c r="A1250" s="5">
        <v>1189</v>
      </c>
      <c r="B1250" s="138">
        <f>'Expenditures 15-22'!F151</f>
        <v>234343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18663</v>
      </c>
      <c r="D1252" s="2" t="str">
        <f t="shared" si="18"/>
        <v>Error?</v>
      </c>
    </row>
    <row r="1253" spans="1:4" x14ac:dyDescent="0.2">
      <c r="A1253" s="5">
        <v>1192</v>
      </c>
      <c r="B1253" s="138">
        <f>'Expenditures 15-22'!G124</f>
        <v>51403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70066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70066</v>
      </c>
      <c r="C1258" s="2" t="s">
        <v>573</v>
      </c>
      <c r="D1258" s="2" t="str">
        <f t="shared" si="18"/>
        <v>Error?</v>
      </c>
    </row>
    <row r="1259" spans="1:4" x14ac:dyDescent="0.2">
      <c r="A1259" s="5">
        <v>1198</v>
      </c>
      <c r="B1259" s="138">
        <f>'Expenditures 15-22'!G151</f>
        <v>70066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18663</v>
      </c>
      <c r="C1275" s="2" t="s">
        <v>573</v>
      </c>
      <c r="D1275" s="2" t="str">
        <f t="shared" si="18"/>
        <v>Error?</v>
      </c>
    </row>
    <row r="1276" spans="1:4" x14ac:dyDescent="0.2">
      <c r="A1276" s="5">
        <v>1215</v>
      </c>
      <c r="B1276" s="138">
        <f>'Expenditures 15-22'!K124</f>
        <v>939109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957772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957772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957772</v>
      </c>
      <c r="C1288" s="2" t="s">
        <v>573</v>
      </c>
      <c r="D1288" s="2" t="str">
        <f t="shared" si="19"/>
        <v>Error?</v>
      </c>
    </row>
    <row r="1289" spans="1:4" x14ac:dyDescent="0.2">
      <c r="A1289" s="5">
        <v>1228</v>
      </c>
      <c r="B1289" s="138">
        <f>'Expenditures 15-22'!K152</f>
        <v>135044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102372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841939</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944811</v>
      </c>
      <c r="C1317" s="2" t="s">
        <v>573</v>
      </c>
      <c r="D1317" s="2" t="str">
        <f t="shared" si="19"/>
        <v>Error?</v>
      </c>
    </row>
    <row r="1318" spans="1:4" x14ac:dyDescent="0.2">
      <c r="A1318" s="5">
        <v>1257</v>
      </c>
      <c r="B1318" s="138">
        <f>'Expenditures 15-22'!H174</f>
        <v>944811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102372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841939</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944811</v>
      </c>
      <c r="C1331" s="2" t="s">
        <v>573</v>
      </c>
      <c r="D1331" s="2" t="str">
        <f t="shared" si="19"/>
        <v>Error?</v>
      </c>
    </row>
    <row r="1332" spans="1:4" x14ac:dyDescent="0.2">
      <c r="A1332" s="5">
        <v>1271</v>
      </c>
      <c r="B1332" s="138">
        <f>'Expenditures 15-22'!K174</f>
        <v>944811</v>
      </c>
      <c r="C1332" s="2" t="s">
        <v>573</v>
      </c>
      <c r="D1332" s="2" t="str">
        <f t="shared" si="19"/>
        <v>Error?</v>
      </c>
    </row>
    <row r="1333" spans="1:4" x14ac:dyDescent="0.2">
      <c r="A1333" s="5">
        <v>1272</v>
      </c>
      <c r="B1333" s="138">
        <f>'Expenditures 15-22'!K175</f>
        <v>-66717</v>
      </c>
      <c r="C1333" s="2" t="s">
        <v>573</v>
      </c>
      <c r="D1333" s="2" t="str">
        <f t="shared" si="19"/>
        <v>Error?</v>
      </c>
    </row>
    <row r="1334" spans="1:4" x14ac:dyDescent="0.2">
      <c r="A1334" s="10">
        <v>1273</v>
      </c>
      <c r="D1334" s="2" t="str">
        <f t="shared" si="19"/>
        <v>OK</v>
      </c>
    </row>
    <row r="1335" spans="1:4" x14ac:dyDescent="0.2">
      <c r="A1335" s="5">
        <v>1274</v>
      </c>
      <c r="B1335" s="138">
        <f>'Expenditures 15-22'!C182</f>
        <v>14690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14690</v>
      </c>
      <c r="C1339" s="2" t="s">
        <v>573</v>
      </c>
      <c r="D1339" s="2" t="str">
        <f t="shared" si="19"/>
        <v>Error?</v>
      </c>
    </row>
    <row r="1340" spans="1:4" x14ac:dyDescent="0.2">
      <c r="A1340" s="5">
        <v>1279</v>
      </c>
      <c r="B1340" s="138">
        <f>'Expenditures 15-22'!C210</f>
        <v>14690</v>
      </c>
      <c r="C1340" s="2" t="s">
        <v>573</v>
      </c>
      <c r="D1340" s="2" t="str">
        <f t="shared" si="19"/>
        <v>Error?</v>
      </c>
    </row>
    <row r="1341" spans="1:4" x14ac:dyDescent="0.2">
      <c r="A1341" s="5">
        <v>1280</v>
      </c>
      <c r="B1341" s="138">
        <f>'Expenditures 15-22'!D182</f>
        <v>164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164</v>
      </c>
      <c r="C1345" s="2" t="s">
        <v>573</v>
      </c>
      <c r="D1345" s="2" t="str">
        <f t="shared" si="20"/>
        <v>Error?</v>
      </c>
    </row>
    <row r="1346" spans="1:4" x14ac:dyDescent="0.2">
      <c r="A1346" s="5">
        <v>1285</v>
      </c>
      <c r="B1346" s="138">
        <f>'Expenditures 15-22'!D210</f>
        <v>164</v>
      </c>
      <c r="C1346" s="2" t="s">
        <v>573</v>
      </c>
      <c r="D1346" s="2" t="str">
        <f t="shared" si="20"/>
        <v>Error?</v>
      </c>
    </row>
    <row r="1347" spans="1:4" x14ac:dyDescent="0.2">
      <c r="A1347" s="5">
        <v>1286</v>
      </c>
      <c r="B1347" s="138">
        <f>'Expenditures 15-22'!E182</f>
        <v>579698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579698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579698</v>
      </c>
      <c r="C1353" s="2" t="s">
        <v>573</v>
      </c>
      <c r="D1353" s="2" t="str">
        <f t="shared" si="20"/>
        <v>Error?</v>
      </c>
    </row>
    <row r="1354" spans="1:4" x14ac:dyDescent="0.2">
      <c r="A1354" s="5">
        <v>1293</v>
      </c>
      <c r="B1354" s="138">
        <f>'Expenditures 15-22'!F182</f>
        <v>50745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50824</v>
      </c>
      <c r="C1358" s="2" t="s">
        <v>573</v>
      </c>
      <c r="D1358" s="2" t="str">
        <f t="shared" si="20"/>
        <v>Error?</v>
      </c>
    </row>
    <row r="1359" spans="1:4" x14ac:dyDescent="0.2">
      <c r="A1359" s="5">
        <v>1298</v>
      </c>
      <c r="B1359" s="138">
        <f>'Expenditures 15-22'!F210</f>
        <v>50824</v>
      </c>
      <c r="C1359" s="2" t="s">
        <v>573</v>
      </c>
      <c r="D1359" s="2" t="str">
        <f t="shared" si="20"/>
        <v>Error?</v>
      </c>
    </row>
    <row r="1360" spans="1:4" x14ac:dyDescent="0.2">
      <c r="A1360" s="5">
        <v>1299</v>
      </c>
      <c r="B1360" s="138">
        <f>'Expenditures 15-22'!G182</f>
        <v>52562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52562</v>
      </c>
      <c r="C1364" s="2" t="s">
        <v>573</v>
      </c>
      <c r="D1364" s="2" t="str">
        <f t="shared" si="20"/>
        <v>Error?</v>
      </c>
    </row>
    <row r="1365" spans="1:4" x14ac:dyDescent="0.2">
      <c r="A1365" s="5">
        <v>1304</v>
      </c>
      <c r="B1365" s="138">
        <f>'Expenditures 15-22'!G210</f>
        <v>52562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697859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697938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697938</v>
      </c>
      <c r="C1388" s="2" t="s">
        <v>573</v>
      </c>
      <c r="D1388" s="2" t="str">
        <f t="shared" si="20"/>
        <v>Error?</v>
      </c>
    </row>
    <row r="1389" spans="1:4" x14ac:dyDescent="0.2">
      <c r="A1389" s="5">
        <v>1328</v>
      </c>
      <c r="B1389" s="138">
        <f>'Expenditures 15-22'!K211</f>
        <v>4360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8505</v>
      </c>
      <c r="D1407" s="2" t="str">
        <f t="shared" ref="D1407:D1470" si="21">IF(ISBLANK(B1407),"OK",IF(A1407-B1407=0,"OK","Error?"))</f>
        <v>Error?</v>
      </c>
    </row>
    <row r="1408" spans="1:4" x14ac:dyDescent="0.2">
      <c r="A1408" s="5">
        <v>1347</v>
      </c>
      <c r="B1408" s="138">
        <f>'Expenditures 15-22'!D223</f>
        <v>14963</v>
      </c>
      <c r="D1408" s="2" t="str">
        <f t="shared" si="21"/>
        <v>Error?</v>
      </c>
    </row>
    <row r="1409" spans="1:4" x14ac:dyDescent="0.2">
      <c r="A1409" s="5">
        <v>1348</v>
      </c>
      <c r="B1409" s="138">
        <f>'Expenditures 15-22'!D224</f>
        <v>67</v>
      </c>
      <c r="D1409" s="2" t="str">
        <f t="shared" si="21"/>
        <v>Error?</v>
      </c>
    </row>
    <row r="1410" spans="1:4" x14ac:dyDescent="0.2">
      <c r="A1410" s="5">
        <v>1349</v>
      </c>
      <c r="B1410" s="138">
        <f>'Expenditures 15-22'!D229</f>
        <v>143658</v>
      </c>
      <c r="C1410" s="2" t="s">
        <v>573</v>
      </c>
      <c r="D1410" s="2" t="str">
        <f t="shared" si="21"/>
        <v>Error?</v>
      </c>
    </row>
    <row r="1411" spans="1:4" x14ac:dyDescent="0.2">
      <c r="A1411" s="5">
        <v>1350</v>
      </c>
      <c r="B1411" s="138">
        <f>'Expenditures 15-22'!D232</f>
        <v>8440</v>
      </c>
      <c r="D1411" s="2" t="str">
        <f t="shared" si="21"/>
        <v>Error?</v>
      </c>
    </row>
    <row r="1412" spans="1:4" x14ac:dyDescent="0.2">
      <c r="A1412" s="5">
        <v>1351</v>
      </c>
      <c r="B1412" s="138">
        <f>'Expenditures 15-22'!D233</f>
        <v>8303</v>
      </c>
      <c r="D1412" s="2" t="str">
        <f t="shared" si="21"/>
        <v>Error?</v>
      </c>
    </row>
    <row r="1413" spans="1:4" x14ac:dyDescent="0.2">
      <c r="A1413" s="5">
        <v>1352</v>
      </c>
      <c r="B1413" s="138">
        <f>'Expenditures 15-22'!D234</f>
        <v>6147</v>
      </c>
      <c r="D1413" s="2" t="str">
        <f t="shared" si="21"/>
        <v>Error?</v>
      </c>
    </row>
    <row r="1414" spans="1:4" x14ac:dyDescent="0.2">
      <c r="A1414" s="5">
        <v>1353</v>
      </c>
      <c r="B1414" s="138">
        <f>'Expenditures 15-22'!D235</f>
        <v>610</v>
      </c>
      <c r="D1414" s="2" t="str">
        <f t="shared" si="21"/>
        <v>Error?</v>
      </c>
    </row>
    <row r="1415" spans="1:4" x14ac:dyDescent="0.2">
      <c r="A1415" s="5">
        <v>1354</v>
      </c>
      <c r="B1415" s="138">
        <f>'Expenditures 15-22'!D236</f>
        <v>720</v>
      </c>
      <c r="D1415" s="2" t="str">
        <f t="shared" si="21"/>
        <v>Error?</v>
      </c>
    </row>
    <row r="1416" spans="1:4" x14ac:dyDescent="0.2">
      <c r="A1416" s="5">
        <v>1355</v>
      </c>
      <c r="B1416" s="138">
        <f>'Expenditures 15-22'!D237</f>
        <v>577</v>
      </c>
      <c r="D1416" s="2" t="str">
        <f t="shared" si="21"/>
        <v>Error?</v>
      </c>
    </row>
    <row r="1417" spans="1:4" x14ac:dyDescent="0.2">
      <c r="A1417" s="5">
        <v>1356</v>
      </c>
      <c r="B1417" s="138">
        <f>'Expenditures 15-22'!D238</f>
        <v>24797</v>
      </c>
      <c r="C1417" s="2" t="s">
        <v>573</v>
      </c>
      <c r="D1417" s="2" t="str">
        <f t="shared" si="21"/>
        <v>Error?</v>
      </c>
    </row>
    <row r="1418" spans="1:4" x14ac:dyDescent="0.2">
      <c r="A1418" s="5">
        <v>1357</v>
      </c>
      <c r="B1418" s="138">
        <f>'Expenditures 15-22'!D240</f>
        <v>201</v>
      </c>
      <c r="D1418" s="2" t="str">
        <f t="shared" si="21"/>
        <v>Error?</v>
      </c>
    </row>
    <row r="1419" spans="1:4" x14ac:dyDescent="0.2">
      <c r="A1419" s="5">
        <v>1358</v>
      </c>
      <c r="B1419" s="138">
        <f>'Expenditures 15-22'!D241</f>
        <v>8674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8875</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9436</v>
      </c>
      <c r="D1423" s="2" t="str">
        <f t="shared" si="21"/>
        <v>Error?</v>
      </c>
    </row>
    <row r="1424" spans="1:4" x14ac:dyDescent="0.2">
      <c r="A1424" s="5">
        <v>1363</v>
      </c>
      <c r="B1424" s="138">
        <f>'Expenditures 15-22'!D257</f>
        <v>9895</v>
      </c>
      <c r="C1424" s="2" t="s">
        <v>573</v>
      </c>
      <c r="D1424" s="2" t="str">
        <f t="shared" si="21"/>
        <v>Error?</v>
      </c>
    </row>
    <row r="1425" spans="1:4" x14ac:dyDescent="0.2">
      <c r="A1425" s="5">
        <v>1364</v>
      </c>
      <c r="B1425" s="138">
        <f>'Expenditures 15-22'!D259</f>
        <v>7344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7344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15159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69805</v>
      </c>
      <c r="D1431" s="2" t="str">
        <f t="shared" si="21"/>
        <v>Error?</v>
      </c>
    </row>
    <row r="1432" spans="1:4" x14ac:dyDescent="0.2">
      <c r="A1432" s="5">
        <v>1371</v>
      </c>
      <c r="B1432" s="138">
        <f>'Expenditures 15-22'!D267</f>
        <v>1436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86400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1714</v>
      </c>
      <c r="D1445" s="2" t="str">
        <f t="shared" si="21"/>
        <v>Error?</v>
      </c>
    </row>
    <row r="1446" spans="1:4" x14ac:dyDescent="0.2">
      <c r="A1446" s="5">
        <v>1385</v>
      </c>
      <c r="B1446" s="138">
        <f>'Expenditures 15-22'!D279</f>
        <v>139025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282683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8505</v>
      </c>
      <c r="C1471" s="2" t="s">
        <v>573</v>
      </c>
      <c r="D1471" s="2" t="str">
        <f t="shared" ref="D1471:D1534" si="22">IF(ISBLANK(B1471),"OK",IF(A1471-B1471=0,"OK","Error?"))</f>
        <v>Error?</v>
      </c>
    </row>
    <row r="1472" spans="1:4" x14ac:dyDescent="0.2">
      <c r="A1472" s="5">
        <v>1411</v>
      </c>
      <c r="B1472" s="138">
        <f>'Expenditures 15-22'!K223</f>
        <v>14963</v>
      </c>
      <c r="C1472" s="2" t="s">
        <v>573</v>
      </c>
      <c r="D1472" s="2" t="str">
        <f t="shared" si="22"/>
        <v>Error?</v>
      </c>
    </row>
    <row r="1473" spans="1:4" x14ac:dyDescent="0.2">
      <c r="A1473" s="5">
        <v>1412</v>
      </c>
      <c r="B1473" s="138">
        <f>'Expenditures 15-22'!K224</f>
        <v>67</v>
      </c>
      <c r="C1473" s="2" t="s">
        <v>573</v>
      </c>
      <c r="D1473" s="2" t="str">
        <f t="shared" si="22"/>
        <v>Error?</v>
      </c>
    </row>
    <row r="1474" spans="1:4" x14ac:dyDescent="0.2">
      <c r="A1474" s="5">
        <v>1413</v>
      </c>
      <c r="B1474" s="138">
        <f>'Expenditures 15-22'!K229</f>
        <v>143658</v>
      </c>
      <c r="C1474" s="2" t="s">
        <v>573</v>
      </c>
      <c r="D1474" s="2" t="str">
        <f t="shared" si="22"/>
        <v>Error?</v>
      </c>
    </row>
    <row r="1475" spans="1:4" x14ac:dyDescent="0.2">
      <c r="A1475" s="5">
        <v>1414</v>
      </c>
      <c r="B1475" s="138">
        <f>'Expenditures 15-22'!K232</f>
        <v>8440</v>
      </c>
      <c r="C1475" s="2" t="s">
        <v>573</v>
      </c>
      <c r="D1475" s="2" t="str">
        <f t="shared" si="22"/>
        <v>Error?</v>
      </c>
    </row>
    <row r="1476" spans="1:4" x14ac:dyDescent="0.2">
      <c r="A1476" s="5">
        <v>1415</v>
      </c>
      <c r="B1476" s="138">
        <f>'Expenditures 15-22'!K233</f>
        <v>8303</v>
      </c>
      <c r="C1476" s="2" t="s">
        <v>573</v>
      </c>
      <c r="D1476" s="2" t="str">
        <f t="shared" si="22"/>
        <v>Error?</v>
      </c>
    </row>
    <row r="1477" spans="1:4" x14ac:dyDescent="0.2">
      <c r="A1477" s="5">
        <v>1416</v>
      </c>
      <c r="B1477" s="138">
        <f>'Expenditures 15-22'!K234</f>
        <v>6147</v>
      </c>
      <c r="C1477" s="2" t="s">
        <v>573</v>
      </c>
      <c r="D1477" s="2" t="str">
        <f t="shared" si="22"/>
        <v>Error?</v>
      </c>
    </row>
    <row r="1478" spans="1:4" x14ac:dyDescent="0.2">
      <c r="A1478" s="5">
        <v>1417</v>
      </c>
      <c r="B1478" s="138">
        <f>'Expenditures 15-22'!K235</f>
        <v>610</v>
      </c>
      <c r="C1478" s="2" t="s">
        <v>573</v>
      </c>
      <c r="D1478" s="2" t="str">
        <f t="shared" si="22"/>
        <v>Error?</v>
      </c>
    </row>
    <row r="1479" spans="1:4" x14ac:dyDescent="0.2">
      <c r="A1479" s="5">
        <v>1418</v>
      </c>
      <c r="B1479" s="138">
        <f>'Expenditures 15-22'!K236</f>
        <v>720</v>
      </c>
      <c r="C1479" s="2" t="s">
        <v>573</v>
      </c>
      <c r="D1479" s="2" t="str">
        <f t="shared" si="22"/>
        <v>Error?</v>
      </c>
    </row>
    <row r="1480" spans="1:4" x14ac:dyDescent="0.2">
      <c r="A1480" s="5">
        <v>1419</v>
      </c>
      <c r="B1480" s="138">
        <f>'Expenditures 15-22'!K237</f>
        <v>577</v>
      </c>
      <c r="C1480" s="2" t="s">
        <v>573</v>
      </c>
      <c r="D1480" s="2" t="str">
        <f t="shared" si="22"/>
        <v>Error?</v>
      </c>
    </row>
    <row r="1481" spans="1:4" x14ac:dyDescent="0.2">
      <c r="A1481" s="5">
        <v>1420</v>
      </c>
      <c r="B1481" s="138">
        <f>'Expenditures 15-22'!K238</f>
        <v>24797</v>
      </c>
      <c r="C1481" s="2" t="s">
        <v>573</v>
      </c>
      <c r="D1481" s="2" t="str">
        <f t="shared" si="22"/>
        <v>Error?</v>
      </c>
    </row>
    <row r="1482" spans="1:4" x14ac:dyDescent="0.2">
      <c r="A1482" s="5">
        <v>1421</v>
      </c>
      <c r="B1482" s="138">
        <f>'Expenditures 15-22'!K240</f>
        <v>201</v>
      </c>
      <c r="C1482" s="2" t="s">
        <v>573</v>
      </c>
      <c r="D1482" s="2" t="str">
        <f t="shared" si="22"/>
        <v>Error?</v>
      </c>
    </row>
    <row r="1483" spans="1:4" x14ac:dyDescent="0.2">
      <c r="A1483" s="5">
        <v>1422</v>
      </c>
      <c r="B1483" s="138">
        <f>'Expenditures 15-22'!K241</f>
        <v>8674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8875</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9436</v>
      </c>
      <c r="C1487" s="2" t="s">
        <v>573</v>
      </c>
      <c r="D1487" s="2" t="str">
        <f t="shared" si="22"/>
        <v>Error?</v>
      </c>
    </row>
    <row r="1488" spans="1:4" x14ac:dyDescent="0.2">
      <c r="A1488" s="5">
        <v>1427</v>
      </c>
      <c r="B1488" s="138">
        <f>'Expenditures 15-22'!K257</f>
        <v>9895</v>
      </c>
      <c r="C1488" s="2" t="s">
        <v>573</v>
      </c>
      <c r="D1488" s="2" t="str">
        <f t="shared" si="22"/>
        <v>Error?</v>
      </c>
    </row>
    <row r="1489" spans="1:4" x14ac:dyDescent="0.2">
      <c r="A1489" s="5">
        <v>1428</v>
      </c>
      <c r="B1489" s="138">
        <f>'Expenditures 15-22'!K259</f>
        <v>7344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7344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15159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69805</v>
      </c>
      <c r="C1495" s="2" t="s">
        <v>573</v>
      </c>
      <c r="D1495" s="2" t="str">
        <f t="shared" si="22"/>
        <v>Error?</v>
      </c>
    </row>
    <row r="1496" spans="1:4" x14ac:dyDescent="0.2">
      <c r="A1496" s="5">
        <v>1435</v>
      </c>
      <c r="B1496" s="138">
        <f>'Expenditures 15-22'!K267</f>
        <v>1436</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86400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1714</v>
      </c>
      <c r="C1509" s="2" t="s">
        <v>573</v>
      </c>
      <c r="D1509" s="2" t="str">
        <f t="shared" si="22"/>
        <v>Error?</v>
      </c>
    </row>
    <row r="1510" spans="1:4" x14ac:dyDescent="0.2">
      <c r="A1510" s="5">
        <v>1449</v>
      </c>
      <c r="B1510" s="138">
        <f>'Expenditures 15-22'!K279</f>
        <v>139025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282683</v>
      </c>
      <c r="C1517" s="2" t="s">
        <v>573</v>
      </c>
      <c r="D1517" s="2" t="str">
        <f t="shared" si="22"/>
        <v>Error?</v>
      </c>
    </row>
    <row r="1518" spans="1:4" x14ac:dyDescent="0.2">
      <c r="A1518" s="5">
        <v>1457</v>
      </c>
      <c r="B1518" s="138">
        <f>'Expenditures 15-22'!K296</f>
        <v>58637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3760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3760</v>
      </c>
      <c r="C1535" s="2" t="s">
        <v>573</v>
      </c>
      <c r="D1535" s="2" t="str">
        <f t="shared" ref="D1535:D1598" si="23">IF(ISBLANK(B1535),"OK",IF(A1535-B1535=0,"OK","Error?"))</f>
        <v>Error?</v>
      </c>
    </row>
    <row r="1536" spans="1:4" x14ac:dyDescent="0.2">
      <c r="A1536" s="5">
        <v>1475</v>
      </c>
      <c r="B1536" s="138">
        <f>'Expenditures 15-22'!E312</f>
        <v>3760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348072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348072</v>
      </c>
      <c r="C1547" s="2" t="s">
        <v>573</v>
      </c>
      <c r="D1547" s="2" t="str">
        <f t="shared" si="23"/>
        <v>Error?</v>
      </c>
    </row>
    <row r="1548" spans="1:4" x14ac:dyDescent="0.2">
      <c r="A1548" s="5">
        <v>1487</v>
      </c>
      <c r="B1548" s="138">
        <f>'Expenditures 15-22'!G312</f>
        <v>348072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351832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351832</v>
      </c>
      <c r="C1559" s="2" t="s">
        <v>573</v>
      </c>
      <c r="D1559" s="2" t="str">
        <f t="shared" si="23"/>
        <v>Error?</v>
      </c>
    </row>
    <row r="1560" spans="1:4" x14ac:dyDescent="0.2">
      <c r="A1560" s="5">
        <v>1499</v>
      </c>
      <c r="B1560" s="138">
        <f>'Expenditures 15-22'!K312</f>
        <v>351832</v>
      </c>
      <c r="C1560" s="2" t="s">
        <v>573</v>
      </c>
      <c r="D1560" s="2" t="str">
        <f t="shared" si="23"/>
        <v>Error?</v>
      </c>
    </row>
    <row r="1561" spans="1:4" x14ac:dyDescent="0.2">
      <c r="A1561" s="5">
        <v>1500</v>
      </c>
      <c r="B1561" s="138">
        <f>'Expenditures 15-22'!K313</f>
        <v>-240407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2638008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3105237</v>
      </c>
      <c r="C1630" s="2" t="s">
        <v>573</v>
      </c>
      <c r="D1630" s="2" t="str">
        <f t="shared" si="24"/>
        <v>Error?</v>
      </c>
    </row>
    <row r="1631" spans="1:4" x14ac:dyDescent="0.2">
      <c r="A1631" s="5">
        <v>1570</v>
      </c>
      <c r="B1631" s="138">
        <f>'Acct Summary 7-8'!D79</f>
        <v>590133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700080</v>
      </c>
      <c r="C1644" s="2" t="s">
        <v>573</v>
      </c>
      <c r="D1644" s="2" t="str">
        <f t="shared" si="24"/>
        <v>Error?</v>
      </c>
    </row>
    <row r="1645" spans="1:4" x14ac:dyDescent="0.2">
      <c r="A1645" s="5">
        <v>1584</v>
      </c>
      <c r="B1645" s="138">
        <f>'Acct Summary 7-8'!E79</f>
        <v>258545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1041035</v>
      </c>
      <c r="C1658" s="2" t="s">
        <v>573</v>
      </c>
      <c r="D1658" s="2" t="str">
        <f t="shared" si="24"/>
        <v>Error?</v>
      </c>
    </row>
    <row r="1659" spans="1:4" x14ac:dyDescent="0.2">
      <c r="A1659" s="5">
        <v>1598</v>
      </c>
      <c r="B1659" s="138">
        <f>'Acct Summary 7-8'!F79</f>
        <v>8453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12813</v>
      </c>
      <c r="C1672" s="2" t="s">
        <v>573</v>
      </c>
      <c r="D1672" s="2" t="str">
        <f t="shared" si="25"/>
        <v>Error?</v>
      </c>
    </row>
    <row r="1673" spans="1:4" x14ac:dyDescent="0.2">
      <c r="A1673" s="5">
        <v>1612</v>
      </c>
      <c r="B1673" s="138">
        <f>'Acct Summary 7-8'!G79</f>
        <v>297883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356520</v>
      </c>
      <c r="C1686" s="2" t="s">
        <v>573</v>
      </c>
      <c r="D1686" s="2" t="str">
        <f t="shared" si="25"/>
        <v>Error?</v>
      </c>
    </row>
    <row r="1687" spans="1:4" x14ac:dyDescent="0.2">
      <c r="A1687" s="5">
        <v>1626</v>
      </c>
      <c r="B1687" s="138">
        <f>'Acct Summary 7-8'!H79</f>
        <v>309782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69375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3085369</v>
      </c>
      <c r="C1744" s="2" t="s">
        <v>573</v>
      </c>
      <c r="D1744" s="2" t="str">
        <f t="shared" si="26"/>
        <v>Error?</v>
      </c>
    </row>
    <row r="1745" spans="1:5" x14ac:dyDescent="0.2">
      <c r="A1745" s="5">
        <v>1684</v>
      </c>
      <c r="B1745" s="138">
        <f>'Tax Sched 23'!B5</f>
        <v>476137</v>
      </c>
      <c r="C1745" s="2" t="s">
        <v>573</v>
      </c>
      <c r="D1745" s="2" t="str">
        <f t="shared" si="26"/>
        <v>Error?</v>
      </c>
    </row>
    <row r="1746" spans="1:5" x14ac:dyDescent="0.2">
      <c r="A1746" s="5">
        <v>1685</v>
      </c>
      <c r="B1746" s="138">
        <f>'Tax Sched 23'!B6</f>
        <v>861214</v>
      </c>
      <c r="C1746" s="2" t="s">
        <v>573</v>
      </c>
      <c r="D1746" s="2" t="str">
        <f t="shared" si="26"/>
        <v>Error?</v>
      </c>
    </row>
    <row r="1747" spans="1:5" x14ac:dyDescent="0.2">
      <c r="A1747" s="5">
        <v>1686</v>
      </c>
      <c r="B1747" s="138">
        <f>'Tax Sched 23'!B7</f>
        <v>228546</v>
      </c>
      <c r="C1747" s="2" t="s">
        <v>573</v>
      </c>
      <c r="D1747" s="2" t="str">
        <f t="shared" si="26"/>
        <v>Error?</v>
      </c>
    </row>
    <row r="1748" spans="1:5" x14ac:dyDescent="0.2">
      <c r="A1748" s="5">
        <v>1687</v>
      </c>
      <c r="B1748" s="138">
        <f>'Tax Sched 23'!B8</f>
        <v>109303</v>
      </c>
      <c r="C1748" s="2" t="s">
        <v>573</v>
      </c>
      <c r="D1748" s="2" t="str">
        <f t="shared" si="26"/>
        <v>Error?</v>
      </c>
    </row>
    <row r="1749" spans="1:5" x14ac:dyDescent="0.2">
      <c r="A1749" s="5">
        <v>1688</v>
      </c>
      <c r="B1749" s="138">
        <f>'Tax Sched 23'!B10</f>
        <v>95228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695447</v>
      </c>
      <c r="C1752" s="2" t="s">
        <v>573</v>
      </c>
      <c r="D1752" s="2" t="str">
        <f t="shared" si="26"/>
        <v>Error?</v>
      </c>
    </row>
    <row r="1753" spans="1:5" x14ac:dyDescent="0.2">
      <c r="A1753" s="5">
        <v>1692</v>
      </c>
      <c r="B1753" s="138">
        <f>'Tax Sched 23'!B12</f>
        <v>95228</v>
      </c>
      <c r="C1753" s="2" t="s">
        <v>573</v>
      </c>
      <c r="D1753" s="2" t="str">
        <f t="shared" si="26"/>
        <v>Error?</v>
      </c>
    </row>
    <row r="1754" spans="1:5" x14ac:dyDescent="0.2">
      <c r="A1754" s="5">
        <v>1693</v>
      </c>
      <c r="B1754" s="138">
        <f>'Tax Sched 23'!B14</f>
        <v>38091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5953657</v>
      </c>
      <c r="C1759" s="2" t="s">
        <v>573</v>
      </c>
      <c r="D1759" s="2" t="str">
        <f t="shared" si="26"/>
        <v>Error?</v>
      </c>
    </row>
    <row r="1760" spans="1:5" x14ac:dyDescent="0.2">
      <c r="A1760" s="5">
        <v>1699</v>
      </c>
      <c r="B1760" s="138">
        <f>'Tax Sched 23'!D4</f>
        <v>3085369</v>
      </c>
      <c r="C1760" s="2" t="s">
        <v>573</v>
      </c>
      <c r="D1760" s="2" t="str">
        <f t="shared" si="26"/>
        <v>Error?</v>
      </c>
    </row>
    <row r="1761" spans="1:5" x14ac:dyDescent="0.2">
      <c r="A1761" s="5">
        <v>1700</v>
      </c>
      <c r="B1761" s="138">
        <f>'Tax Sched 23'!D5</f>
        <v>476137</v>
      </c>
      <c r="C1761" s="2" t="s">
        <v>573</v>
      </c>
      <c r="D1761" s="2" t="str">
        <f t="shared" si="26"/>
        <v>Error?</v>
      </c>
    </row>
    <row r="1762" spans="1:5" s="8" customFormat="1" x14ac:dyDescent="0.2">
      <c r="A1762" s="5">
        <v>1701</v>
      </c>
      <c r="B1762" s="138">
        <f>'Tax Sched 23'!D6</f>
        <v>861214</v>
      </c>
      <c r="C1762" s="2" t="s">
        <v>573</v>
      </c>
      <c r="D1762" s="2" t="str">
        <f t="shared" si="26"/>
        <v>Error?</v>
      </c>
      <c r="E1762" s="9"/>
    </row>
    <row r="1763" spans="1:5" x14ac:dyDescent="0.2">
      <c r="A1763" s="5">
        <v>1702</v>
      </c>
      <c r="B1763" s="138">
        <f>'Tax Sched 23'!D7</f>
        <v>228546</v>
      </c>
      <c r="C1763" s="2" t="s">
        <v>573</v>
      </c>
      <c r="D1763" s="2" t="str">
        <f t="shared" si="26"/>
        <v>Error?</v>
      </c>
    </row>
    <row r="1764" spans="1:5" x14ac:dyDescent="0.2">
      <c r="A1764" s="5">
        <v>1703</v>
      </c>
      <c r="B1764" s="138">
        <f>'Tax Sched 23'!D8</f>
        <v>109303</v>
      </c>
      <c r="C1764" s="2" t="s">
        <v>573</v>
      </c>
      <c r="D1764" s="2" t="str">
        <f t="shared" si="26"/>
        <v>Error?</v>
      </c>
    </row>
    <row r="1765" spans="1:5" x14ac:dyDescent="0.2">
      <c r="A1765" s="5">
        <v>1704</v>
      </c>
      <c r="B1765" s="138">
        <f>'Tax Sched 23'!D10</f>
        <v>95228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695447</v>
      </c>
      <c r="C1768" s="2" t="s">
        <v>573</v>
      </c>
      <c r="D1768" s="2" t="str">
        <f t="shared" si="26"/>
        <v>Error?</v>
      </c>
    </row>
    <row r="1769" spans="1:5" x14ac:dyDescent="0.2">
      <c r="A1769" s="5">
        <v>1708</v>
      </c>
      <c r="B1769" s="138">
        <f>'Tax Sched 23'!D12</f>
        <v>95228</v>
      </c>
      <c r="C1769" s="2" t="s">
        <v>573</v>
      </c>
      <c r="D1769" s="2" t="str">
        <f t="shared" si="26"/>
        <v>Error?</v>
      </c>
    </row>
    <row r="1770" spans="1:5" x14ac:dyDescent="0.2">
      <c r="A1770" s="5">
        <v>1709</v>
      </c>
      <c r="B1770" s="138">
        <f>'Tax Sched 23'!D14</f>
        <v>38091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5953657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3152305</v>
      </c>
      <c r="C1792" s="2" t="s">
        <v>573</v>
      </c>
      <c r="D1792" s="2" t="str">
        <f t="shared" si="27"/>
        <v>Error?</v>
      </c>
    </row>
    <row r="1793" spans="1:4" x14ac:dyDescent="0.2">
      <c r="A1793" s="5">
        <v>1732</v>
      </c>
      <c r="B1793" s="138">
        <f>'Tax Sched 23'!F5</f>
        <v>486467</v>
      </c>
      <c r="C1793" s="2" t="s">
        <v>573</v>
      </c>
      <c r="D1793" s="2" t="str">
        <f t="shared" si="27"/>
        <v>Error?</v>
      </c>
    </row>
    <row r="1794" spans="1:4" x14ac:dyDescent="0.2">
      <c r="A1794" s="5">
        <v>1733</v>
      </c>
      <c r="B1794" s="138">
        <f>'Tax Sched 23'!F6</f>
        <v>894029</v>
      </c>
      <c r="C1794" s="2" t="s">
        <v>573</v>
      </c>
      <c r="D1794" s="2" t="str">
        <f t="shared" si="27"/>
        <v>Error?</v>
      </c>
    </row>
    <row r="1795" spans="1:4" x14ac:dyDescent="0.2">
      <c r="A1795" s="5">
        <v>1734</v>
      </c>
      <c r="B1795" s="138">
        <f>'Tax Sched 23'!F7</f>
        <v>233504</v>
      </c>
      <c r="C1795" s="2" t="s">
        <v>573</v>
      </c>
      <c r="D1795" s="2" t="str">
        <f t="shared" si="27"/>
        <v>Error?</v>
      </c>
    </row>
    <row r="1796" spans="1:4" x14ac:dyDescent="0.2">
      <c r="A1796" s="5">
        <v>1735</v>
      </c>
      <c r="B1796" s="138">
        <f>'Tax Sched 23'!F8</f>
        <v>110019</v>
      </c>
      <c r="C1796" s="2" t="s">
        <v>573</v>
      </c>
      <c r="D1796" s="2" t="str">
        <f t="shared" si="27"/>
        <v>Error?</v>
      </c>
    </row>
    <row r="1797" spans="1:4" x14ac:dyDescent="0.2">
      <c r="A1797" s="5">
        <v>1736</v>
      </c>
      <c r="B1797" s="138">
        <f>'Tax Sched 23'!F10</f>
        <v>97293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700006</v>
      </c>
      <c r="C1800" s="2" t="s">
        <v>573</v>
      </c>
      <c r="D1800" s="2" t="str">
        <f t="shared" si="27"/>
        <v>Error?</v>
      </c>
    </row>
    <row r="1801" spans="1:4" x14ac:dyDescent="0.2">
      <c r="A1801" s="5">
        <v>1740</v>
      </c>
      <c r="B1801" s="138">
        <f>'Tax Sched 23'!F12</f>
        <v>97293</v>
      </c>
      <c r="C1801" s="2" t="s">
        <v>573</v>
      </c>
      <c r="D1801" s="2" t="str">
        <f t="shared" si="27"/>
        <v>Error?</v>
      </c>
    </row>
    <row r="1802" spans="1:4" x14ac:dyDescent="0.2">
      <c r="A1802" s="5">
        <v>1741</v>
      </c>
      <c r="B1802" s="138">
        <f>'Tax Sched 23'!F14</f>
        <v>38917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6077136</v>
      </c>
      <c r="C1807" s="2" t="s">
        <v>573</v>
      </c>
      <c r="D1807" s="2" t="str">
        <f t="shared" si="27"/>
        <v>Error?</v>
      </c>
    </row>
    <row r="1808" spans="1:4" x14ac:dyDescent="0.2">
      <c r="A1808" s="5">
        <v>1747</v>
      </c>
      <c r="B1808" s="138">
        <f>'Tax Sched 23'!E4</f>
        <v>3152305</v>
      </c>
      <c r="D1808" s="2" t="str">
        <f t="shared" si="27"/>
        <v>Error?</v>
      </c>
    </row>
    <row r="1809" spans="1:4" x14ac:dyDescent="0.2">
      <c r="A1809" s="5">
        <v>1748</v>
      </c>
      <c r="B1809" s="138">
        <f>'Tax Sched 23'!E5</f>
        <v>486467</v>
      </c>
      <c r="D1809" s="2" t="str">
        <f t="shared" si="27"/>
        <v>Error?</v>
      </c>
    </row>
    <row r="1810" spans="1:4" x14ac:dyDescent="0.2">
      <c r="A1810" s="5">
        <v>1749</v>
      </c>
      <c r="B1810" s="138">
        <f>'Tax Sched 23'!E6</f>
        <v>894029</v>
      </c>
      <c r="D1810" s="2" t="str">
        <f t="shared" si="27"/>
        <v>Error?</v>
      </c>
    </row>
    <row r="1811" spans="1:4" x14ac:dyDescent="0.2">
      <c r="A1811" s="5">
        <v>1750</v>
      </c>
      <c r="B1811" s="138">
        <f>'Tax Sched 23'!E7</f>
        <v>233504</v>
      </c>
      <c r="D1811" s="2" t="str">
        <f t="shared" si="27"/>
        <v>Error?</v>
      </c>
    </row>
    <row r="1812" spans="1:4" x14ac:dyDescent="0.2">
      <c r="A1812" s="5">
        <v>1751</v>
      </c>
      <c r="B1812" s="138">
        <f>'Tax Sched 23'!E8</f>
        <v>110019</v>
      </c>
      <c r="D1812" s="2" t="str">
        <f t="shared" si="27"/>
        <v>Error?</v>
      </c>
    </row>
    <row r="1813" spans="1:4" x14ac:dyDescent="0.2">
      <c r="A1813" s="5">
        <v>1752</v>
      </c>
      <c r="B1813" s="138">
        <f>'Tax Sched 23'!E10</f>
        <v>97293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700006</v>
      </c>
      <c r="D1816" s="2" t="str">
        <f t="shared" si="27"/>
        <v>Error?</v>
      </c>
    </row>
    <row r="1817" spans="1:4" x14ac:dyDescent="0.2">
      <c r="A1817" s="5">
        <v>1756</v>
      </c>
      <c r="B1817" s="138">
        <f>'Tax Sched 23'!E12</f>
        <v>97293</v>
      </c>
      <c r="D1817" s="2" t="str">
        <f t="shared" si="27"/>
        <v>Error?</v>
      </c>
    </row>
    <row r="1818" spans="1:4" x14ac:dyDescent="0.2">
      <c r="A1818" s="5">
        <v>1757</v>
      </c>
      <c r="B1818" s="138">
        <f>'Tax Sched 23'!E14</f>
        <v>38917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6077136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4429635</v>
      </c>
      <c r="C1939" s="2" t="s">
        <v>573</v>
      </c>
      <c r="D1939" s="2" t="str">
        <f t="shared" si="29"/>
        <v>Error?</v>
      </c>
    </row>
    <row r="1940" spans="1:5" x14ac:dyDescent="0.2">
      <c r="A1940" s="5">
        <v>1879</v>
      </c>
      <c r="B1940" s="138">
        <f>'Short-Term Long-Term Debt 24'!F49</f>
        <v>6645000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38091</v>
      </c>
      <c r="D1972" s="2" t="str">
        <f t="shared" si="29"/>
        <v>Error?</v>
      </c>
    </row>
    <row r="1973" spans="1:5" x14ac:dyDescent="0.2">
      <c r="A1973" s="5">
        <v>1912</v>
      </c>
      <c r="B1973" s="138">
        <f>'Rest Tax Levies-Tort Im 25'!H6</f>
        <v>28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38119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38119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1547158</v>
      </c>
      <c r="D2008" s="2" t="str">
        <f t="shared" si="30"/>
        <v>Error?</v>
      </c>
    </row>
    <row r="2009" spans="1:4" x14ac:dyDescent="0.2">
      <c r="A2009" s="5">
        <v>1948</v>
      </c>
      <c r="B2009" s="138">
        <f>'Cap Outlay Deprec 26'!C8</f>
        <v>40125545</v>
      </c>
      <c r="D2009" s="2" t="str">
        <f t="shared" si="30"/>
        <v>Error?</v>
      </c>
    </row>
    <row r="2010" spans="1:4" x14ac:dyDescent="0.2">
      <c r="A2010" s="5">
        <v>1949</v>
      </c>
      <c r="B2010" s="138">
        <f>'Cap Outlay Deprec 26'!C10</f>
        <v>1179652</v>
      </c>
      <c r="D2010" s="2" t="str">
        <f t="shared" si="30"/>
        <v>Error?</v>
      </c>
    </row>
    <row r="2011" spans="1:4" x14ac:dyDescent="0.2">
      <c r="A2011" s="5">
        <v>1950</v>
      </c>
      <c r="B2011" s="138">
        <f>'Cap Outlay Deprec 26'!C12</f>
        <v>1277257</v>
      </c>
      <c r="D2011" s="2" t="str">
        <f t="shared" si="30"/>
        <v>Error?</v>
      </c>
    </row>
    <row r="2012" spans="1:4" x14ac:dyDescent="0.2">
      <c r="A2012" s="5">
        <v>1951</v>
      </c>
      <c r="B2012" s="138">
        <f>'Cap Outlay Deprec 26'!C13</f>
        <v>87706</v>
      </c>
      <c r="D2012" s="2" t="str">
        <f t="shared" si="30"/>
        <v>Error?</v>
      </c>
    </row>
    <row r="2013" spans="1:4" x14ac:dyDescent="0.2">
      <c r="A2013" s="5">
        <v>1952</v>
      </c>
      <c r="B2013" s="138">
        <f>'Cap Outlay Deprec 26'!C16</f>
        <v>44240645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98692</v>
      </c>
      <c r="D2015" s="2" t="str">
        <f t="shared" si="30"/>
        <v>Error?</v>
      </c>
    </row>
    <row r="2016" spans="1:4" x14ac:dyDescent="0.2">
      <c r="A2016" s="5">
        <v>1955</v>
      </c>
      <c r="B2016" s="138">
        <f>'Cap Outlay Deprec 26'!D10</f>
        <v>256814</v>
      </c>
      <c r="D2016" s="2" t="str">
        <f t="shared" si="30"/>
        <v>Error?</v>
      </c>
    </row>
    <row r="2017" spans="1:4" x14ac:dyDescent="0.2">
      <c r="A2017" s="5">
        <v>1956</v>
      </c>
      <c r="B2017" s="138">
        <f>'Cap Outlay Deprec 26'!D12</f>
        <v>181062</v>
      </c>
      <c r="D2017" s="2" t="str">
        <f t="shared" si="30"/>
        <v>Error?</v>
      </c>
    </row>
    <row r="2018" spans="1:4" x14ac:dyDescent="0.2">
      <c r="A2018" s="5">
        <v>1957</v>
      </c>
      <c r="B2018" s="138">
        <f>'Cap Outlay Deprec 26'!D13</f>
        <v>52562</v>
      </c>
      <c r="D2018" s="2" t="str">
        <f t="shared" si="30"/>
        <v>Error?</v>
      </c>
    </row>
    <row r="2019" spans="1:4" x14ac:dyDescent="0.2">
      <c r="A2019" s="5">
        <v>1958</v>
      </c>
      <c r="B2019" s="138">
        <f>'Cap Outlay Deprec 26'!D16</f>
        <v>2159840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193876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217203</v>
      </c>
      <c r="C2025" s="2" t="s">
        <v>573</v>
      </c>
      <c r="D2025" s="2" t="str">
        <f t="shared" si="30"/>
        <v>Error?</v>
      </c>
    </row>
    <row r="2026" spans="1:4" x14ac:dyDescent="0.2">
      <c r="A2026" s="5">
        <v>1965</v>
      </c>
      <c r="B2026" s="138">
        <f>'Cap Outlay Deprec 26'!F5</f>
        <v>1547158</v>
      </c>
      <c r="C2026" s="2" t="s">
        <v>573</v>
      </c>
      <c r="D2026" s="2" t="str">
        <f t="shared" si="30"/>
        <v>Error?</v>
      </c>
    </row>
    <row r="2027" spans="1:4" x14ac:dyDescent="0.2">
      <c r="A2027" s="5">
        <v>1966</v>
      </c>
      <c r="B2027" s="138">
        <f>'Cap Outlay Deprec 26'!F8</f>
        <v>40224237</v>
      </c>
      <c r="C2027" s="2" t="s">
        <v>573</v>
      </c>
      <c r="D2027" s="2" t="str">
        <f t="shared" si="30"/>
        <v>Error?</v>
      </c>
    </row>
    <row r="2028" spans="1:4" x14ac:dyDescent="0.2">
      <c r="A2028" s="5">
        <v>1967</v>
      </c>
      <c r="B2028" s="138">
        <f>'Cap Outlay Deprec 26'!F10</f>
        <v>1436466</v>
      </c>
      <c r="C2028" s="2" t="s">
        <v>573</v>
      </c>
      <c r="D2028" s="2" t="str">
        <f t="shared" si="30"/>
        <v>Error?</v>
      </c>
    </row>
    <row r="2029" spans="1:4" x14ac:dyDescent="0.2">
      <c r="A2029" s="5">
        <v>1968</v>
      </c>
      <c r="B2029" s="138">
        <f>'Cap Outlay Deprec 26'!F12</f>
        <v>1264443</v>
      </c>
      <c r="C2029" s="2" t="s">
        <v>573</v>
      </c>
      <c r="D2029" s="2" t="str">
        <f t="shared" si="30"/>
        <v>Error?</v>
      </c>
    </row>
    <row r="2030" spans="1:4" x14ac:dyDescent="0.2">
      <c r="A2030" s="5">
        <v>1969</v>
      </c>
      <c r="B2030" s="138">
        <f>'Cap Outlay Deprec 26'!F13</f>
        <v>140268</v>
      </c>
      <c r="C2030" s="2" t="s">
        <v>573</v>
      </c>
      <c r="D2030" s="2" t="str">
        <f t="shared" si="30"/>
        <v>Error?</v>
      </c>
    </row>
    <row r="2031" spans="1:4" x14ac:dyDescent="0.2">
      <c r="A2031" s="5">
        <v>1970</v>
      </c>
      <c r="B2031" s="138">
        <f>'Cap Outlay Deprec 26'!F16</f>
        <v>46183282</v>
      </c>
      <c r="C2031" s="2" t="s">
        <v>573</v>
      </c>
      <c r="D2031" s="2" t="str">
        <f t="shared" si="30"/>
        <v>Error?</v>
      </c>
    </row>
    <row r="2032" spans="1:4" x14ac:dyDescent="0.2">
      <c r="A2032" s="10">
        <v>1971</v>
      </c>
      <c r="D2032" s="2" t="str">
        <f t="shared" si="30"/>
        <v>OK</v>
      </c>
    </row>
    <row r="2033" spans="1:4" x14ac:dyDescent="0.2">
      <c r="A2033" s="5">
        <v>1972</v>
      </c>
      <c r="B2033" s="138">
        <f>'Cap Outlay Deprec 26'!H8</f>
        <v>14708229</v>
      </c>
      <c r="D2033" s="2" t="str">
        <f t="shared" si="30"/>
        <v>Error?</v>
      </c>
    </row>
    <row r="2034" spans="1:4" x14ac:dyDescent="0.2">
      <c r="A2034" s="5">
        <v>1973</v>
      </c>
      <c r="B2034" s="138">
        <f>'Cap Outlay Deprec 26'!H10</f>
        <v>287861</v>
      </c>
      <c r="D2034" s="2" t="str">
        <f t="shared" si="30"/>
        <v>Error?</v>
      </c>
    </row>
    <row r="2035" spans="1:4" x14ac:dyDescent="0.2">
      <c r="A2035" s="5">
        <v>1974</v>
      </c>
      <c r="B2035" s="138">
        <f>'Cap Outlay Deprec 26'!H12</f>
        <v>875645</v>
      </c>
      <c r="D2035" s="2" t="str">
        <f t="shared" si="30"/>
        <v>Error?</v>
      </c>
    </row>
    <row r="2036" spans="1:4" x14ac:dyDescent="0.2">
      <c r="A2036" s="5">
        <v>1975</v>
      </c>
      <c r="B2036" s="138">
        <f>'Cap Outlay Deprec 26'!H13</f>
        <v>87706</v>
      </c>
      <c r="D2036" s="2" t="str">
        <f t="shared" si="30"/>
        <v>Error?</v>
      </c>
    </row>
    <row r="2037" spans="1:4" x14ac:dyDescent="0.2">
      <c r="A2037" s="5">
        <v>1976</v>
      </c>
      <c r="B2037" s="138">
        <f>'Cap Outlay Deprec 26'!H16</f>
        <v>15959441</v>
      </c>
      <c r="C2037" s="2" t="s">
        <v>573</v>
      </c>
      <c r="D2037" s="2" t="str">
        <f t="shared" si="30"/>
        <v>Error?</v>
      </c>
    </row>
    <row r="2038" spans="1:4" x14ac:dyDescent="0.2">
      <c r="A2038" s="10">
        <v>1977</v>
      </c>
      <c r="D2038" s="2" t="str">
        <f t="shared" si="30"/>
        <v>OK</v>
      </c>
    </row>
    <row r="2039" spans="1:4" x14ac:dyDescent="0.2">
      <c r="A2039" s="5">
        <v>1978</v>
      </c>
      <c r="B2039" s="138">
        <f>'Cap Outlay Deprec 26'!I8</f>
        <v>804485</v>
      </c>
      <c r="D2039" s="2" t="str">
        <f t="shared" si="30"/>
        <v>Error?</v>
      </c>
    </row>
    <row r="2040" spans="1:4" x14ac:dyDescent="0.2">
      <c r="A2040" s="5">
        <v>1979</v>
      </c>
      <c r="B2040" s="138">
        <f>'Cap Outlay Deprec 26'!I10</f>
        <v>65672</v>
      </c>
      <c r="D2040" s="2" t="str">
        <f t="shared" si="30"/>
        <v>Error?</v>
      </c>
    </row>
    <row r="2041" spans="1:4" x14ac:dyDescent="0.2">
      <c r="A2041" s="5">
        <v>1980</v>
      </c>
      <c r="B2041" s="138">
        <f>'Cap Outlay Deprec 26'!I12</f>
        <v>136130</v>
      </c>
      <c r="D2041" s="2" t="str">
        <f t="shared" si="30"/>
        <v>Error?</v>
      </c>
    </row>
    <row r="2042" spans="1:4" x14ac:dyDescent="0.2">
      <c r="A2042" s="5">
        <v>1981</v>
      </c>
      <c r="B2042" s="138">
        <f>'Cap Outlay Deprec 26'!I13</f>
        <v>10512</v>
      </c>
      <c r="D2042" s="2" t="str">
        <f t="shared" si="30"/>
        <v>Error?</v>
      </c>
    </row>
    <row r="2043" spans="1:4" x14ac:dyDescent="0.2">
      <c r="A2043" s="5">
        <v>1982</v>
      </c>
      <c r="B2043" s="138">
        <f>'Cap Outlay Deprec 26'!I16</f>
        <v>1016799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193876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193876</v>
      </c>
      <c r="C2049" s="2" t="s">
        <v>573</v>
      </c>
      <c r="D2049" s="2" t="str">
        <f t="shared" si="31"/>
        <v>Error?</v>
      </c>
    </row>
    <row r="2050" spans="1:4" x14ac:dyDescent="0.2">
      <c r="A2050" s="10">
        <v>1989</v>
      </c>
      <c r="D2050" s="2" t="str">
        <f t="shared" si="31"/>
        <v>OK</v>
      </c>
    </row>
    <row r="2051" spans="1:4" x14ac:dyDescent="0.2">
      <c r="A2051" s="5">
        <v>1990</v>
      </c>
      <c r="B2051" s="138">
        <f>'Cap Outlay Deprec 26'!K8</f>
        <v>15512714</v>
      </c>
      <c r="C2051" s="2" t="s">
        <v>573</v>
      </c>
      <c r="D2051" s="2" t="str">
        <f t="shared" si="31"/>
        <v>Error?</v>
      </c>
    </row>
    <row r="2052" spans="1:4" x14ac:dyDescent="0.2">
      <c r="A2052" s="5">
        <v>1991</v>
      </c>
      <c r="B2052" s="138">
        <f>'Cap Outlay Deprec 26'!K10</f>
        <v>353533</v>
      </c>
      <c r="C2052" s="2" t="s">
        <v>573</v>
      </c>
      <c r="D2052" s="2" t="str">
        <f t="shared" si="31"/>
        <v>Error?</v>
      </c>
    </row>
    <row r="2053" spans="1:4" x14ac:dyDescent="0.2">
      <c r="A2053" s="5">
        <v>1992</v>
      </c>
      <c r="B2053" s="138">
        <f>'Cap Outlay Deprec 26'!K12</f>
        <v>817899</v>
      </c>
      <c r="C2053" s="2" t="s">
        <v>573</v>
      </c>
      <c r="D2053" s="2" t="str">
        <f t="shared" si="31"/>
        <v>Error?</v>
      </c>
    </row>
    <row r="2054" spans="1:4" x14ac:dyDescent="0.2">
      <c r="A2054" s="5">
        <v>1993</v>
      </c>
      <c r="B2054" s="138">
        <f>'Cap Outlay Deprec 26'!K13</f>
        <v>98218</v>
      </c>
      <c r="C2054" s="2" t="s">
        <v>573</v>
      </c>
      <c r="D2054" s="2" t="str">
        <f t="shared" si="31"/>
        <v>Error?</v>
      </c>
    </row>
    <row r="2055" spans="1:4" x14ac:dyDescent="0.2">
      <c r="A2055" s="5">
        <v>1994</v>
      </c>
      <c r="B2055" s="138">
        <f>'Cap Outlay Deprec 26'!K16</f>
        <v>16782364</v>
      </c>
      <c r="C2055" s="2" t="s">
        <v>573</v>
      </c>
      <c r="D2055" s="2" t="str">
        <f t="shared" si="31"/>
        <v>Error?</v>
      </c>
    </row>
    <row r="2056" spans="1:4" x14ac:dyDescent="0.2">
      <c r="A2056" s="5">
        <v>1995</v>
      </c>
      <c r="B2056" s="138">
        <f>'Cap Outlay Deprec 26'!L5</f>
        <v>1547158</v>
      </c>
      <c r="C2056" s="2" t="s">
        <v>573</v>
      </c>
      <c r="D2056" s="2" t="str">
        <f t="shared" si="31"/>
        <v>Error?</v>
      </c>
    </row>
    <row r="2057" spans="1:4" x14ac:dyDescent="0.2">
      <c r="A2057" s="5">
        <v>1996</v>
      </c>
      <c r="B2057" s="138">
        <f>'Cap Outlay Deprec 26'!L8</f>
        <v>24711523</v>
      </c>
      <c r="C2057" s="2" t="s">
        <v>573</v>
      </c>
      <c r="D2057" s="2" t="str">
        <f t="shared" si="31"/>
        <v>Error?</v>
      </c>
    </row>
    <row r="2058" spans="1:4" x14ac:dyDescent="0.2">
      <c r="A2058" s="5">
        <v>1997</v>
      </c>
      <c r="B2058" s="138">
        <f>'Cap Outlay Deprec 26'!L10</f>
        <v>1082933</v>
      </c>
      <c r="C2058" s="2" t="s">
        <v>573</v>
      </c>
      <c r="D2058" s="2" t="str">
        <f t="shared" si="31"/>
        <v>Error?</v>
      </c>
    </row>
    <row r="2059" spans="1:4" x14ac:dyDescent="0.2">
      <c r="A2059" s="5">
        <v>1998</v>
      </c>
      <c r="B2059" s="138">
        <f>'Cap Outlay Deprec 26'!L12</f>
        <v>446544</v>
      </c>
      <c r="C2059" s="2" t="s">
        <v>573</v>
      </c>
      <c r="D2059" s="2" t="str">
        <f t="shared" si="31"/>
        <v>Error?</v>
      </c>
    </row>
    <row r="2060" spans="1:4" x14ac:dyDescent="0.2">
      <c r="A2060" s="5">
        <v>1999</v>
      </c>
      <c r="B2060" s="138">
        <f>'Cap Outlay Deprec 26'!L13</f>
        <v>42050</v>
      </c>
      <c r="C2060" s="2" t="s">
        <v>573</v>
      </c>
      <c r="D2060" s="2" t="str">
        <f t="shared" si="31"/>
        <v>Error?</v>
      </c>
    </row>
    <row r="2061" spans="1:4" x14ac:dyDescent="0.2">
      <c r="A2061" s="5">
        <v>2000</v>
      </c>
      <c r="B2061" s="138">
        <f>'Cap Outlay Deprec 26'!L16</f>
        <v>29400918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335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45999</v>
      </c>
      <c r="C2088" s="2" t="s">
        <v>573</v>
      </c>
      <c r="D2088" s="2" t="str">
        <f t="shared" si="31"/>
        <v>Error?</v>
      </c>
    </row>
    <row r="2089" spans="1:4" x14ac:dyDescent="0.2">
      <c r="A2089" s="5">
        <v>2028</v>
      </c>
      <c r="B2089" s="138">
        <f>'Expenditures 15-22'!K92</f>
        <v>184451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1151</v>
      </c>
      <c r="D2435" s="2" t="str">
        <f t="shared" si="37"/>
        <v>Error?</v>
      </c>
    </row>
    <row r="2436" spans="1:4" x14ac:dyDescent="0.2">
      <c r="A2436" s="10">
        <v>2375</v>
      </c>
      <c r="D2436" s="2" t="str">
        <f t="shared" si="37"/>
        <v>OK</v>
      </c>
    </row>
    <row r="2437" spans="1:4" x14ac:dyDescent="0.2">
      <c r="A2437" s="5">
        <v>2376</v>
      </c>
      <c r="B2437" s="138">
        <f>'Assets-Liab 5-6'!D38</f>
        <v>7472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129222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3630250</v>
      </c>
      <c r="C2551" s="2" t="s">
        <v>573</v>
      </c>
      <c r="D2551" s="2" t="str">
        <f t="shared" si="38"/>
        <v>Error?</v>
      </c>
    </row>
    <row r="2552" spans="1:4" x14ac:dyDescent="0.2">
      <c r="A2552" s="10">
        <v>2491</v>
      </c>
      <c r="D2552" s="2" t="str">
        <f t="shared" si="38"/>
        <v>OK</v>
      </c>
    </row>
    <row r="2553" spans="1:4" x14ac:dyDescent="0.2">
      <c r="A2553" s="5">
        <v>2492</v>
      </c>
      <c r="B2553" s="138">
        <f>'Acct Summary 7-8'!C6</f>
        <v>4918394</v>
      </c>
      <c r="C2553" s="2" t="s">
        <v>573</v>
      </c>
      <c r="D2553" s="2" t="str">
        <f t="shared" si="38"/>
        <v>Error?</v>
      </c>
    </row>
    <row r="2554" spans="1:4" x14ac:dyDescent="0.2">
      <c r="A2554" s="5">
        <v>2493</v>
      </c>
      <c r="B2554" s="138">
        <f>'Acct Summary 7-8'!C7</f>
        <v>1168518</v>
      </c>
      <c r="C2554" s="2" t="s">
        <v>573</v>
      </c>
      <c r="D2554" s="2" t="str">
        <f t="shared" si="38"/>
        <v>Error?</v>
      </c>
    </row>
    <row r="2555" spans="1:4" x14ac:dyDescent="0.2">
      <c r="A2555" s="5">
        <v>2494</v>
      </c>
      <c r="B2555" s="138">
        <f>'Acct Summary 7-8'!C8</f>
        <v>9717162</v>
      </c>
      <c r="C2555" s="2" t="s">
        <v>573</v>
      </c>
      <c r="D2555" s="2" t="str">
        <f t="shared" si="38"/>
        <v>Error?</v>
      </c>
    </row>
    <row r="2556" spans="1:4" x14ac:dyDescent="0.2">
      <c r="A2556" s="5">
        <v>2495</v>
      </c>
      <c r="B2556" s="138">
        <f>'Acct Summary 7-8'!C12</f>
        <v>6962094</v>
      </c>
      <c r="C2556" s="2" t="s">
        <v>573</v>
      </c>
      <c r="D2556" s="2" t="str">
        <f t="shared" si="38"/>
        <v>Error?</v>
      </c>
    </row>
    <row r="2557" spans="1:4" x14ac:dyDescent="0.2">
      <c r="A2557" s="5">
        <v>2496</v>
      </c>
      <c r="B2557" s="138">
        <f>'Acct Summary 7-8'!C13</f>
        <v>2054073</v>
      </c>
      <c r="C2557" s="2" t="s">
        <v>573</v>
      </c>
      <c r="D2557" s="2" t="str">
        <f t="shared" si="38"/>
        <v>Error?</v>
      </c>
    </row>
    <row r="2558" spans="1:4" x14ac:dyDescent="0.2">
      <c r="A2558" s="5">
        <v>2497</v>
      </c>
      <c r="B2558" s="138">
        <f>'Acct Summary 7-8'!C14</f>
        <v>1941</v>
      </c>
      <c r="C2558" s="2" t="s">
        <v>573</v>
      </c>
      <c r="D2558" s="2" t="str">
        <f t="shared" si="38"/>
        <v>Error?</v>
      </c>
    </row>
    <row r="2559" spans="1:4" x14ac:dyDescent="0.2">
      <c r="A2559" s="5">
        <v>2498</v>
      </c>
      <c r="B2559" s="138">
        <f>'Acct Summary 7-8'!C15</f>
        <v>230450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9248558</v>
      </c>
      <c r="C2561" s="2" t="s">
        <v>573</v>
      </c>
      <c r="D2561" s="2" t="str">
        <f t="shared" si="39"/>
        <v>Error?</v>
      </c>
    </row>
    <row r="2562" spans="1:4" x14ac:dyDescent="0.2">
      <c r="A2562" s="5">
        <v>2501</v>
      </c>
      <c r="B2562" s="138">
        <f>'Acct Summary 7-8'!C20</f>
        <v>468604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1092816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1092816</v>
      </c>
      <c r="C2568" s="2" t="s">
        <v>573</v>
      </c>
      <c r="D2568" s="2" t="str">
        <f t="shared" si="39"/>
        <v>Error?</v>
      </c>
    </row>
    <row r="2569" spans="1:4" x14ac:dyDescent="0.2">
      <c r="A2569" s="5">
        <v>2508</v>
      </c>
      <c r="B2569" s="138">
        <f>'Acct Summary 7-8'!D13</f>
        <v>957772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957772</v>
      </c>
      <c r="C2573" s="2" t="s">
        <v>573</v>
      </c>
      <c r="D2573" s="2" t="str">
        <f t="shared" si="39"/>
        <v>Error?</v>
      </c>
    </row>
    <row r="2574" spans="1:4" x14ac:dyDescent="0.2">
      <c r="A2574" s="5">
        <v>2513</v>
      </c>
      <c r="B2574" s="138">
        <f>'Acct Summary 7-8'!D20</f>
        <v>135044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229277</v>
      </c>
      <c r="C2591" s="2" t="s">
        <v>573</v>
      </c>
      <c r="D2591" s="2" t="str">
        <f t="shared" si="39"/>
        <v>Error?</v>
      </c>
    </row>
    <row r="2592" spans="1:4" x14ac:dyDescent="0.2">
      <c r="A2592" s="10">
        <v>2531</v>
      </c>
      <c r="D2592" s="2" t="str">
        <f t="shared" si="39"/>
        <v>OK</v>
      </c>
    </row>
    <row r="2593" spans="1:4" x14ac:dyDescent="0.2">
      <c r="A2593" s="5">
        <v>2532</v>
      </c>
      <c r="B2593" s="138">
        <f>'Acct Summary 7-8'!F6</f>
        <v>473021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702298</v>
      </c>
      <c r="C2595" s="2" t="s">
        <v>573</v>
      </c>
      <c r="D2595" s="2" t="str">
        <f t="shared" si="39"/>
        <v>Error?</v>
      </c>
    </row>
    <row r="2596" spans="1:4" x14ac:dyDescent="0.2">
      <c r="A2596" s="5">
        <v>2535</v>
      </c>
      <c r="B2596" s="138">
        <f>'Acct Summary 7-8'!F13</f>
        <v>697938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697938</v>
      </c>
      <c r="C2600" s="2" t="s">
        <v>573</v>
      </c>
      <c r="D2600" s="2" t="str">
        <f t="shared" si="39"/>
        <v>Error?</v>
      </c>
    </row>
    <row r="2601" spans="1:4" x14ac:dyDescent="0.2">
      <c r="A2601" s="5">
        <v>2540</v>
      </c>
      <c r="B2601" s="138">
        <f>'Acct Summary 7-8'!F20</f>
        <v>4360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316076</v>
      </c>
      <c r="C2603" s="2" t="s">
        <v>573</v>
      </c>
      <c r="D2603" s="2" t="str">
        <f t="shared" si="39"/>
        <v>Error?</v>
      </c>
    </row>
    <row r="2604" spans="1:4" x14ac:dyDescent="0.2">
      <c r="A2604" s="5">
        <v>2543</v>
      </c>
      <c r="B2604" s="138">
        <f>'Acct Summary 7-8'!G6</f>
        <v>1905</v>
      </c>
      <c r="C2604" s="2" t="s">
        <v>573</v>
      </c>
      <c r="D2604" s="2" t="str">
        <f t="shared" si="39"/>
        <v>Error?</v>
      </c>
    </row>
    <row r="2605" spans="1:4" x14ac:dyDescent="0.2">
      <c r="A2605" s="5">
        <v>2544</v>
      </c>
      <c r="B2605" s="138">
        <f>'Acct Summary 7-8'!G7</f>
        <v>23339</v>
      </c>
      <c r="C2605" s="2" t="s">
        <v>573</v>
      </c>
      <c r="D2605" s="2" t="str">
        <f t="shared" si="39"/>
        <v>Error?</v>
      </c>
    </row>
    <row r="2606" spans="1:4" x14ac:dyDescent="0.2">
      <c r="A2606" s="5">
        <v>2545</v>
      </c>
      <c r="B2606" s="138">
        <f>'Acct Summary 7-8'!G8</f>
        <v>341320</v>
      </c>
      <c r="C2606" s="2" t="s">
        <v>573</v>
      </c>
      <c r="D2606" s="2" t="str">
        <f t="shared" si="39"/>
        <v>Error?</v>
      </c>
    </row>
    <row r="2607" spans="1:4" x14ac:dyDescent="0.2">
      <c r="A2607" s="5">
        <v>2546</v>
      </c>
      <c r="B2607" s="138">
        <f>'Acct Summary 7-8'!G12</f>
        <v>143658</v>
      </c>
      <c r="C2607" s="2" t="s">
        <v>573</v>
      </c>
      <c r="D2607" s="2" t="str">
        <f t="shared" si="39"/>
        <v>Error?</v>
      </c>
    </row>
    <row r="2608" spans="1:4" x14ac:dyDescent="0.2">
      <c r="A2608" s="5">
        <v>2547</v>
      </c>
      <c r="B2608" s="138">
        <f>'Acct Summary 7-8'!G13</f>
        <v>139025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282683</v>
      </c>
      <c r="C2612" s="2" t="s">
        <v>573</v>
      </c>
      <c r="D2612" s="2" t="str">
        <f t="shared" si="39"/>
        <v>Error?</v>
      </c>
    </row>
    <row r="2613" spans="1:4" x14ac:dyDescent="0.2">
      <c r="A2613" s="5">
        <v>2552</v>
      </c>
      <c r="B2613" s="138">
        <f>'Acct Summary 7-8'!G20</f>
        <v>58637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878094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878094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944811</v>
      </c>
      <c r="C2634" s="2" t="s">
        <v>573</v>
      </c>
      <c r="D2634" s="2" t="str">
        <f t="shared" si="40"/>
        <v>Error?</v>
      </c>
    </row>
    <row r="2635" spans="1:4" x14ac:dyDescent="0.2">
      <c r="A2635" s="5">
        <v>2574</v>
      </c>
      <c r="B2635" s="138">
        <f>'Acct Summary 7-8'!E17</f>
        <v>944811</v>
      </c>
      <c r="C2635" s="2" t="s">
        <v>573</v>
      </c>
      <c r="D2635" s="2" t="str">
        <f t="shared" si="40"/>
        <v>Error?</v>
      </c>
    </row>
    <row r="2636" spans="1:4" x14ac:dyDescent="0.2">
      <c r="A2636" s="5">
        <v>2575</v>
      </c>
      <c r="B2636" s="138">
        <f>'Acct Summary 7-8'!E20</f>
        <v>-66717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111425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111425</v>
      </c>
      <c r="C2658" s="2" t="s">
        <v>573</v>
      </c>
      <c r="D2658" s="2" t="str">
        <f t="shared" si="40"/>
        <v>Error?</v>
      </c>
    </row>
    <row r="2659" spans="1:4" x14ac:dyDescent="0.2">
      <c r="A2659" s="5">
        <v>2598</v>
      </c>
      <c r="B2659" s="138">
        <f>'Acct Summary 7-8'!H13</f>
        <v>351832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351832</v>
      </c>
      <c r="C2661" s="2" t="s">
        <v>573</v>
      </c>
      <c r="D2661" s="2" t="str">
        <f t="shared" si="40"/>
        <v>Error?</v>
      </c>
    </row>
    <row r="2662" spans="1:4" x14ac:dyDescent="0.2">
      <c r="A2662" s="5">
        <v>2601</v>
      </c>
      <c r="B2662" s="138">
        <f>'Acct Summary 7-8'!H20</f>
        <v>-240407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45664</v>
      </c>
      <c r="C2789" s="2" t="s">
        <v>573</v>
      </c>
      <c r="D2789" s="2" t="str">
        <f t="shared" si="42"/>
        <v>Error?</v>
      </c>
    </row>
    <row r="2790" spans="1:4" x14ac:dyDescent="0.2">
      <c r="A2790" s="5">
        <v>2729</v>
      </c>
      <c r="B2790" s="138">
        <f>'Expenditures 15-22'!E102</f>
        <v>45664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1570710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738872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738904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38859</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273676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738904</v>
      </c>
      <c r="D2912" s="2" t="str">
        <f t="shared" si="44"/>
        <v>Error?</v>
      </c>
    </row>
    <row r="2913" spans="1:4" x14ac:dyDescent="0.2">
      <c r="A2913" s="5">
        <v>2852</v>
      </c>
      <c r="B2913" s="138">
        <f>'Assets-Liab 5-6'!I41</f>
        <v>738904</v>
      </c>
      <c r="C2913" s="2" t="s">
        <v>573</v>
      </c>
      <c r="D2913" s="2" t="str">
        <f t="shared" si="44"/>
        <v>Error?</v>
      </c>
    </row>
    <row r="2914" spans="1:4" x14ac:dyDescent="0.2">
      <c r="A2914" s="5">
        <v>2853</v>
      </c>
      <c r="B2914" s="138">
        <f>'Assets-Liab 5-6'!L33</f>
        <v>142725</v>
      </c>
      <c r="D2914" s="2" t="str">
        <f t="shared" si="44"/>
        <v>Error?</v>
      </c>
    </row>
    <row r="2915" spans="1:4" x14ac:dyDescent="0.2">
      <c r="A2915" s="10">
        <v>2854</v>
      </c>
      <c r="D2915" s="2" t="str">
        <f t="shared" si="44"/>
        <v>OK</v>
      </c>
    </row>
    <row r="2916" spans="1:4" x14ac:dyDescent="0.2">
      <c r="A2916" s="5">
        <v>2855</v>
      </c>
      <c r="B2916" s="138">
        <f>'Assets-Liab 5-6'!L34</f>
        <v>142725</v>
      </c>
      <c r="C2916" s="2" t="s">
        <v>573</v>
      </c>
      <c r="D2916" s="2" t="str">
        <f t="shared" si="44"/>
        <v>Error?</v>
      </c>
    </row>
    <row r="2917" spans="1:4" x14ac:dyDescent="0.2">
      <c r="A2917" s="5">
        <v>2856</v>
      </c>
      <c r="B2917" s="138">
        <f>'Assets-Liab 5-6'!L41</f>
        <v>273676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45664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335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45664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335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130951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769336</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104305</v>
      </c>
      <c r="C3225" s="2" t="s">
        <v>573</v>
      </c>
      <c r="D3225" s="2" t="str">
        <f t="shared" si="49"/>
        <v>Error?</v>
      </c>
    </row>
    <row r="3226" spans="1:4" x14ac:dyDescent="0.2">
      <c r="A3226" s="5">
        <v>3165</v>
      </c>
      <c r="B3226" s="138">
        <f>'Acct Summary 7-8'!I8</f>
        <v>104305</v>
      </c>
      <c r="C3226" s="2" t="s">
        <v>573</v>
      </c>
      <c r="D3226" s="2" t="str">
        <f t="shared" si="49"/>
        <v>Error?</v>
      </c>
    </row>
    <row r="3227" spans="1:4" x14ac:dyDescent="0.2">
      <c r="A3227" s="5">
        <v>3166</v>
      </c>
      <c r="B3227" s="138">
        <f>'Acct Summary 7-8'!I20</f>
        <v>104305</v>
      </c>
      <c r="C3227" s="2" t="s">
        <v>573</v>
      </c>
      <c r="D3227" s="2" t="str">
        <f t="shared" si="49"/>
        <v>Error?</v>
      </c>
    </row>
    <row r="3228" spans="1:4" x14ac:dyDescent="0.2">
      <c r="A3228" s="5">
        <v>3167</v>
      </c>
      <c r="B3228" s="138">
        <f>'Acct Summary 7-8'!C43</f>
        <v>44320</v>
      </c>
      <c r="D3228" s="2" t="str">
        <f t="shared" si="49"/>
        <v>Error?</v>
      </c>
    </row>
    <row r="3229" spans="1:4" x14ac:dyDescent="0.2">
      <c r="A3229" s="5">
        <v>3168</v>
      </c>
      <c r="B3229" s="138">
        <f>'Acct Summary 7-8'!C44</f>
        <v>50989</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52364</v>
      </c>
      <c r="C3231" s="2" t="s">
        <v>573</v>
      </c>
      <c r="D3231" s="2" t="str">
        <f t="shared" si="49"/>
        <v>Error?</v>
      </c>
    </row>
    <row r="3232" spans="1:4" x14ac:dyDescent="0.2">
      <c r="A3232" s="5">
        <v>3171</v>
      </c>
      <c r="B3232" s="138">
        <f>'Acct Summary 7-8'!C77</f>
        <v>-1375</v>
      </c>
      <c r="C3232" s="2" t="s">
        <v>573</v>
      </c>
      <c r="D3232" s="2" t="str">
        <f t="shared" si="49"/>
        <v>Error?</v>
      </c>
    </row>
    <row r="3233" spans="1:4" x14ac:dyDescent="0.2">
      <c r="A3233" s="5">
        <v>3172</v>
      </c>
      <c r="B3233" s="138">
        <f>'Acct Summary 7-8'!C78</f>
        <v>467229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25097</v>
      </c>
      <c r="C3237" s="2" t="s">
        <v>573</v>
      </c>
      <c r="D3237" s="2" t="str">
        <f t="shared" si="49"/>
        <v>Error?</v>
      </c>
    </row>
    <row r="3238" spans="1:4" x14ac:dyDescent="0.2">
      <c r="A3238" s="5">
        <v>3177</v>
      </c>
      <c r="B3238" s="138">
        <f>'Acct Summary 7-8'!D77</f>
        <v>-25097</v>
      </c>
      <c r="C3238" s="2" t="s">
        <v>573</v>
      </c>
      <c r="D3238" s="2" t="str">
        <f t="shared" si="49"/>
        <v>Error?</v>
      </c>
    </row>
    <row r="3239" spans="1:4" x14ac:dyDescent="0.2">
      <c r="A3239" s="5">
        <v>3178</v>
      </c>
      <c r="B3239" s="138">
        <f>'Acct Summary 7-8'!D78</f>
        <v>109947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4360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58637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849207</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849207</v>
      </c>
      <c r="C3277" s="2" t="s">
        <v>573</v>
      </c>
      <c r="D3277" s="2" t="str">
        <f t="shared" si="50"/>
        <v>Error?</v>
      </c>
    </row>
    <row r="3278" spans="1:4" x14ac:dyDescent="0.2">
      <c r="A3278" s="5">
        <v>3217</v>
      </c>
      <c r="B3278" s="138">
        <f>'Acct Summary 7-8'!E78</f>
        <v>782490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-240407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104305</v>
      </c>
      <c r="C3320" s="2" t="s">
        <v>573</v>
      </c>
      <c r="D3320" s="2" t="str">
        <f t="shared" si="50"/>
        <v>Error?</v>
      </c>
    </row>
    <row r="3321" spans="1:4" x14ac:dyDescent="0.2">
      <c r="A3321" s="5">
        <v>3260</v>
      </c>
      <c r="B3321" s="138">
        <f>'Acct Summary 7-8'!I79</f>
        <v>634599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738904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1077217</v>
      </c>
      <c r="D3366" s="2" t="str">
        <f t="shared" si="51"/>
        <v>Error?</v>
      </c>
    </row>
    <row r="3367" spans="1:4" x14ac:dyDescent="0.2">
      <c r="A3367" s="5">
        <v>3306</v>
      </c>
      <c r="B3367" s="138">
        <f>'Expenditures 15-22'!C19</f>
        <v>70676</v>
      </c>
      <c r="D3367" s="2" t="str">
        <f t="shared" si="51"/>
        <v>Error?</v>
      </c>
    </row>
    <row r="3368" spans="1:4" x14ac:dyDescent="0.2">
      <c r="A3368" s="5">
        <v>3307</v>
      </c>
      <c r="B3368" s="138">
        <f>'Expenditures 15-22'!D8</f>
        <v>146042</v>
      </c>
      <c r="D3368" s="2" t="str">
        <f t="shared" si="51"/>
        <v>Error?</v>
      </c>
    </row>
    <row r="3369" spans="1:4" x14ac:dyDescent="0.2">
      <c r="A3369" s="5">
        <v>3308</v>
      </c>
      <c r="B3369" s="138">
        <f>'Expenditures 15-22'!D19</f>
        <v>18119</v>
      </c>
      <c r="D3369" s="2" t="str">
        <f t="shared" si="51"/>
        <v>Error?</v>
      </c>
    </row>
    <row r="3370" spans="1:4" x14ac:dyDescent="0.2">
      <c r="A3370" s="5">
        <v>3309</v>
      </c>
      <c r="B3370" s="138">
        <f>'Expenditures 15-22'!E8</f>
        <v>5519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9346</v>
      </c>
      <c r="D3372" s="2" t="str">
        <f t="shared" si="51"/>
        <v>Error?</v>
      </c>
    </row>
    <row r="3373" spans="1:4" x14ac:dyDescent="0.2">
      <c r="A3373" s="5">
        <v>3312</v>
      </c>
      <c r="B3373" s="138">
        <f>'Expenditures 15-22'!F19</f>
        <v>505</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1238124</v>
      </c>
      <c r="C3380" s="2" t="s">
        <v>573</v>
      </c>
      <c r="D3380" s="2" t="str">
        <f t="shared" si="51"/>
        <v>Error?</v>
      </c>
    </row>
    <row r="3381" spans="1:4" x14ac:dyDescent="0.2">
      <c r="A3381" s="5">
        <v>3320</v>
      </c>
      <c r="B3381" s="138">
        <f>'Expenditures 15-22'!K19</f>
        <v>89300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49700</v>
      </c>
      <c r="D3387" s="2" t="str">
        <f t="shared" si="51"/>
        <v>Error?</v>
      </c>
    </row>
    <row r="3388" spans="1:4" x14ac:dyDescent="0.2">
      <c r="A3388" s="5">
        <v>3327</v>
      </c>
      <c r="B3388" s="138">
        <f>'Expenditures 15-22'!D217</f>
        <v>61836</v>
      </c>
      <c r="D3388" s="2" t="str">
        <f t="shared" si="51"/>
        <v>Error?</v>
      </c>
    </row>
    <row r="3389" spans="1:4" x14ac:dyDescent="0.2">
      <c r="A3389" s="5">
        <v>3328</v>
      </c>
      <c r="B3389" s="138">
        <f>'Expenditures 15-22'!D228</f>
        <v>6580</v>
      </c>
      <c r="D3389" s="2" t="str">
        <f t="shared" si="51"/>
        <v>Error?</v>
      </c>
    </row>
    <row r="3390" spans="1:4" x14ac:dyDescent="0.2">
      <c r="A3390" s="5">
        <v>3329</v>
      </c>
      <c r="B3390" s="138">
        <f>'Expenditures 15-22'!K215</f>
        <v>49700</v>
      </c>
      <c r="C3390" s="2" t="s">
        <v>573</v>
      </c>
      <c r="D3390" s="2" t="str">
        <f t="shared" si="51"/>
        <v>Error?</v>
      </c>
    </row>
    <row r="3391" spans="1:4" x14ac:dyDescent="0.2">
      <c r="A3391" s="5">
        <v>3330</v>
      </c>
      <c r="B3391" s="138">
        <f>'Expenditures 15-22'!K217</f>
        <v>61836</v>
      </c>
      <c r="C3391" s="2" t="s">
        <v>573</v>
      </c>
      <c r="D3391" s="2" t="str">
        <f t="shared" ref="D3391:D3454" si="52">IF(ISBLANK(B3391),"OK",IF(A3391-B3391=0,"OK","Error?"))</f>
        <v>Error?</v>
      </c>
    </row>
    <row r="3392" spans="1:4" x14ac:dyDescent="0.2">
      <c r="A3392" s="5">
        <v>3331</v>
      </c>
      <c r="B3392" s="138">
        <f>'Expenditures 15-22'!K228</f>
        <v>6580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949743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160765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444</v>
      </c>
      <c r="D3417" s="2" t="str">
        <f t="shared" si="52"/>
        <v>Error?</v>
      </c>
    </row>
    <row r="3418" spans="1:4" x14ac:dyDescent="0.2">
      <c r="A3418" s="10">
        <v>3357</v>
      </c>
      <c r="D3418" s="2" t="str">
        <f t="shared" si="52"/>
        <v>OK</v>
      </c>
    </row>
    <row r="3419" spans="1:4" x14ac:dyDescent="0.2">
      <c r="A3419" s="5">
        <v>3358</v>
      </c>
      <c r="B3419" s="138">
        <f>'Assets-Liab 5-6'!F4</f>
        <v>1309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23749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52490</v>
      </c>
      <c r="D3425" s="2" t="str">
        <f t="shared" si="52"/>
        <v>Error?</v>
      </c>
    </row>
    <row r="3426" spans="1:4" x14ac:dyDescent="0.2">
      <c r="A3426" s="10">
        <v>3365</v>
      </c>
      <c r="D3426" s="2" t="str">
        <f t="shared" si="52"/>
        <v>OK</v>
      </c>
    </row>
    <row r="3427" spans="1:4" x14ac:dyDescent="0.2">
      <c r="A3427" s="5">
        <v>3366</v>
      </c>
      <c r="B3427" s="138">
        <f>'Assets-Liab 5-6'!I4</f>
        <v>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234817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173866</v>
      </c>
      <c r="C3446" s="2" t="s">
        <v>573</v>
      </c>
      <c r="D3446" s="2" t="str">
        <f t="shared" si="52"/>
        <v>Error?</v>
      </c>
    </row>
    <row r="3447" spans="1:4" x14ac:dyDescent="0.2">
      <c r="A3447" s="5">
        <v>3386</v>
      </c>
      <c r="B3447" s="138">
        <f>'Tax Sched 23'!D16</f>
        <v>173866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170010</v>
      </c>
      <c r="C3449" s="2" t="s">
        <v>573</v>
      </c>
      <c r="D3449" s="2" t="str">
        <f t="shared" si="52"/>
        <v>Error?</v>
      </c>
    </row>
    <row r="3450" spans="1:4" x14ac:dyDescent="0.2">
      <c r="A3450" s="5">
        <v>3389</v>
      </c>
      <c r="B3450" s="138">
        <f>'Tax Sched 23'!E16</f>
        <v>170010</v>
      </c>
      <c r="D3450" s="2" t="str">
        <f t="shared" si="52"/>
        <v>Error?</v>
      </c>
    </row>
    <row r="3451" spans="1:4" x14ac:dyDescent="0.2">
      <c r="A3451" s="5">
        <v>3390</v>
      </c>
      <c r="B3451" s="138">
        <f>'Cap Outlay Deprec 26'!C15</f>
        <v>23327</v>
      </c>
      <c r="D3451" s="2" t="str">
        <f t="shared" si="52"/>
        <v>Error?</v>
      </c>
    </row>
    <row r="3452" spans="1:4" x14ac:dyDescent="0.2">
      <c r="A3452" s="5">
        <v>3391</v>
      </c>
      <c r="B3452" s="138">
        <f>'Cap Outlay Deprec 26'!D15</f>
        <v>1570710</v>
      </c>
      <c r="D3452" s="2" t="str">
        <f t="shared" si="52"/>
        <v>Error?</v>
      </c>
    </row>
    <row r="3453" spans="1:4" x14ac:dyDescent="0.2">
      <c r="A3453" s="5">
        <v>3392</v>
      </c>
      <c r="B3453" s="138">
        <f>'Cap Outlay Deprec 26'!E15</f>
        <v>23327</v>
      </c>
      <c r="D3453" s="2" t="str">
        <f t="shared" si="52"/>
        <v>Error?</v>
      </c>
    </row>
    <row r="3454" spans="1:4" x14ac:dyDescent="0.2">
      <c r="A3454" s="5">
        <v>3393</v>
      </c>
      <c r="B3454" s="138">
        <f>'Cap Outlay Deprec 26'!F15</f>
        <v>1570710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1570710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6669</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339375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4131814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4471189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4471189</v>
      </c>
      <c r="D3567" s="2" t="str">
        <f t="shared" si="54"/>
        <v>Error?</v>
      </c>
    </row>
    <row r="3568" spans="1:4" x14ac:dyDescent="0.2">
      <c r="A3568" s="5">
        <v>3507</v>
      </c>
      <c r="B3568" s="138">
        <f>'Assets-Liab 5-6'!K41</f>
        <v>4471189</v>
      </c>
      <c r="C3568" s="2" t="s">
        <v>573</v>
      </c>
      <c r="D3568" s="2" t="str">
        <f t="shared" si="54"/>
        <v>Error?</v>
      </c>
    </row>
    <row r="3569" spans="1:4" x14ac:dyDescent="0.2">
      <c r="A3569" s="5">
        <v>3508</v>
      </c>
      <c r="B3569" s="138">
        <f>'Acct Summary 7-8'!K4</f>
        <v>147487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147487</v>
      </c>
      <c r="C3571" s="2" t="s">
        <v>573</v>
      </c>
      <c r="D3571" s="2" t="str">
        <f t="shared" si="54"/>
        <v>Error?</v>
      </c>
    </row>
    <row r="3572" spans="1:4" x14ac:dyDescent="0.2">
      <c r="A3572" s="5">
        <v>3511</v>
      </c>
      <c r="B3572" s="138">
        <f>'Acct Summary 7-8'!K13</f>
        <v>1612730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1612730</v>
      </c>
      <c r="C3575" s="2" t="s">
        <v>573</v>
      </c>
      <c r="D3575" s="2" t="str">
        <f t="shared" si="54"/>
        <v>Error?</v>
      </c>
    </row>
    <row r="3576" spans="1:4" x14ac:dyDescent="0.2">
      <c r="A3576" s="5">
        <v>3515</v>
      </c>
      <c r="B3576" s="138">
        <f>'Acct Summary 7-8'!K20</f>
        <v>-1465243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5875664</v>
      </c>
      <c r="D3579" s="2" t="str">
        <f t="shared" si="54"/>
        <v>Error?</v>
      </c>
    </row>
    <row r="3580" spans="1:4" x14ac:dyDescent="0.2">
      <c r="A3580" s="5">
        <v>3519</v>
      </c>
      <c r="B3580" s="138">
        <f>'Acct Summary 7-8'!K34</f>
        <v>56518</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5932182</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5932182</v>
      </c>
      <c r="C3587" s="2" t="s">
        <v>573</v>
      </c>
      <c r="D3587" s="2" t="str">
        <f t="shared" si="55"/>
        <v>Error?</v>
      </c>
    </row>
    <row r="3588" spans="1:4" x14ac:dyDescent="0.2">
      <c r="A3588" s="5">
        <v>3527</v>
      </c>
      <c r="B3588" s="138">
        <f>'Acct Summary 7-8'!K78</f>
        <v>4466939</v>
      </c>
      <c r="C3588" s="2" t="s">
        <v>573</v>
      </c>
      <c r="D3588" s="2" t="str">
        <f t="shared" si="55"/>
        <v>Error?</v>
      </c>
    </row>
    <row r="3589" spans="1:4" x14ac:dyDescent="0.2">
      <c r="A3589" s="5">
        <v>3528</v>
      </c>
      <c r="B3589" s="138">
        <f>'Acct Summary 7-8'!K79</f>
        <v>4250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4471189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71999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71999</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71999</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1540731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1540731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1540731</v>
      </c>
      <c r="C3649" s="2" t="s">
        <v>573</v>
      </c>
      <c r="D3649" s="2" t="str">
        <f t="shared" si="56"/>
        <v>Error?</v>
      </c>
    </row>
    <row r="3650" spans="1:4" x14ac:dyDescent="0.2">
      <c r="A3650" s="5">
        <v>3589</v>
      </c>
      <c r="B3650" s="138">
        <f>'Expenditures 15-22'!G367</f>
        <v>1540731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1612730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1612730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1612730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1612730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-1465243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95228</v>
      </c>
      <c r="C3725" s="2" t="s">
        <v>573</v>
      </c>
      <c r="D3725" s="2" t="str">
        <f t="shared" si="57"/>
        <v>Error?</v>
      </c>
    </row>
    <row r="3726" spans="1:4" x14ac:dyDescent="0.2">
      <c r="A3726" s="5">
        <v>3665</v>
      </c>
      <c r="B3726" s="138">
        <f>'Tax Sched 23'!D13</f>
        <v>95228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97293</v>
      </c>
      <c r="C3728" s="2" t="s">
        <v>573</v>
      </c>
      <c r="D3728" s="2" t="str">
        <f t="shared" si="57"/>
        <v>Error?</v>
      </c>
    </row>
    <row r="3729" spans="1:4" x14ac:dyDescent="0.2">
      <c r="A3729" s="5">
        <v>3668</v>
      </c>
      <c r="B3729" s="138">
        <f>'Tax Sched 23'!E13</f>
        <v>97293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79</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79</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3921512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13638674</v>
      </c>
      <c r="C4122" s="2" t="s">
        <v>573</v>
      </c>
      <c r="D4122" s="2" t="str">
        <f t="shared" si="63"/>
        <v>Error?</v>
      </c>
    </row>
    <row r="4123" spans="1:4" x14ac:dyDescent="0.2">
      <c r="A4123" s="5">
        <v>4062</v>
      </c>
      <c r="B4123" s="138">
        <f>'Acct Summary 7-8'!D10</f>
        <v>1092816</v>
      </c>
      <c r="C4123" s="2" t="s">
        <v>573</v>
      </c>
      <c r="D4123" s="2" t="str">
        <f t="shared" si="63"/>
        <v>Error?</v>
      </c>
    </row>
    <row r="4124" spans="1:4" x14ac:dyDescent="0.2">
      <c r="A4124" s="5">
        <v>4063</v>
      </c>
      <c r="B4124" s="138">
        <f>'Acct Summary 7-8'!E10</f>
        <v>878094</v>
      </c>
      <c r="C4124" s="2" t="s">
        <v>573</v>
      </c>
      <c r="D4124" s="2" t="str">
        <f t="shared" si="63"/>
        <v>Error?</v>
      </c>
    </row>
    <row r="4125" spans="1:4" x14ac:dyDescent="0.2">
      <c r="A4125" s="5">
        <v>4064</v>
      </c>
      <c r="B4125" s="138">
        <f>'Acct Summary 7-8'!F10</f>
        <v>702298</v>
      </c>
      <c r="C4125" s="2" t="s">
        <v>573</v>
      </c>
      <c r="D4125" s="2" t="str">
        <f t="shared" si="63"/>
        <v>Error?</v>
      </c>
    </row>
    <row r="4126" spans="1:4" x14ac:dyDescent="0.2">
      <c r="A4126" s="5">
        <v>4065</v>
      </c>
      <c r="B4126" s="138">
        <f>'Acct Summary 7-8'!G10</f>
        <v>341320</v>
      </c>
      <c r="C4126" s="2" t="s">
        <v>573</v>
      </c>
      <c r="D4126" s="2" t="str">
        <f t="shared" si="63"/>
        <v>Error?</v>
      </c>
    </row>
    <row r="4127" spans="1:4" x14ac:dyDescent="0.2">
      <c r="A4127" s="5">
        <v>4066</v>
      </c>
      <c r="B4127" s="138">
        <f>'Acct Summary 7-8'!H10</f>
        <v>111425</v>
      </c>
      <c r="C4127" s="2" t="s">
        <v>573</v>
      </c>
      <c r="D4127" s="2" t="str">
        <f t="shared" si="63"/>
        <v>Error?</v>
      </c>
    </row>
    <row r="4128" spans="1:4" x14ac:dyDescent="0.2">
      <c r="A4128" s="5">
        <v>4067</v>
      </c>
      <c r="B4128" s="138">
        <f>'Acct Summary 7-8'!I10</f>
        <v>104305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147487</v>
      </c>
      <c r="C4130" s="2" t="s">
        <v>573</v>
      </c>
      <c r="D4130" s="2" t="str">
        <f t="shared" si="63"/>
        <v>Error?</v>
      </c>
    </row>
    <row r="4131" spans="1:4" x14ac:dyDescent="0.2">
      <c r="A4131" s="5">
        <v>4070</v>
      </c>
      <c r="B4131" s="138">
        <f>'Acct Summary 7-8'!C18</f>
        <v>3921512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13170070</v>
      </c>
      <c r="C4136" s="2" t="s">
        <v>573</v>
      </c>
      <c r="D4136" s="2" t="str">
        <f t="shared" si="63"/>
        <v>Error?</v>
      </c>
    </row>
    <row r="4137" spans="1:4" x14ac:dyDescent="0.2">
      <c r="A4137" s="5">
        <v>4076</v>
      </c>
      <c r="B4137" s="138">
        <f>'Acct Summary 7-8'!D19</f>
        <v>957772</v>
      </c>
      <c r="C4137" s="2" t="s">
        <v>573</v>
      </c>
      <c r="D4137" s="2" t="str">
        <f t="shared" si="63"/>
        <v>Error?</v>
      </c>
    </row>
    <row r="4138" spans="1:4" x14ac:dyDescent="0.2">
      <c r="A4138" s="5">
        <v>4077</v>
      </c>
      <c r="B4138" s="138">
        <f>'Acct Summary 7-8'!E19</f>
        <v>944811</v>
      </c>
      <c r="C4138" s="2" t="s">
        <v>573</v>
      </c>
      <c r="D4138" s="2" t="str">
        <f t="shared" si="63"/>
        <v>Error?</v>
      </c>
    </row>
    <row r="4139" spans="1:4" x14ac:dyDescent="0.2">
      <c r="A4139" s="5">
        <v>4078</v>
      </c>
      <c r="B4139" s="138">
        <f>'Acct Summary 7-8'!F19</f>
        <v>697938</v>
      </c>
      <c r="C4139" s="2" t="s">
        <v>573</v>
      </c>
      <c r="D4139" s="2" t="str">
        <f t="shared" si="63"/>
        <v>Error?</v>
      </c>
    </row>
    <row r="4140" spans="1:4" x14ac:dyDescent="0.2">
      <c r="A4140" s="5">
        <v>4079</v>
      </c>
      <c r="B4140" s="138">
        <f>'Acct Summary 7-8'!G19</f>
        <v>282683</v>
      </c>
      <c r="C4140" s="2" t="s">
        <v>573</v>
      </c>
      <c r="D4140" s="2" t="str">
        <f t="shared" si="63"/>
        <v>Error?</v>
      </c>
    </row>
    <row r="4141" spans="1:4" x14ac:dyDescent="0.2">
      <c r="A4141" s="5">
        <v>4080</v>
      </c>
      <c r="B4141" s="138">
        <f>'Acct Summary 7-8'!H19</f>
        <v>351832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1612730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10277016</v>
      </c>
      <c r="C4171" s="2" t="s">
        <v>573</v>
      </c>
      <c r="D4171" s="2" t="str">
        <f t="shared" si="64"/>
        <v>Error?</v>
      </c>
    </row>
    <row r="4172" spans="1:4" x14ac:dyDescent="0.2">
      <c r="A4172" s="5">
        <v>4111</v>
      </c>
      <c r="B4172" s="138">
        <f>'Short-Term Long-Term Debt 24'!J49</f>
        <v>9235981</v>
      </c>
      <c r="C4172" s="2" t="s">
        <v>573</v>
      </c>
      <c r="D4172" s="2" t="str">
        <f t="shared" si="64"/>
        <v>Error?</v>
      </c>
    </row>
    <row r="4173" spans="1:4" x14ac:dyDescent="0.2">
      <c r="A4173" s="5">
        <v>4112</v>
      </c>
      <c r="B4173" s="138">
        <f>'Short-Term Long-Term Debt 24'!H49</f>
        <v>841939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44320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1620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1990</v>
      </c>
      <c r="C4268" s="2" t="s">
        <v>573</v>
      </c>
      <c r="D4268" s="2" t="str">
        <f t="shared" si="65"/>
        <v>Error?</v>
      </c>
    </row>
    <row r="4269" spans="1:5" x14ac:dyDescent="0.2">
      <c r="A4269" s="12">
        <v>4208</v>
      </c>
      <c r="B4269" s="138">
        <f>'FP Info 3'!J16</f>
        <v>4557034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18873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52391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12578</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12578</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33652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43188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456</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5553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2502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32</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241550466</v>
      </c>
      <c r="D4995" s="2" t="str">
        <f t="shared" si="77"/>
        <v>Error?</v>
      </c>
    </row>
    <row r="4996" spans="1:4" x14ac:dyDescent="0.2">
      <c r="A4996" s="12">
        <v>4935</v>
      </c>
      <c r="B4996" s="138">
        <f>'FP Info 3'!H31</f>
        <v>16666982.154000001</v>
      </c>
      <c r="D4996" s="2" t="str">
        <f t="shared" si="77"/>
        <v>Error?</v>
      </c>
    </row>
    <row r="4997" spans="1:4" x14ac:dyDescent="0.2">
      <c r="A4997" s="12">
        <v>4936</v>
      </c>
      <c r="B4997" s="138">
        <f>'FP Info 3'!H37</f>
        <v>10277016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29978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3085369</v>
      </c>
      <c r="D5061" s="2" t="str">
        <f t="shared" si="78"/>
        <v>Error?</v>
      </c>
    </row>
    <row r="5062" spans="1:4" x14ac:dyDescent="0.2">
      <c r="A5062" s="10">
        <v>5001</v>
      </c>
      <c r="D5062" s="2" t="str">
        <f t="shared" si="78"/>
        <v>OK</v>
      </c>
    </row>
    <row r="5063" spans="1:4" x14ac:dyDescent="0.2">
      <c r="A5063" s="5">
        <v>5002</v>
      </c>
      <c r="B5063" s="138">
        <f>'Revenues 9-14'!C7</f>
        <v>38091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3153438</v>
      </c>
      <c r="C5066" s="2" t="s">
        <v>573</v>
      </c>
      <c r="D5066" s="2" t="str">
        <f t="shared" si="78"/>
        <v>Error?</v>
      </c>
    </row>
    <row r="5067" spans="1:4" x14ac:dyDescent="0.2">
      <c r="A5067" s="5">
        <v>5006</v>
      </c>
      <c r="B5067" s="138">
        <f>'Revenues 9-14'!C14</f>
        <v>648</v>
      </c>
      <c r="D5067" s="2" t="str">
        <f t="shared" si="78"/>
        <v>Error?</v>
      </c>
    </row>
    <row r="5068" spans="1:4" x14ac:dyDescent="0.2">
      <c r="A5068" s="5">
        <v>5007</v>
      </c>
      <c r="B5068" s="138">
        <f>'Revenues 9-14'!C15</f>
        <v>1734</v>
      </c>
      <c r="D5068" s="2" t="str">
        <f t="shared" si="78"/>
        <v>Error?</v>
      </c>
    </row>
    <row r="5069" spans="1:4" x14ac:dyDescent="0.2">
      <c r="A5069" s="5">
        <v>5008</v>
      </c>
      <c r="B5069" s="138">
        <f>'Revenues 9-14'!C16</f>
        <v>0</v>
      </c>
      <c r="D5069" s="2" t="str">
        <f t="shared" si="78"/>
        <v>Error?</v>
      </c>
    </row>
    <row r="5070" spans="1:4" x14ac:dyDescent="0.2">
      <c r="A5070" s="5">
        <v>5009</v>
      </c>
      <c r="B5070" s="138">
        <f>'Revenues 9-14'!C17</f>
        <v>81310</v>
      </c>
      <c r="D5070" s="2" t="str">
        <f t="shared" si="78"/>
        <v>Error?</v>
      </c>
    </row>
    <row r="5071" spans="1:4" x14ac:dyDescent="0.2">
      <c r="A5071" s="5">
        <v>5010</v>
      </c>
      <c r="B5071" s="138">
        <f>'Revenues 9-14'!C18</f>
        <v>83692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29612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29612</v>
      </c>
      <c r="C5087" s="2" t="s">
        <v>573</v>
      </c>
      <c r="D5087" s="2" t="str">
        <f t="shared" si="78"/>
        <v>Error?</v>
      </c>
    </row>
    <row r="5088" spans="1:4" x14ac:dyDescent="0.2">
      <c r="A5088" s="5">
        <v>5027</v>
      </c>
      <c r="B5088" s="138">
        <f>'Revenues 9-14'!C65</f>
        <v>46526</v>
      </c>
      <c r="D5088" s="2" t="str">
        <f t="shared" si="78"/>
        <v>Error?</v>
      </c>
    </row>
    <row r="5089" spans="1:4" x14ac:dyDescent="0.2">
      <c r="A5089" s="5">
        <v>5028</v>
      </c>
      <c r="B5089" s="138">
        <f>'Revenues 9-14'!C66</f>
        <v>1390</v>
      </c>
      <c r="D5089" s="2" t="str">
        <f t="shared" si="78"/>
        <v>Error?</v>
      </c>
    </row>
    <row r="5090" spans="1:4" x14ac:dyDescent="0.2">
      <c r="A5090" s="5">
        <v>5029</v>
      </c>
      <c r="B5090" s="138">
        <f>'Revenues 9-14'!C67</f>
        <v>47916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46776</v>
      </c>
      <c r="C5096" s="2" t="s">
        <v>573</v>
      </c>
      <c r="D5096" s="2" t="str">
        <f t="shared" si="78"/>
        <v>Error?</v>
      </c>
    </row>
    <row r="5097" spans="1:4" x14ac:dyDescent="0.2">
      <c r="A5097" s="5">
        <v>5036</v>
      </c>
      <c r="B5097" s="138">
        <f>'Revenues 9-14'!C77</f>
        <v>31357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75886</v>
      </c>
      <c r="D5099" s="2" t="str">
        <f t="shared" si="78"/>
        <v>Error?</v>
      </c>
    </row>
    <row r="5100" spans="1:4" x14ac:dyDescent="0.2">
      <c r="A5100" s="5">
        <v>5039</v>
      </c>
      <c r="B5100" s="138">
        <f>'Revenues 9-14'!C80</f>
        <v>10244</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117487</v>
      </c>
      <c r="C5102" s="2" t="s">
        <v>573</v>
      </c>
      <c r="D5102" s="2" t="str">
        <f t="shared" si="78"/>
        <v>Error?</v>
      </c>
    </row>
    <row r="5103" spans="1:4" x14ac:dyDescent="0.2">
      <c r="A5103" s="5">
        <v>5042</v>
      </c>
      <c r="B5103" s="138">
        <f>'Revenues 9-14'!C84</f>
        <v>545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545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61287</v>
      </c>
      <c r="D5114" s="2" t="str">
        <f t="shared" si="78"/>
        <v>Error?</v>
      </c>
    </row>
    <row r="5115" spans="1:4" x14ac:dyDescent="0.2">
      <c r="A5115" s="5">
        <v>5054</v>
      </c>
      <c r="B5115" s="138">
        <f>'Revenues 9-14'!C98</f>
        <v>49385</v>
      </c>
      <c r="D5115" s="2" t="str">
        <f t="shared" si="78"/>
        <v>Error?</v>
      </c>
    </row>
    <row r="5116" spans="1:4" x14ac:dyDescent="0.2">
      <c r="A5116" s="5">
        <v>5055</v>
      </c>
      <c r="B5116" s="138">
        <f>'Revenues 9-14'!C99</f>
        <v>5390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500</v>
      </c>
      <c r="D5118" s="2" t="str">
        <f t="shared" si="78"/>
        <v>Error?</v>
      </c>
    </row>
    <row r="5119" spans="1:4" x14ac:dyDescent="0.2">
      <c r="A5119" s="5">
        <v>5058</v>
      </c>
      <c r="B5119" s="138">
        <f>'Revenues 9-14'!C107</f>
        <v>8918</v>
      </c>
      <c r="D5119" s="2" t="str">
        <f t="shared" ref="D5119:D5182" si="79">IF(ISBLANK(B5119),"OK",IF(A5119-B5119=0,"OK","Error?"))</f>
        <v>Error?</v>
      </c>
    </row>
    <row r="5120" spans="1:4" x14ac:dyDescent="0.2">
      <c r="A5120" s="5">
        <v>5059</v>
      </c>
      <c r="B5120" s="138">
        <f>'Revenues 9-14'!C108</f>
        <v>150784</v>
      </c>
      <c r="C5120" s="2" t="s">
        <v>573</v>
      </c>
      <c r="D5120" s="2" t="str">
        <f t="shared" si="79"/>
        <v>Error?</v>
      </c>
    </row>
    <row r="5121" spans="1:4" x14ac:dyDescent="0.2">
      <c r="A5121" s="5">
        <v>5060</v>
      </c>
      <c r="B5121" s="138">
        <f>'Revenues 9-14'!C109</f>
        <v>3630250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4568260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4568260</v>
      </c>
      <c r="C5132" s="2" t="s">
        <v>573</v>
      </c>
      <c r="D5132" s="2" t="str">
        <f t="shared" si="79"/>
        <v>Error?</v>
      </c>
    </row>
    <row r="5133" spans="1:4" x14ac:dyDescent="0.2">
      <c r="A5133" s="5">
        <v>5072</v>
      </c>
      <c r="B5133" s="138">
        <f>'Revenues 9-14'!C125</f>
        <v>185411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185411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75872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85525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8382</v>
      </c>
      <c r="D5167" s="2" t="str">
        <f t="shared" si="79"/>
        <v>Error?</v>
      </c>
    </row>
    <row r="5168" spans="1:4" x14ac:dyDescent="0.2">
      <c r="A5168" s="5">
        <v>5107</v>
      </c>
      <c r="B5168" s="138">
        <f>'Revenues 9-14'!C148</f>
        <v>38784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26479</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350134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4918394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322702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105394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428096</v>
      </c>
      <c r="C5246" s="2" t="s">
        <v>573</v>
      </c>
      <c r="D5246" s="2" t="str">
        <f t="shared" si="80"/>
        <v>Error?</v>
      </c>
    </row>
    <row r="5247" spans="1:4" x14ac:dyDescent="0.2">
      <c r="A5247" s="5">
        <v>5186</v>
      </c>
      <c r="B5247" s="138">
        <f>'Revenues 9-14'!C200</f>
        <v>303887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33652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303887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101426</v>
      </c>
      <c r="D5278" s="2" t="str">
        <f t="shared" si="81"/>
        <v>Error?</v>
      </c>
    </row>
    <row r="5279" spans="1:4" x14ac:dyDescent="0.2">
      <c r="A5279" s="5">
        <v>5218</v>
      </c>
      <c r="B5279" s="138">
        <f>'Revenues 9-14'!C214</f>
        <v>171925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273351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1168518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1168518</v>
      </c>
      <c r="C5326" s="2" t="s">
        <v>573</v>
      </c>
      <c r="D5326" s="2" t="str">
        <f t="shared" si="82"/>
        <v>Error?</v>
      </c>
    </row>
    <row r="5327" spans="1:5" x14ac:dyDescent="0.2">
      <c r="A5327" s="5">
        <v>5266</v>
      </c>
      <c r="B5327" s="138">
        <f>'Revenues 9-14'!C268</f>
        <v>9717162</v>
      </c>
      <c r="C5327" s="2" t="s">
        <v>573</v>
      </c>
      <c r="D5327" s="2" t="str">
        <f t="shared" si="82"/>
        <v>Error?</v>
      </c>
    </row>
    <row r="5328" spans="1:5" x14ac:dyDescent="0.2">
      <c r="A5328" s="5">
        <v>5267</v>
      </c>
      <c r="B5328" s="138">
        <f>'Revenues 9-14'!D5</f>
        <v>476137</v>
      </c>
      <c r="D5328" s="2" t="str">
        <f t="shared" si="82"/>
        <v>Error?</v>
      </c>
    </row>
    <row r="5329" spans="1:4" x14ac:dyDescent="0.2">
      <c r="A5329" s="10">
        <v>5268</v>
      </c>
      <c r="D5329" s="2" t="str">
        <f t="shared" si="82"/>
        <v>OK</v>
      </c>
    </row>
    <row r="5330" spans="1:4" x14ac:dyDescent="0.2">
      <c r="A5330" s="5">
        <v>5269</v>
      </c>
      <c r="B5330" s="138">
        <f>'Revenues 9-14'!D6</f>
        <v>65250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541387</v>
      </c>
      <c r="C5334" s="2" t="s">
        <v>573</v>
      </c>
      <c r="D5334" s="2" t="str">
        <f t="shared" si="82"/>
        <v>Error?</v>
      </c>
    </row>
    <row r="5335" spans="1:4" x14ac:dyDescent="0.2">
      <c r="A5335" s="5">
        <v>5274</v>
      </c>
      <c r="B5335" s="138">
        <f>'Revenues 9-14'!D14</f>
        <v>96</v>
      </c>
      <c r="D5335" s="2" t="str">
        <f t="shared" si="82"/>
        <v>Error?</v>
      </c>
    </row>
    <row r="5336" spans="1:4" x14ac:dyDescent="0.2">
      <c r="A5336" s="5">
        <v>5275</v>
      </c>
      <c r="B5336" s="138">
        <f>'Revenues 9-14'!D15</f>
        <v>257</v>
      </c>
      <c r="D5336" s="2" t="str">
        <f t="shared" si="82"/>
        <v>Error?</v>
      </c>
    </row>
    <row r="5337" spans="1:4" x14ac:dyDescent="0.2">
      <c r="A5337" s="5">
        <v>5276</v>
      </c>
      <c r="B5337" s="138">
        <f>'Revenues 9-14'!D16</f>
        <v>495003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495356</v>
      </c>
      <c r="C5339" s="2" t="s">
        <v>573</v>
      </c>
      <c r="D5339" s="2" t="str">
        <f t="shared" si="82"/>
        <v>Error?</v>
      </c>
    </row>
    <row r="5340" spans="1:4" x14ac:dyDescent="0.2">
      <c r="A5340" s="5">
        <v>5279</v>
      </c>
      <c r="B5340" s="138">
        <f>'Revenues 9-14'!D65</f>
        <v>11053</v>
      </c>
      <c r="D5340" s="2" t="str">
        <f t="shared" si="82"/>
        <v>Error?</v>
      </c>
    </row>
    <row r="5341" spans="1:4" x14ac:dyDescent="0.2">
      <c r="A5341" s="5">
        <v>5280</v>
      </c>
      <c r="B5341" s="138">
        <f>'Revenues 9-14'!D66</f>
        <v>368</v>
      </c>
      <c r="D5341" s="2" t="str">
        <f t="shared" si="82"/>
        <v>Error?</v>
      </c>
    </row>
    <row r="5342" spans="1:4" x14ac:dyDescent="0.2">
      <c r="A5342" s="5">
        <v>5281</v>
      </c>
      <c r="B5342" s="138">
        <f>'Revenues 9-14'!D67</f>
        <v>11421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1634</v>
      </c>
      <c r="D5349" s="2" t="str">
        <f t="shared" si="82"/>
        <v>Error?</v>
      </c>
    </row>
    <row r="5350" spans="1:4" x14ac:dyDescent="0.2">
      <c r="A5350" s="5">
        <v>5289</v>
      </c>
      <c r="B5350" s="138">
        <f>'Revenues 9-14'!D96</f>
        <v>20000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23018</v>
      </c>
      <c r="D5354" s="2" t="str">
        <f t="shared" si="82"/>
        <v>Error?</v>
      </c>
    </row>
    <row r="5355" spans="1:4" x14ac:dyDescent="0.2">
      <c r="A5355" s="5">
        <v>5294</v>
      </c>
      <c r="B5355" s="138">
        <f>'Revenues 9-14'!D108</f>
        <v>44652</v>
      </c>
      <c r="C5355" s="2" t="s">
        <v>573</v>
      </c>
      <c r="D5355" s="2" t="str">
        <f t="shared" si="82"/>
        <v>Error?</v>
      </c>
    </row>
    <row r="5356" spans="1:4" x14ac:dyDescent="0.2">
      <c r="A5356" s="5">
        <v>5295</v>
      </c>
      <c r="B5356" s="138">
        <f>'Revenues 9-14'!D109</f>
        <v>1092816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1092816</v>
      </c>
      <c r="C5508" s="2" t="s">
        <v>573</v>
      </c>
      <c r="D5508" s="2" t="str">
        <f t="shared" si="85"/>
        <v>Error?</v>
      </c>
    </row>
    <row r="5509" spans="1:4" x14ac:dyDescent="0.2">
      <c r="A5509" s="5">
        <v>5448</v>
      </c>
      <c r="B5509" s="138">
        <f>'Revenues 9-14'!E5</f>
        <v>861214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861214</v>
      </c>
      <c r="C5513" s="2" t="s">
        <v>573</v>
      </c>
      <c r="D5513" s="2" t="str">
        <f t="shared" si="85"/>
        <v>Error?</v>
      </c>
    </row>
    <row r="5514" spans="1:4" x14ac:dyDescent="0.2">
      <c r="A5514" s="5">
        <v>5453</v>
      </c>
      <c r="B5514" s="138">
        <f>'Revenues 9-14'!E14</f>
        <v>173</v>
      </c>
      <c r="D5514" s="2" t="str">
        <f t="shared" si="85"/>
        <v>Error?</v>
      </c>
    </row>
    <row r="5515" spans="1:4" x14ac:dyDescent="0.2">
      <c r="A5515" s="5">
        <v>5454</v>
      </c>
      <c r="B5515" s="138">
        <f>'Revenues 9-14'!E15</f>
        <v>464</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637</v>
      </c>
      <c r="C5518" s="2" t="s">
        <v>573</v>
      </c>
      <c r="D5518" s="2" t="str">
        <f t="shared" si="85"/>
        <v>Error?</v>
      </c>
    </row>
    <row r="5519" spans="1:4" x14ac:dyDescent="0.2">
      <c r="A5519" s="5">
        <v>5458</v>
      </c>
      <c r="B5519" s="138">
        <f>'Revenues 9-14'!E65</f>
        <v>15572</v>
      </c>
      <c r="D5519" s="2" t="str">
        <f t="shared" si="85"/>
        <v>Error?</v>
      </c>
    </row>
    <row r="5520" spans="1:4" x14ac:dyDescent="0.2">
      <c r="A5520" s="5">
        <v>5459</v>
      </c>
      <c r="B5520" s="138">
        <f>'Revenues 9-14'!E66</f>
        <v>671</v>
      </c>
      <c r="D5520" s="2" t="str">
        <f t="shared" si="85"/>
        <v>Error?</v>
      </c>
    </row>
    <row r="5521" spans="1:4" x14ac:dyDescent="0.2">
      <c r="A5521" s="5">
        <v>5460</v>
      </c>
      <c r="B5521" s="138">
        <f>'Revenues 9-14'!E67</f>
        <v>16243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878094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878094</v>
      </c>
      <c r="C5552" s="2" t="s">
        <v>573</v>
      </c>
      <c r="D5552" s="2" t="str">
        <f t="shared" si="85"/>
        <v>Error?</v>
      </c>
    </row>
    <row r="5553" spans="1:4" x14ac:dyDescent="0.2">
      <c r="A5553" s="5">
        <v>5492</v>
      </c>
      <c r="B5553" s="138">
        <f>'Revenues 9-14'!F5</f>
        <v>228546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228546</v>
      </c>
      <c r="C5557" s="2" t="s">
        <v>573</v>
      </c>
      <c r="D5557" s="2" t="str">
        <f t="shared" si="85"/>
        <v>Error?</v>
      </c>
    </row>
    <row r="5558" spans="1:4" x14ac:dyDescent="0.2">
      <c r="A5558" s="5">
        <v>5497</v>
      </c>
      <c r="B5558" s="138">
        <f>'Revenues 9-14'!F14</f>
        <v>46</v>
      </c>
      <c r="D5558" s="2" t="str">
        <f t="shared" si="85"/>
        <v>Error?</v>
      </c>
    </row>
    <row r="5559" spans="1:4" x14ac:dyDescent="0.2">
      <c r="A5559" s="5">
        <v>5498</v>
      </c>
      <c r="B5559" s="138">
        <f>'Revenues 9-14'!F15</f>
        <v>123</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169</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556</v>
      </c>
      <c r="D5580" s="2" t="str">
        <f t="shared" si="86"/>
        <v>Error?</v>
      </c>
    </row>
    <row r="5581" spans="1:4" x14ac:dyDescent="0.2">
      <c r="A5581" s="5">
        <v>5520</v>
      </c>
      <c r="B5581" s="138">
        <f>'Revenues 9-14'!F66</f>
        <v>6</v>
      </c>
      <c r="D5581" s="2" t="str">
        <f t="shared" si="86"/>
        <v>Error?</v>
      </c>
    </row>
    <row r="5582" spans="1:4" x14ac:dyDescent="0.2">
      <c r="A5582" s="5">
        <v>5521</v>
      </c>
      <c r="B5582" s="138">
        <f>'Revenues 9-14'!F67</f>
        <v>562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229277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209000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209000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26000</v>
      </c>
      <c r="D5615" s="2" t="str">
        <f t="shared" si="86"/>
        <v>Error?</v>
      </c>
    </row>
    <row r="5616" spans="1:4" x14ac:dyDescent="0.2">
      <c r="A5616" s="10">
        <v>5555</v>
      </c>
      <c r="D5616" s="2" t="str">
        <f t="shared" si="86"/>
        <v>OK</v>
      </c>
    </row>
    <row r="5617" spans="1:5" x14ac:dyDescent="0.2">
      <c r="A5617" s="5">
        <v>5556</v>
      </c>
      <c r="B5617" s="138">
        <f>'Revenues 9-14'!F153</f>
        <v>238021</v>
      </c>
      <c r="D5617" s="2" t="str">
        <f t="shared" si="86"/>
        <v>Error?</v>
      </c>
    </row>
    <row r="5618" spans="1:5" x14ac:dyDescent="0.2">
      <c r="A5618" s="5">
        <v>5557</v>
      </c>
      <c r="B5618" s="138">
        <f>'Revenues 9-14'!F155</f>
        <v>264021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264021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473021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702298</v>
      </c>
      <c r="C5720" s="2" t="s">
        <v>573</v>
      </c>
      <c r="D5720" s="2" t="str">
        <f t="shared" si="88"/>
        <v>Error?</v>
      </c>
    </row>
    <row r="5721" spans="1:4" x14ac:dyDescent="0.2">
      <c r="A5721" s="5">
        <v>5660</v>
      </c>
      <c r="B5721" s="138">
        <f>'Revenues 9-14'!G5</f>
        <v>109303</v>
      </c>
      <c r="D5721" s="2" t="str">
        <f t="shared" si="88"/>
        <v>Error?</v>
      </c>
    </row>
    <row r="5722" spans="1:4" x14ac:dyDescent="0.2">
      <c r="A5722" s="5">
        <v>5661</v>
      </c>
      <c r="B5722" s="138">
        <f>'Revenues 9-14'!G7</f>
        <v>0</v>
      </c>
      <c r="D5722" s="2" t="str">
        <f t="shared" si="88"/>
        <v>Error?</v>
      </c>
    </row>
    <row r="5723" spans="1:4" x14ac:dyDescent="0.2">
      <c r="A5723" s="5">
        <v>5662</v>
      </c>
      <c r="B5723" s="138">
        <f>'Revenues 9-14'!G8</f>
        <v>173866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283169</v>
      </c>
      <c r="C5725" s="2" t="s">
        <v>573</v>
      </c>
      <c r="D5725" s="2" t="str">
        <f t="shared" si="88"/>
        <v>Error?</v>
      </c>
    </row>
    <row r="5726" spans="1:4" x14ac:dyDescent="0.2">
      <c r="A5726" s="5">
        <v>5665</v>
      </c>
      <c r="B5726" s="138">
        <f>'Revenues 9-14'!G14</f>
        <v>57</v>
      </c>
      <c r="D5726" s="2" t="str">
        <f t="shared" si="88"/>
        <v>Error?</v>
      </c>
    </row>
    <row r="5727" spans="1:4" x14ac:dyDescent="0.2">
      <c r="A5727" s="5">
        <v>5666</v>
      </c>
      <c r="B5727" s="138">
        <f>'Revenues 9-14'!G15</f>
        <v>153</v>
      </c>
      <c r="D5727" s="2" t="str">
        <f t="shared" si="88"/>
        <v>Error?</v>
      </c>
    </row>
    <row r="5728" spans="1:4" x14ac:dyDescent="0.2">
      <c r="A5728" s="5">
        <v>5667</v>
      </c>
      <c r="B5728" s="138">
        <f>'Revenues 9-14'!G16</f>
        <v>26000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26210</v>
      </c>
      <c r="C5730" s="2" t="s">
        <v>573</v>
      </c>
      <c r="D5730" s="2" t="str">
        <f t="shared" si="88"/>
        <v>Error?</v>
      </c>
    </row>
    <row r="5731" spans="1:4" x14ac:dyDescent="0.2">
      <c r="A5731" s="5">
        <v>5670</v>
      </c>
      <c r="B5731" s="138">
        <f>'Revenues 9-14'!G65</f>
        <v>6468</v>
      </c>
      <c r="D5731" s="2" t="str">
        <f t="shared" si="88"/>
        <v>Error?</v>
      </c>
    </row>
    <row r="5732" spans="1:4" x14ac:dyDescent="0.2">
      <c r="A5732" s="5">
        <v>5671</v>
      </c>
      <c r="B5732" s="138">
        <f>'Revenues 9-14'!G66</f>
        <v>229</v>
      </c>
      <c r="D5732" s="2" t="str">
        <f t="shared" si="88"/>
        <v>Error?</v>
      </c>
    </row>
    <row r="5733" spans="1:4" x14ac:dyDescent="0.2">
      <c r="A5733" s="5">
        <v>5672</v>
      </c>
      <c r="B5733" s="138">
        <f>'Revenues 9-14'!G67</f>
        <v>6697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1905</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1905</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1905</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7807</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7807</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15044</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15044</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23339</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23339</v>
      </c>
      <c r="C5869" s="2" t="s">
        <v>573</v>
      </c>
      <c r="D5869" s="2" t="str">
        <f t="shared" si="90"/>
        <v>Error?</v>
      </c>
    </row>
    <row r="5870" spans="1:4" x14ac:dyDescent="0.2">
      <c r="A5870" s="5">
        <v>5809</v>
      </c>
      <c r="B5870" s="138">
        <f>'Revenues 9-14'!G268</f>
        <v>341320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17070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17070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94355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111425</v>
      </c>
      <c r="C5915" s="2" t="s">
        <v>573</v>
      </c>
      <c r="D5915" s="2" t="str">
        <f t="shared" si="91"/>
        <v>Error?</v>
      </c>
    </row>
    <row r="5916" spans="1:4" x14ac:dyDescent="0.2">
      <c r="A5916" s="5">
        <v>5855</v>
      </c>
      <c r="B5916" s="138">
        <f>'Revenues 9-14'!I5</f>
        <v>95228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95228</v>
      </c>
      <c r="C5918" s="2" t="s">
        <v>573</v>
      </c>
      <c r="D5918" s="2" t="str">
        <f t="shared" si="91"/>
        <v>Error?</v>
      </c>
    </row>
    <row r="5919" spans="1:4" x14ac:dyDescent="0.2">
      <c r="A5919" s="5">
        <v>5858</v>
      </c>
      <c r="B5919" s="138">
        <f>'Revenues 9-14'!I14</f>
        <v>19</v>
      </c>
      <c r="D5919" s="2" t="str">
        <f t="shared" si="91"/>
        <v>Error?</v>
      </c>
    </row>
    <row r="5920" spans="1:4" x14ac:dyDescent="0.2">
      <c r="A5920" s="5">
        <v>5859</v>
      </c>
      <c r="B5920" s="138">
        <f>'Revenues 9-14'!I15</f>
        <v>51</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70</v>
      </c>
      <c r="C5923" s="2" t="s">
        <v>573</v>
      </c>
      <c r="D5923" s="2" t="str">
        <f t="shared" si="91"/>
        <v>Error?</v>
      </c>
    </row>
    <row r="5924" spans="1:4" x14ac:dyDescent="0.2">
      <c r="A5924" s="5">
        <v>5863</v>
      </c>
      <c r="B5924" s="138">
        <f>'Revenues 9-14'!I65</f>
        <v>8877</v>
      </c>
      <c r="D5924" s="2" t="str">
        <f t="shared" si="91"/>
        <v>Error?</v>
      </c>
    </row>
    <row r="5925" spans="1:4" x14ac:dyDescent="0.2">
      <c r="A5925" s="5">
        <v>5864</v>
      </c>
      <c r="B5925" s="138">
        <f>'Revenues 9-14'!I66</f>
        <v>130</v>
      </c>
      <c r="D5925" s="2" t="str">
        <f t="shared" si="91"/>
        <v>Error?</v>
      </c>
    </row>
    <row r="5926" spans="1:4" x14ac:dyDescent="0.2">
      <c r="A5926" s="5">
        <v>5865</v>
      </c>
      <c r="B5926" s="138">
        <f>'Revenues 9-14'!I67</f>
        <v>9007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104305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95228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95228</v>
      </c>
      <c r="C5987" s="2" t="s">
        <v>573</v>
      </c>
      <c r="D5987" s="2" t="str">
        <f t="shared" si="92"/>
        <v>Error?</v>
      </c>
    </row>
    <row r="5988" spans="1:4" x14ac:dyDescent="0.2">
      <c r="A5988" s="5">
        <v>5927</v>
      </c>
      <c r="B5988" s="138">
        <f>'Revenues 9-14'!K14</f>
        <v>19</v>
      </c>
      <c r="D5988" s="2" t="str">
        <f t="shared" si="92"/>
        <v>Error?</v>
      </c>
    </row>
    <row r="5989" spans="1:4" x14ac:dyDescent="0.2">
      <c r="A5989" s="5">
        <v>5928</v>
      </c>
      <c r="B5989" s="138">
        <f>'Revenues 9-14'!K15</f>
        <v>51</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70</v>
      </c>
      <c r="C5992" s="2" t="s">
        <v>573</v>
      </c>
      <c r="D5992" s="2" t="str">
        <f t="shared" si="92"/>
        <v>Error?</v>
      </c>
    </row>
    <row r="5993" spans="1:4" x14ac:dyDescent="0.2">
      <c r="A5993" s="5">
        <v>5932</v>
      </c>
      <c r="B5993" s="138">
        <f>'Revenues 9-14'!K65</f>
        <v>48767</v>
      </c>
      <c r="D5993" s="2" t="str">
        <f t="shared" si="92"/>
        <v>Error?</v>
      </c>
    </row>
    <row r="5994" spans="1:4" x14ac:dyDescent="0.2">
      <c r="A5994" s="5">
        <v>5933</v>
      </c>
      <c r="B5994" s="138">
        <f>'Revenues 9-14'!K66</f>
        <v>3422</v>
      </c>
      <c r="D5994" s="2" t="str">
        <f t="shared" si="92"/>
        <v>Error?</v>
      </c>
    </row>
    <row r="5995" spans="1:4" x14ac:dyDescent="0.2">
      <c r="A5995" s="5">
        <v>5934</v>
      </c>
      <c r="B5995" s="138">
        <f>'Revenues 9-14'!K67</f>
        <v>52189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147487</v>
      </c>
      <c r="C6023" s="2" t="s">
        <v>573</v>
      </c>
      <c r="D6023" s="2" t="str">
        <f t="shared" si="93"/>
        <v>Error?</v>
      </c>
    </row>
    <row r="6024" spans="1:5" x14ac:dyDescent="0.2">
      <c r="A6024" s="5">
        <v>5963</v>
      </c>
      <c r="B6024" s="138">
        <f>'Revenues 9-14'!G109</f>
        <v>316076</v>
      </c>
      <c r="C6024" s="2" t="s">
        <v>573</v>
      </c>
      <c r="D6024" s="2" t="str">
        <f t="shared" si="93"/>
        <v>Error?</v>
      </c>
    </row>
    <row r="6025" spans="1:5" x14ac:dyDescent="0.2">
      <c r="A6025" s="5">
        <v>5964</v>
      </c>
      <c r="B6025" s="138">
        <f>'Revenues 9-14'!H109</f>
        <v>111425</v>
      </c>
      <c r="C6025" s="2" t="s">
        <v>573</v>
      </c>
      <c r="D6025" s="2" t="str">
        <f t="shared" si="93"/>
        <v>Error?</v>
      </c>
    </row>
    <row r="6026" spans="1:5" x14ac:dyDescent="0.2">
      <c r="A6026" s="5">
        <v>5965</v>
      </c>
      <c r="B6026" s="138">
        <f>'Revenues 9-14'!I109</f>
        <v>104305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147487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46776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35920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745.3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57262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6104232</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57262</v>
      </c>
      <c r="D6215" s="2" t="str">
        <f t="shared" si="96"/>
        <v>Error?</v>
      </c>
      <c r="E6215" s="2" t="s">
        <v>190</v>
      </c>
    </row>
    <row r="6216" spans="1:5" x14ac:dyDescent="0.2">
      <c r="A6216">
        <v>6155</v>
      </c>
      <c r="B6216" s="138">
        <f>'Assets-Liab 5-6'!J41</f>
        <v>57262</v>
      </c>
      <c r="D6216" s="2" t="str">
        <f t="shared" si="96"/>
        <v>Error?</v>
      </c>
      <c r="E6216" s="2" t="s">
        <v>190</v>
      </c>
    </row>
    <row r="6217" spans="1:5" x14ac:dyDescent="0.2">
      <c r="A6217">
        <v>6156</v>
      </c>
      <c r="B6217" s="138">
        <f>'Assets-Liab 5-6'!J4</f>
        <v>57195</v>
      </c>
      <c r="D6217" s="2" t="str">
        <f t="shared" si="96"/>
        <v>Error?</v>
      </c>
      <c r="E6217" s="2" t="s">
        <v>190</v>
      </c>
    </row>
    <row r="6218" spans="1:5" x14ac:dyDescent="0.2">
      <c r="A6218">
        <v>6157</v>
      </c>
      <c r="B6218" s="138">
        <f>'Assets-Liab 5-6'!J5</f>
        <v>67</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700635</v>
      </c>
      <c r="D6220" s="2" t="str">
        <f t="shared" si="96"/>
        <v>Error?</v>
      </c>
      <c r="E6220" s="2" t="s">
        <v>190</v>
      </c>
    </row>
    <row r="6221" spans="1:5" x14ac:dyDescent="0.2">
      <c r="A6221">
        <v>6160</v>
      </c>
      <c r="B6221" s="138">
        <f>'Acct Summary 7-8'!J6</f>
        <v>28776</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729411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729411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736797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736797</v>
      </c>
      <c r="D6229" s="2" t="str">
        <f t="shared" si="96"/>
        <v>Error?</v>
      </c>
      <c r="E6229" s="2" t="s">
        <v>190</v>
      </c>
    </row>
    <row r="6230" spans="1:5" x14ac:dyDescent="0.2">
      <c r="A6230">
        <v>6169</v>
      </c>
      <c r="B6230" s="138">
        <f>'Acct Summary 7-8'!J20</f>
        <v>-7386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49227</v>
      </c>
      <c r="D6240" s="2" t="str">
        <f t="shared" si="96"/>
        <v>Error?</v>
      </c>
      <c r="E6240" s="2" t="s">
        <v>190</v>
      </c>
    </row>
    <row r="6241" spans="1:5" x14ac:dyDescent="0.2">
      <c r="A6241">
        <v>6180</v>
      </c>
      <c r="B6241" s="138">
        <f>'Acct Summary 7-8'!D54</f>
        <v>22712</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3137</v>
      </c>
      <c r="D6243" s="2" t="str">
        <f t="shared" si="96"/>
        <v>Error?</v>
      </c>
      <c r="E6243" s="2" t="s">
        <v>190</v>
      </c>
    </row>
    <row r="6244" spans="1:5" x14ac:dyDescent="0.2">
      <c r="A6244">
        <v>6183</v>
      </c>
      <c r="B6244" s="138">
        <f>'Acct Summary 7-8'!D58</f>
        <v>2385</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-7386</v>
      </c>
      <c r="D6263" s="2" t="str">
        <f t="shared" si="96"/>
        <v>Error?</v>
      </c>
      <c r="E6263" s="2" t="s">
        <v>190</v>
      </c>
    </row>
    <row r="6264" spans="1:5" x14ac:dyDescent="0.2">
      <c r="A6264">
        <v>6203</v>
      </c>
      <c r="B6264" s="138">
        <f>'Acct Summary 7-8'!J79</f>
        <v>64648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57262</v>
      </c>
      <c r="D6266" s="2" t="str">
        <f t="shared" si="96"/>
        <v>Error?</v>
      </c>
      <c r="E6266" s="2" t="s">
        <v>190</v>
      </c>
    </row>
    <row r="6267" spans="1:5" x14ac:dyDescent="0.2">
      <c r="A6267">
        <v>6206</v>
      </c>
      <c r="B6267" s="138">
        <f>'Acct Summary 7-8'!C82</f>
        <v>467229</v>
      </c>
      <c r="D6267" s="2" t="str">
        <f t="shared" si="96"/>
        <v>Error?</v>
      </c>
      <c r="E6267" s="2" t="s">
        <v>190</v>
      </c>
    </row>
    <row r="6268" spans="1:5" x14ac:dyDescent="0.2">
      <c r="A6268">
        <v>6207</v>
      </c>
      <c r="B6268" s="138">
        <f>'Acct Summary 7-8'!D82</f>
        <v>109947</v>
      </c>
      <c r="D6268" s="2" t="str">
        <f t="shared" si="96"/>
        <v>Error?</v>
      </c>
      <c r="E6268" s="2" t="s">
        <v>190</v>
      </c>
    </row>
    <row r="6269" spans="1:5" x14ac:dyDescent="0.2">
      <c r="A6269">
        <v>6208</v>
      </c>
      <c r="B6269" s="138">
        <f>'Acct Summary 7-8'!E82</f>
        <v>782490</v>
      </c>
      <c r="D6269" s="2" t="str">
        <f t="shared" si="96"/>
        <v>Error?</v>
      </c>
      <c r="E6269" s="2" t="s">
        <v>190</v>
      </c>
    </row>
    <row r="6270" spans="1:5" x14ac:dyDescent="0.2">
      <c r="A6270">
        <v>6209</v>
      </c>
      <c r="B6270" s="138">
        <f>'Acct Summary 7-8'!F82</f>
        <v>4360</v>
      </c>
      <c r="D6270" s="2" t="str">
        <f t="shared" si="96"/>
        <v>Error?</v>
      </c>
      <c r="E6270" s="2" t="s">
        <v>190</v>
      </c>
    </row>
    <row r="6271" spans="1:5" x14ac:dyDescent="0.2">
      <c r="A6271">
        <v>6210</v>
      </c>
      <c r="B6271" s="138">
        <f>'Acct Summary 7-8'!G82</f>
        <v>58637</v>
      </c>
      <c r="D6271" s="2" t="str">
        <f t="shared" ref="D6271:D6334" si="97">IF(ISBLANK(B6271),"OK",IF(A6271-B6271=0,"OK","Error?"))</f>
        <v>Error?</v>
      </c>
      <c r="E6271" s="2" t="s">
        <v>190</v>
      </c>
    </row>
    <row r="6272" spans="1:5" x14ac:dyDescent="0.2">
      <c r="A6272">
        <v>6211</v>
      </c>
      <c r="B6272" s="138">
        <f>'Acct Summary 7-8'!H82</f>
        <v>-240407</v>
      </c>
      <c r="D6272" s="2" t="str">
        <f t="shared" si="97"/>
        <v>Error?</v>
      </c>
      <c r="E6272" s="2" t="s">
        <v>190</v>
      </c>
    </row>
    <row r="6273" spans="1:5" x14ac:dyDescent="0.2">
      <c r="A6273">
        <v>6212</v>
      </c>
      <c r="B6273" s="138">
        <f>'Acct Summary 7-8'!I82</f>
        <v>104305</v>
      </c>
      <c r="D6273" s="2" t="str">
        <f t="shared" si="97"/>
        <v>Error?</v>
      </c>
      <c r="E6273" s="2" t="s">
        <v>190</v>
      </c>
    </row>
    <row r="6274" spans="1:5" x14ac:dyDescent="0.2">
      <c r="A6274">
        <v>6213</v>
      </c>
      <c r="B6274" s="138">
        <f>'Acct Summary 7-8'!J82</f>
        <v>-7386</v>
      </c>
      <c r="D6274" s="2" t="str">
        <f t="shared" si="97"/>
        <v>Error?</v>
      </c>
      <c r="E6274" s="2" t="s">
        <v>190</v>
      </c>
    </row>
    <row r="6275" spans="1:5" x14ac:dyDescent="0.2">
      <c r="A6275">
        <v>6214</v>
      </c>
      <c r="B6275" s="138">
        <f>'Acct Summary 7-8'!K82</f>
        <v>4466939</v>
      </c>
      <c r="D6275" s="2" t="str">
        <f t="shared" si="97"/>
        <v>Error?</v>
      </c>
      <c r="E6275" s="2" t="s">
        <v>190</v>
      </c>
    </row>
    <row r="6276" spans="1:5" x14ac:dyDescent="0.2">
      <c r="A6276">
        <v>6215</v>
      </c>
      <c r="B6276" s="138">
        <f>'Acct Summary 7-8'!C83</f>
        <v>0.15046484374622612</v>
      </c>
      <c r="D6276" s="2" t="str">
        <f t="shared" si="97"/>
        <v>Error?</v>
      </c>
      <c r="E6276" s="2" t="s">
        <v>190</v>
      </c>
    </row>
    <row r="6277" spans="1:5" x14ac:dyDescent="0.2">
      <c r="A6277">
        <v>6216</v>
      </c>
      <c r="B6277" s="138">
        <f>'Acct Summary 7-8'!D83</f>
        <v>0.15704919437778539</v>
      </c>
      <c r="D6277" s="2" t="str">
        <f t="shared" si="97"/>
        <v>Error?</v>
      </c>
      <c r="E6277" s="2" t="s">
        <v>190</v>
      </c>
    </row>
    <row r="6278" spans="1:5" x14ac:dyDescent="0.2">
      <c r="A6278">
        <v>6217</v>
      </c>
      <c r="B6278" s="138">
        <f>'Acct Summary 7-8'!E83</f>
        <v>0.75164619825462164</v>
      </c>
      <c r="D6278" s="2" t="str">
        <f t="shared" si="97"/>
        <v>Error?</v>
      </c>
      <c r="E6278" s="2" t="s">
        <v>190</v>
      </c>
    </row>
    <row r="6279" spans="1:5" x14ac:dyDescent="0.2">
      <c r="A6279">
        <v>6218</v>
      </c>
      <c r="B6279" s="138">
        <f>'Acct Summary 7-8'!F83</f>
        <v>0.34027940373058613</v>
      </c>
      <c r="D6279" s="2" t="str">
        <f t="shared" si="97"/>
        <v>Error?</v>
      </c>
      <c r="E6279" s="2" t="s">
        <v>190</v>
      </c>
    </row>
    <row r="6280" spans="1:5" x14ac:dyDescent="0.2">
      <c r="A6280">
        <v>6219</v>
      </c>
      <c r="B6280" s="138">
        <f>'Acct Summary 7-8'!G83</f>
        <v>0.16447043644115336</v>
      </c>
      <c r="D6280" s="2" t="str">
        <f t="shared" si="97"/>
        <v>Error?</v>
      </c>
      <c r="E6280" s="2" t="s">
        <v>190</v>
      </c>
    </row>
    <row r="6281" spans="1:5" x14ac:dyDescent="0.2">
      <c r="A6281">
        <v>6220</v>
      </c>
      <c r="B6281" s="138">
        <f>'Acct Summary 7-8'!H83</f>
        <v>-3.4653261261261261</v>
      </c>
      <c r="D6281" s="2" t="str">
        <f t="shared" si="97"/>
        <v>Error?</v>
      </c>
      <c r="E6281" s="2" t="s">
        <v>190</v>
      </c>
    </row>
    <row r="6282" spans="1:5" x14ac:dyDescent="0.2">
      <c r="A6282">
        <v>6221</v>
      </c>
      <c r="B6282" s="138">
        <f>'Acct Summary 7-8'!I83</f>
        <v>0.14116177473663696</v>
      </c>
      <c r="D6282" s="2" t="str">
        <f t="shared" si="97"/>
        <v>Error?</v>
      </c>
      <c r="E6282" s="2" t="s">
        <v>190</v>
      </c>
    </row>
    <row r="6283" spans="1:5" x14ac:dyDescent="0.2">
      <c r="A6283">
        <v>6222</v>
      </c>
      <c r="B6283" s="138">
        <f>'Acct Summary 7-8'!J83</f>
        <v>-0.12898606405644231</v>
      </c>
      <c r="D6283" s="2" t="str">
        <f t="shared" si="97"/>
        <v>Error?</v>
      </c>
      <c r="E6283" s="2" t="s">
        <v>190</v>
      </c>
    </row>
    <row r="6284" spans="1:5" x14ac:dyDescent="0.2">
      <c r="A6284">
        <v>6223</v>
      </c>
      <c r="B6284" s="138">
        <f>'Acct Summary 7-8'!K83</f>
        <v>0.999049469839007</v>
      </c>
      <c r="D6284" s="2" t="str">
        <f t="shared" si="97"/>
        <v>Error?</v>
      </c>
      <c r="E6284" s="2" t="s">
        <v>190</v>
      </c>
    </row>
    <row r="6285" spans="1:5" x14ac:dyDescent="0.2">
      <c r="A6285">
        <v>6224</v>
      </c>
      <c r="B6285" s="138">
        <f>'Acct Summary 7-8'!E37</f>
        <v>71939</v>
      </c>
      <c r="D6285" s="2" t="str">
        <f t="shared" si="97"/>
        <v>Error?</v>
      </c>
      <c r="E6285" s="2" t="s">
        <v>190</v>
      </c>
    </row>
    <row r="6286" spans="1:5" x14ac:dyDescent="0.2">
      <c r="A6286">
        <v>6225</v>
      </c>
      <c r="B6286" s="138">
        <f>'Acct Summary 7-8'!E38</f>
        <v>5522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695447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695447</v>
      </c>
      <c r="D6301" s="2" t="str">
        <f t="shared" si="97"/>
        <v>Error?</v>
      </c>
      <c r="E6301" s="2" t="s">
        <v>190</v>
      </c>
    </row>
    <row r="6302" spans="1:5" x14ac:dyDescent="0.2">
      <c r="A6302">
        <v>6241</v>
      </c>
      <c r="B6302" s="138">
        <f>'Revenues 9-14'!J14</f>
        <v>140</v>
      </c>
      <c r="D6302" s="2" t="str">
        <f t="shared" si="97"/>
        <v>Error?</v>
      </c>
      <c r="E6302" s="2" t="s">
        <v>190</v>
      </c>
    </row>
    <row r="6303" spans="1:5" x14ac:dyDescent="0.2">
      <c r="A6303">
        <v>6242</v>
      </c>
      <c r="B6303" s="138">
        <f>'Revenues 9-14'!J15</f>
        <v>375</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515</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4445</v>
      </c>
      <c r="D6316" s="2" t="str">
        <f t="shared" si="97"/>
        <v>Error?</v>
      </c>
      <c r="E6316" s="2" t="s">
        <v>190</v>
      </c>
    </row>
    <row r="6317" spans="1:5" x14ac:dyDescent="0.2">
      <c r="A6317">
        <v>6256</v>
      </c>
      <c r="B6317" s="138">
        <f>'Revenues 9-14'!J66</f>
        <v>136</v>
      </c>
      <c r="D6317" s="2" t="str">
        <f t="shared" si="97"/>
        <v>Error?</v>
      </c>
      <c r="E6317" s="2" t="s">
        <v>190</v>
      </c>
    </row>
    <row r="6318" spans="1:5" x14ac:dyDescent="0.2">
      <c r="A6318">
        <v>6257</v>
      </c>
      <c r="B6318" s="138">
        <f>'Revenues 9-14'!J67</f>
        <v>4581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92</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93522</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25152</v>
      </c>
      <c r="D6339" s="2" t="str">
        <f t="shared" si="98"/>
        <v>Error?</v>
      </c>
      <c r="E6339" s="2" t="s">
        <v>190</v>
      </c>
    </row>
    <row r="6340" spans="1:5" x14ac:dyDescent="0.2">
      <c r="A6340">
        <v>6279</v>
      </c>
      <c r="B6340" s="138">
        <f>'Revenues 9-14'!C102</f>
        <v>152</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92</v>
      </c>
      <c r="D6351" s="2" t="str">
        <f t="shared" si="98"/>
        <v>Error?</v>
      </c>
      <c r="E6351" s="2" t="s">
        <v>190</v>
      </c>
    </row>
    <row r="6352" spans="1:5" x14ac:dyDescent="0.2">
      <c r="A6352">
        <v>6291</v>
      </c>
      <c r="B6352" s="138">
        <f>'Revenues 9-14'!J109</f>
        <v>700635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9653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28776</v>
      </c>
      <c r="D6395" s="2" t="str">
        <f t="shared" si="98"/>
        <v>Error?</v>
      </c>
      <c r="E6395" s="2" t="s">
        <v>190</v>
      </c>
    </row>
    <row r="6396" spans="1:6" x14ac:dyDescent="0.2">
      <c r="A6396">
        <v>6335</v>
      </c>
      <c r="B6396" s="138">
        <f>'Revenues 9-14'!J169</f>
        <v>28776</v>
      </c>
      <c r="D6396" s="2" t="str">
        <f t="shared" si="98"/>
        <v>Error?</v>
      </c>
      <c r="E6396" s="2" t="s">
        <v>190</v>
      </c>
    </row>
    <row r="6397" spans="1:6" x14ac:dyDescent="0.2">
      <c r="A6397">
        <v>6336</v>
      </c>
      <c r="B6397" s="138">
        <f>'Revenues 9-14'!J170</f>
        <v>28776</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6118</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510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2056</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105173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688329</v>
      </c>
      <c r="D6880" s="2" t="str">
        <f t="shared" si="106"/>
        <v>Error?</v>
      </c>
    </row>
    <row r="6881" spans="1:4" x14ac:dyDescent="0.2">
      <c r="A6881">
        <v>6820</v>
      </c>
      <c r="B6881" s="138">
        <f>'Expenditures 15-22'!K22</f>
        <v>688329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8684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14576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14576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14576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21299</v>
      </c>
      <c r="D6981" s="2" t="str">
        <f t="shared" si="108"/>
        <v>Error?</v>
      </c>
    </row>
    <row r="6982" spans="1:4" x14ac:dyDescent="0.2">
      <c r="A6982">
        <v>6921</v>
      </c>
      <c r="B6982" s="138">
        <f>'Expenditures 15-22'!K85</f>
        <v>21299</v>
      </c>
      <c r="D6982" s="2" t="str">
        <f t="shared" si="108"/>
        <v>Error?</v>
      </c>
    </row>
    <row r="6983" spans="1:4" x14ac:dyDescent="0.2">
      <c r="A6983">
        <v>6922</v>
      </c>
      <c r="B6983" s="138">
        <f>'Expenditures 15-22'!H86</f>
        <v>163152</v>
      </c>
      <c r="D6983" s="2" t="str">
        <f t="shared" si="108"/>
        <v>Error?</v>
      </c>
    </row>
    <row r="6984" spans="1:4" x14ac:dyDescent="0.2">
      <c r="A6984">
        <v>6923</v>
      </c>
      <c r="B6984" s="138">
        <f>'Expenditures 15-22'!K86</f>
        <v>163152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184451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23260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1630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1630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1630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736797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1630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729411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2007</v>
      </c>
      <c r="D7079" s="2" t="str">
        <f t="shared" si="109"/>
        <v>Error?</v>
      </c>
    </row>
    <row r="7080" spans="1:4" x14ac:dyDescent="0.2">
      <c r="A7080">
        <v>7019</v>
      </c>
      <c r="B7080" s="138">
        <f>'Expenditures 15-22'!K226</f>
        <v>2007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459</v>
      </c>
      <c r="D7093" s="2" t="str">
        <f t="shared" si="109"/>
        <v>Error?</v>
      </c>
    </row>
    <row r="7094" spans="1:4" x14ac:dyDescent="0.2">
      <c r="A7094">
        <v>7033</v>
      </c>
      <c r="B7094" s="138">
        <f>'Expenditures 15-22'!K254</f>
        <v>459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27682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27682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1740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1740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62938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62938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485381</v>
      </c>
      <c r="D7172" s="2" t="str">
        <f t="shared" si="111"/>
        <v>Error?</v>
      </c>
    </row>
    <row r="7173" spans="1:4" x14ac:dyDescent="0.2">
      <c r="A7173">
        <v>7112</v>
      </c>
      <c r="B7173" s="138">
        <f>'Expenditures 15-22'!D325</f>
        <v>601</v>
      </c>
      <c r="D7173" s="2" t="str">
        <f t="shared" si="111"/>
        <v>Error?</v>
      </c>
    </row>
    <row r="7174" spans="1:4" x14ac:dyDescent="0.2">
      <c r="A7174">
        <v>7113</v>
      </c>
      <c r="B7174" s="138">
        <f>'Expenditures 15-22'!E325</f>
        <v>133570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619552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24885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24885</v>
      </c>
      <c r="D7198" s="2" t="str">
        <f t="shared" si="111"/>
        <v>Error?</v>
      </c>
    </row>
    <row r="7199" spans="1:4" x14ac:dyDescent="0.2">
      <c r="A7199">
        <v>7138</v>
      </c>
      <c r="B7199" s="138">
        <f>'Expenditures 15-22'!C330</f>
        <v>485381</v>
      </c>
      <c r="D7199" s="2" t="str">
        <f t="shared" si="111"/>
        <v>Error?</v>
      </c>
    </row>
    <row r="7200" spans="1:4" x14ac:dyDescent="0.2">
      <c r="A7200">
        <v>7139</v>
      </c>
      <c r="B7200" s="138">
        <f>'Expenditures 15-22'!D330</f>
        <v>601</v>
      </c>
      <c r="D7200" s="2" t="str">
        <f t="shared" si="111"/>
        <v>Error?</v>
      </c>
    </row>
    <row r="7201" spans="1:4" x14ac:dyDescent="0.2">
      <c r="A7201">
        <v>7140</v>
      </c>
      <c r="B7201" s="138">
        <f>'Expenditures 15-22'!E330</f>
        <v>250815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736797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485381</v>
      </c>
      <c r="D7216" s="2" t="str">
        <f t="shared" si="111"/>
        <v>Error?</v>
      </c>
    </row>
    <row r="7217" spans="1:4" x14ac:dyDescent="0.2">
      <c r="A7217">
        <v>7156</v>
      </c>
      <c r="B7217" s="138">
        <f>'Expenditures 15-22'!D342</f>
        <v>601</v>
      </c>
      <c r="D7217" s="2" t="str">
        <f t="shared" si="111"/>
        <v>Error?</v>
      </c>
    </row>
    <row r="7218" spans="1:4" x14ac:dyDescent="0.2">
      <c r="A7218">
        <v>7157</v>
      </c>
      <c r="B7218" s="138">
        <f>'Expenditures 15-22'!E342</f>
        <v>250815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736797</v>
      </c>
      <c r="D7224" s="2" t="str">
        <f t="shared" si="111"/>
        <v>Error?</v>
      </c>
    </row>
    <row r="7225" spans="1:4" x14ac:dyDescent="0.2">
      <c r="A7225">
        <v>7164</v>
      </c>
      <c r="B7225" s="138">
        <f>'Expenditures 15-22'!K343</f>
        <v>-7386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80941</v>
      </c>
      <c r="D7263" s="2" t="str">
        <f t="shared" si="112"/>
        <v>Error?</v>
      </c>
    </row>
    <row r="7264" spans="1:4" x14ac:dyDescent="0.2">
      <c r="A7264">
        <f t="shared" si="113"/>
        <v>7203</v>
      </c>
      <c r="B7264" s="138">
        <f>'Expenditures 15-22'!D17</f>
        <v>15496</v>
      </c>
      <c r="D7264" s="2" t="str">
        <f t="shared" si="112"/>
        <v>Error?</v>
      </c>
    </row>
    <row r="7265" spans="1:5" x14ac:dyDescent="0.2">
      <c r="A7265">
        <f t="shared" si="113"/>
        <v>7204</v>
      </c>
      <c r="B7265" s="138">
        <f>'Expenditures 15-22'!E17</f>
        <v>7354</v>
      </c>
      <c r="D7265" s="2" t="str">
        <f t="shared" si="112"/>
        <v>Error?</v>
      </c>
    </row>
    <row r="7266" spans="1:5" x14ac:dyDescent="0.2">
      <c r="A7266">
        <f t="shared" si="113"/>
        <v>7205</v>
      </c>
      <c r="B7266" s="138">
        <f>'Expenditures 15-22'!F17</f>
        <v>1382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24890</v>
      </c>
      <c r="D7624" s="2" t="str">
        <f t="shared" si="124"/>
        <v>Error?</v>
      </c>
      <c r="E7624" s="2" t="s">
        <v>19</v>
      </c>
    </row>
    <row r="7625" spans="1:5" x14ac:dyDescent="0.2">
      <c r="A7625">
        <f t="shared" si="123"/>
        <v>7564</v>
      </c>
      <c r="B7625" s="138">
        <f>'Cap Outlay Deprec 26'!I17</f>
        <v>2489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1019288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25152</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38784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63936</v>
      </c>
      <c r="D7719" s="2" t="str">
        <f t="shared" si="126"/>
        <v>Error?</v>
      </c>
      <c r="E7719" s="2" t="s">
        <v>827</v>
      </c>
    </row>
    <row r="7720" spans="1:6" x14ac:dyDescent="0.2">
      <c r="A7720">
        <v>7659</v>
      </c>
      <c r="B7720" s="138">
        <f>'Rest Tax Levies-Tort Im 25'!H14</f>
        <v>38119</v>
      </c>
      <c r="D7720" s="2" t="str">
        <f t="shared" si="126"/>
        <v>Error?</v>
      </c>
      <c r="E7720" s="2" t="s">
        <v>827</v>
      </c>
    </row>
    <row r="7721" spans="1:6" x14ac:dyDescent="0.2">
      <c r="A7721">
        <v>7660</v>
      </c>
      <c r="B7721" s="138">
        <f>'Rest Tax Levies-Tort Im 25'!K14</f>
        <v>63936</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833</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924633</v>
      </c>
      <c r="D7797" s="2" t="str">
        <f t="shared" si="127"/>
        <v>Error?</v>
      </c>
      <c r="E7797" s="4" t="s">
        <v>1901</v>
      </c>
    </row>
    <row r="7798" spans="1:5" x14ac:dyDescent="0.2">
      <c r="A7798">
        <v>7737</v>
      </c>
      <c r="B7798" s="138">
        <f>'Contracts Paid in CY 29'!F141</f>
        <v>50000</v>
      </c>
      <c r="D7798" s="2" t="str">
        <f t="shared" si="127"/>
        <v>Error?</v>
      </c>
      <c r="E7798" s="4" t="s">
        <v>1901</v>
      </c>
    </row>
    <row r="7799" spans="1:5" x14ac:dyDescent="0.2">
      <c r="A7799">
        <v>7738</v>
      </c>
      <c r="B7799" s="138">
        <f>'Contracts Paid in CY 29'!G141</f>
        <v>874633</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570" t="s">
        <v>1191</v>
      </c>
      <c r="B2" s="2570"/>
      <c r="C2" s="2570"/>
      <c r="D2" s="2570"/>
      <c r="E2" s="2570"/>
      <c r="F2" s="2570"/>
      <c r="G2" s="2570"/>
      <c r="H2" s="2570"/>
      <c r="I2" s="2570"/>
      <c r="J2" s="2570"/>
      <c r="K2" s="2570"/>
      <c r="L2" s="2570"/>
    </row>
    <row r="3" spans="1:29" ht="13.5" customHeight="1" x14ac:dyDescent="0.2">
      <c r="A3" s="2556" t="s">
        <v>1190</v>
      </c>
      <c r="B3" s="2556"/>
      <c r="C3" s="2556"/>
      <c r="D3" s="2556"/>
      <c r="E3" s="2556"/>
      <c r="F3" s="2556"/>
      <c r="G3" s="2556"/>
      <c r="H3" s="2556"/>
      <c r="I3" s="2556"/>
      <c r="J3" s="2556"/>
      <c r="K3" s="2556"/>
      <c r="L3" s="2556"/>
    </row>
    <row r="4" spans="1:29" ht="13.5" customHeight="1" x14ac:dyDescent="0.2">
      <c r="A4" s="2570" t="s">
        <v>1986</v>
      </c>
      <c r="B4" s="2587"/>
      <c r="C4" s="2587"/>
      <c r="D4" s="2587"/>
      <c r="E4" s="2587"/>
      <c r="F4" s="2587"/>
      <c r="G4" s="2587"/>
      <c r="H4" s="2587"/>
      <c r="I4" s="2587"/>
      <c r="J4" s="2587"/>
      <c r="K4" s="2587"/>
      <c r="L4" s="2587"/>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550" t="str">
        <f>COVER!A17</f>
        <v>Streator TWP HSD 40</v>
      </c>
      <c r="B7" s="2551"/>
      <c r="C7" s="2551"/>
      <c r="D7" s="2588"/>
      <c r="E7" s="2589">
        <f>COVER!A13</f>
        <v>35050040017</v>
      </c>
      <c r="F7" s="2590"/>
      <c r="G7" s="2557" t="str">
        <f>COVER!T23</f>
        <v>066-005027</v>
      </c>
      <c r="H7" s="2558"/>
      <c r="I7" s="2558"/>
      <c r="J7" s="2558"/>
      <c r="K7" s="2558"/>
      <c r="L7" s="2559"/>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560"/>
      <c r="B9" s="2561"/>
      <c r="C9" s="2561"/>
      <c r="D9" s="2561"/>
      <c r="E9" s="2561"/>
      <c r="F9" s="2562"/>
      <c r="G9" s="2563" t="str">
        <f>COVER!T13</f>
        <v>Gorenz and Associates, Ltd.</v>
      </c>
      <c r="H9" s="2564"/>
      <c r="I9" s="2564"/>
      <c r="J9" s="2564"/>
      <c r="K9" s="2564"/>
      <c r="L9" s="2565"/>
    </row>
    <row r="10" spans="1:29" ht="13.5" customHeight="1" x14ac:dyDescent="0.2">
      <c r="A10" s="2547" t="str">
        <f>COVER!A38</f>
        <v>Matthew Seaton</v>
      </c>
      <c r="B10" s="2548"/>
      <c r="C10" s="2548"/>
      <c r="D10" s="2548"/>
      <c r="E10" s="2548"/>
      <c r="F10" s="2549"/>
      <c r="G10" s="2563" t="str">
        <f>COVER!T17</f>
        <v>4200 N Knoxville Ave</v>
      </c>
      <c r="H10" s="2576"/>
      <c r="I10" s="2576"/>
      <c r="J10" s="2576"/>
      <c r="K10" s="2576"/>
      <c r="L10" s="2577"/>
    </row>
    <row r="11" spans="1:29" ht="13.5" customHeight="1" x14ac:dyDescent="0.2">
      <c r="A11" s="1181" t="s">
        <v>1519</v>
      </c>
      <c r="B11" s="1182"/>
      <c r="C11" s="1183"/>
      <c r="D11" s="1188"/>
      <c r="E11" s="1183"/>
      <c r="F11" s="1187"/>
      <c r="G11" s="2563" t="str">
        <f>COVER!T19</f>
        <v>Peoria</v>
      </c>
      <c r="H11" s="2576"/>
      <c r="I11" s="2576"/>
      <c r="J11" s="2576"/>
      <c r="K11" s="2576"/>
      <c r="L11" s="2577"/>
    </row>
    <row r="12" spans="1:29" ht="13.5" customHeight="1" x14ac:dyDescent="0.2">
      <c r="A12" s="2581" t="s">
        <v>1518</v>
      </c>
      <c r="B12" s="2582"/>
      <c r="C12" s="2582"/>
      <c r="D12" s="2582"/>
      <c r="E12" s="2582"/>
      <c r="F12" s="2583"/>
      <c r="G12" s="2578"/>
      <c r="H12" s="2579"/>
      <c r="I12" s="2579"/>
      <c r="J12" s="2579"/>
      <c r="K12" s="2579"/>
      <c r="L12" s="2580"/>
    </row>
    <row r="13" spans="1:29" ht="13.5" customHeight="1" x14ac:dyDescent="0.2">
      <c r="A13" s="2563"/>
      <c r="B13" s="2576"/>
      <c r="C13" s="2576"/>
      <c r="D13" s="2576"/>
      <c r="E13" s="2576"/>
      <c r="F13" s="2577"/>
      <c r="G13" s="2571" t="s">
        <v>1520</v>
      </c>
      <c r="H13" s="2572"/>
      <c r="I13" s="2584" t="str">
        <f>COVER!T25</f>
        <v>tcustis@gorenzcpa.com</v>
      </c>
      <c r="J13" s="2585"/>
      <c r="K13" s="2585"/>
      <c r="L13" s="2586"/>
    </row>
    <row r="14" spans="1:29" ht="13.5" customHeight="1" x14ac:dyDescent="0.2">
      <c r="A14" s="2563" t="str">
        <f>COVER!A19</f>
        <v>202 W. Lincoln Street</v>
      </c>
      <c r="B14" s="2576"/>
      <c r="C14" s="2576"/>
      <c r="D14" s="2576"/>
      <c r="E14" s="2576"/>
      <c r="F14" s="2577"/>
      <c r="G14" s="1192" t="s">
        <v>1185</v>
      </c>
      <c r="H14" s="1190"/>
      <c r="I14" s="1190"/>
      <c r="J14" s="1190"/>
      <c r="K14" s="1190"/>
      <c r="L14" s="1191"/>
    </row>
    <row r="15" spans="1:29" ht="13.5" customHeight="1" x14ac:dyDescent="0.2">
      <c r="A15" s="2563" t="str">
        <f>COVER!A21</f>
        <v>Streator, IL</v>
      </c>
      <c r="B15" s="2576"/>
      <c r="C15" s="2576"/>
      <c r="D15" s="2576"/>
      <c r="E15" s="2576"/>
      <c r="F15" s="2577"/>
      <c r="G15" s="2573" t="str">
        <f>COVER!T15</f>
        <v>Tim C. Custis, CPA</v>
      </c>
      <c r="H15" s="2574"/>
      <c r="I15" s="2574"/>
      <c r="J15" s="2574"/>
      <c r="K15" s="2574"/>
      <c r="L15" s="2575"/>
    </row>
    <row r="16" spans="1:29" ht="12.2" customHeight="1" x14ac:dyDescent="0.2">
      <c r="A16" s="2553">
        <f>COVER!A25</f>
        <v>61364</v>
      </c>
      <c r="B16" s="2554"/>
      <c r="C16" s="2554"/>
      <c r="D16" s="2554"/>
      <c r="E16" s="2554"/>
      <c r="F16" s="2555"/>
      <c r="G16" s="2566"/>
      <c r="H16" s="2567"/>
      <c r="I16" s="2567"/>
      <c r="J16" s="2567"/>
      <c r="K16" s="2567"/>
      <c r="L16" s="2568"/>
    </row>
    <row r="17" spans="1:13" ht="12.2" customHeight="1" x14ac:dyDescent="0.2">
      <c r="A17" s="2569"/>
      <c r="B17" s="2554"/>
      <c r="C17" s="2554"/>
      <c r="D17" s="2554"/>
      <c r="E17" s="2554"/>
      <c r="F17" s="2555"/>
      <c r="G17" s="1192" t="s">
        <v>1184</v>
      </c>
      <c r="H17" s="1190"/>
      <c r="I17" s="1190"/>
      <c r="J17" s="1190"/>
      <c r="K17" s="1194" t="s">
        <v>1183</v>
      </c>
      <c r="L17" s="1187"/>
      <c r="M17" s="1180"/>
    </row>
    <row r="18" spans="1:13" ht="12.2" customHeight="1" x14ac:dyDescent="0.2">
      <c r="A18" s="2547"/>
      <c r="B18" s="2548"/>
      <c r="C18" s="2548"/>
      <c r="D18" s="2548"/>
      <c r="E18" s="2548"/>
      <c r="F18" s="2549"/>
      <c r="G18" s="2550" t="str">
        <f>COVER!T21</f>
        <v>309-685-7621</v>
      </c>
      <c r="H18" s="2551"/>
      <c r="I18" s="2551"/>
      <c r="J18" s="2551"/>
      <c r="K18" s="2550" t="str">
        <f>COVER!X21</f>
        <v>309-685-4758</v>
      </c>
      <c r="L18" s="255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2067</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2067</v>
      </c>
      <c r="C26" s="1199" t="s">
        <v>1699</v>
      </c>
    </row>
    <row r="27" spans="1:13" s="1195" customFormat="1" ht="9" customHeight="1" x14ac:dyDescent="0.2">
      <c r="B27" s="1200"/>
      <c r="C27" s="1199"/>
    </row>
    <row r="28" spans="1:13" s="1195" customFormat="1" ht="12.2" customHeight="1" x14ac:dyDescent="0.2">
      <c r="A28" s="1202"/>
      <c r="B28" s="1198" t="s">
        <v>2067</v>
      </c>
      <c r="C28" s="1199" t="s">
        <v>1700</v>
      </c>
    </row>
    <row r="29" spans="1:13" s="1195" customFormat="1" ht="9" customHeight="1" x14ac:dyDescent="0.2">
      <c r="A29" s="1202"/>
      <c r="B29" s="1200"/>
      <c r="C29" s="1199"/>
    </row>
    <row r="30" spans="1:13" s="1195" customFormat="1" ht="12.2" customHeight="1" x14ac:dyDescent="0.2">
      <c r="B30" s="1198" t="s">
        <v>2067</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2067</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2067</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2067</v>
      </c>
      <c r="C38" s="1199" t="s">
        <v>1566</v>
      </c>
    </row>
    <row r="39" spans="1:8" ht="9" customHeight="1" x14ac:dyDescent="0.2">
      <c r="B39" s="1200"/>
      <c r="C39" s="1203"/>
    </row>
    <row r="40" spans="1:8" s="1195" customFormat="1" ht="13.5" customHeight="1" x14ac:dyDescent="0.2">
      <c r="B40" s="1198" t="s">
        <v>2067</v>
      </c>
      <c r="C40" s="1199" t="s">
        <v>1567</v>
      </c>
    </row>
    <row r="41" spans="1:8" ht="9" customHeight="1" x14ac:dyDescent="0.2">
      <c r="A41" s="1204"/>
      <c r="B41" s="1200"/>
      <c r="C41" s="1203"/>
    </row>
    <row r="42" spans="1:8" s="1195" customFormat="1" ht="13.5" customHeight="1" x14ac:dyDescent="0.2">
      <c r="B42" s="1198" t="s">
        <v>2067</v>
      </c>
      <c r="C42" s="1199" t="s">
        <v>1833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t="s">
        <v>2067</v>
      </c>
      <c r="C46" s="1206" t="s">
        <v>1568</v>
      </c>
      <c r="D46" s="1193"/>
      <c r="E46" s="1193"/>
      <c r="F46" s="1193"/>
      <c r="G46" s="1193"/>
      <c r="H46" s="1193"/>
    </row>
    <row r="47" spans="1:8" ht="9" customHeight="1" x14ac:dyDescent="0.2"/>
    <row r="48" spans="1:8" ht="12.2" customHeight="1" x14ac:dyDescent="0.2">
      <c r="B48" s="1931"/>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91" t="str">
        <f>'Single Audit Cover'!A7</f>
        <v>Streator TWP HSD 40</v>
      </c>
      <c r="B1" s="2587"/>
      <c r="C1" s="2587"/>
      <c r="D1" s="2587"/>
    </row>
    <row r="2" spans="1:11" s="1209" customFormat="1" ht="12.75" x14ac:dyDescent="0.2">
      <c r="A2" s="2592">
        <f>'Single Audit Cover'!E7</f>
        <v>35050040017</v>
      </c>
      <c r="B2" s="2593"/>
      <c r="C2" s="2593"/>
      <c r="D2" s="2593"/>
    </row>
    <row r="3" spans="1:11" s="1209" customFormat="1" ht="12.75" x14ac:dyDescent="0.2">
      <c r="A3" s="2591" t="s">
        <v>1513</v>
      </c>
      <c r="B3" s="2587"/>
      <c r="C3" s="2587"/>
      <c r="D3" s="2587"/>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1834</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95" t="str">
        <f>'Single Audit Cover'!A7</f>
        <v>Streator TWP HSD 40</v>
      </c>
      <c r="B1" s="2595"/>
      <c r="C1" s="2595"/>
      <c r="D1" s="2595"/>
      <c r="E1" s="2595"/>
    </row>
    <row r="2" spans="1:5" x14ac:dyDescent="0.2">
      <c r="A2" s="2596">
        <f>'Single Audit Cover'!E7</f>
        <v>35050040017</v>
      </c>
      <c r="B2" s="2596"/>
      <c r="C2" s="2596"/>
      <c r="D2" s="2596"/>
      <c r="E2" s="2596"/>
    </row>
    <row r="3" spans="1:5" ht="4.5" customHeight="1" x14ac:dyDescent="0.2"/>
    <row r="4" spans="1:5" x14ac:dyDescent="0.2">
      <c r="A4" s="2595" t="s">
        <v>1245</v>
      </c>
      <c r="B4" s="2595"/>
      <c r="C4" s="2595"/>
      <c r="D4" s="2595"/>
      <c r="E4" s="2595"/>
    </row>
    <row r="5" spans="1:5" x14ac:dyDescent="0.2">
      <c r="A5" s="2598" t="str">
        <f>'Single Audit Cover'!A4</f>
        <v>Year Ending June 30, 2019</v>
      </c>
      <c r="B5" s="2598"/>
      <c r="C5" s="2598"/>
      <c r="D5" s="2598"/>
      <c r="E5" s="2598"/>
    </row>
    <row r="6" spans="1:5" x14ac:dyDescent="0.2">
      <c r="A6" s="2595" t="s">
        <v>1244</v>
      </c>
      <c r="B6" s="2595"/>
      <c r="C6" s="2595"/>
      <c r="D6" s="2595"/>
      <c r="E6" s="2595"/>
    </row>
    <row r="8" spans="1:5" x14ac:dyDescent="0.2">
      <c r="A8" s="1254" t="s">
        <v>1243</v>
      </c>
    </row>
    <row r="10" spans="1:5" x14ac:dyDescent="0.2">
      <c r="A10" s="1255" t="s">
        <v>1242</v>
      </c>
      <c r="B10" s="1256" t="s">
        <v>1241</v>
      </c>
      <c r="C10" s="1256"/>
      <c r="D10" s="1257">
        <f>SUM('Acct Summary 7-8'!C7:K7)</f>
        <v>1191857</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35920</v>
      </c>
    </row>
    <row r="15" spans="1:5" x14ac:dyDescent="0.2">
      <c r="A15" s="1255"/>
      <c r="B15" s="1256"/>
      <c r="C15" s="1256"/>
    </row>
    <row r="16" spans="1:5" x14ac:dyDescent="0.2">
      <c r="A16" s="1255" t="s">
        <v>1841</v>
      </c>
      <c r="B16" s="1256"/>
      <c r="C16" s="1256"/>
    </row>
    <row r="17" spans="1:4" x14ac:dyDescent="0.2">
      <c r="A17" s="1255" t="s">
        <v>2058</v>
      </c>
      <c r="B17" s="1256" t="s">
        <v>1236</v>
      </c>
      <c r="C17" s="1256"/>
      <c r="D17" s="1258">
        <f>-SUM('Revenues 9-14'!C264:D264,'Revenues 9-14'!F264:G264)</f>
        <v>-52391</v>
      </c>
    </row>
    <row r="19" spans="1:4" ht="13.5" thickBot="1" x14ac:dyDescent="0.25">
      <c r="A19" s="1259" t="s">
        <v>1235</v>
      </c>
      <c r="D19" s="1260">
        <f>SUM(D10:D17)</f>
        <v>1175386</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97"/>
      <c r="B24" s="2597"/>
      <c r="D24" s="1262"/>
    </row>
    <row r="25" spans="1:4" x14ac:dyDescent="0.2">
      <c r="A25" s="2594"/>
      <c r="B25" s="2594"/>
      <c r="D25" s="1262"/>
    </row>
    <row r="26" spans="1:4" x14ac:dyDescent="0.2">
      <c r="A26" s="2594"/>
      <c r="B26" s="2594"/>
      <c r="D26" s="1262"/>
    </row>
    <row r="27" spans="1:4" x14ac:dyDescent="0.2">
      <c r="A27" s="2594"/>
      <c r="B27" s="2594"/>
      <c r="D27" s="1262"/>
    </row>
    <row r="28" spans="1:4" x14ac:dyDescent="0.2">
      <c r="A28" s="2594"/>
      <c r="B28" s="2594"/>
      <c r="D28" s="1262"/>
    </row>
    <row r="29" spans="1:4" x14ac:dyDescent="0.2">
      <c r="A29" s="2594"/>
      <c r="B29" s="2594"/>
      <c r="D29" s="1262"/>
    </row>
    <row r="30" spans="1:4" x14ac:dyDescent="0.2">
      <c r="A30" s="2594"/>
      <c r="B30" s="2594"/>
      <c r="D30" s="1262"/>
    </row>
    <row r="32" spans="1:4" x14ac:dyDescent="0.2">
      <c r="A32" s="1254" t="s">
        <v>1233</v>
      </c>
      <c r="D32" s="1257">
        <f>SUM(D19:D30)</f>
        <v>1175386</v>
      </c>
    </row>
    <row r="33" spans="1:4" x14ac:dyDescent="0.2">
      <c r="D33" s="1263"/>
    </row>
    <row r="34" spans="1:4" x14ac:dyDescent="0.2">
      <c r="A34" s="317" t="s">
        <v>1232</v>
      </c>
    </row>
    <row r="35" spans="1:4" x14ac:dyDescent="0.2">
      <c r="A35" s="317" t="s">
        <v>1231</v>
      </c>
      <c r="B35" s="1252" t="s">
        <v>1230</v>
      </c>
      <c r="D35" s="1264">
        <v>1216253</v>
      </c>
    </row>
    <row r="37" spans="1:4" x14ac:dyDescent="0.2">
      <c r="A37" s="1254" t="s">
        <v>1229</v>
      </c>
    </row>
    <row r="39" spans="1:4" ht="13.35" customHeight="1" x14ac:dyDescent="0.2">
      <c r="A39" s="1261" t="s">
        <v>1228</v>
      </c>
    </row>
    <row r="40" spans="1:4" x14ac:dyDescent="0.2">
      <c r="A40" s="2594"/>
      <c r="B40" s="2594"/>
      <c r="D40" s="1262"/>
    </row>
    <row r="41" spans="1:4" x14ac:dyDescent="0.2">
      <c r="A41" s="2594"/>
      <c r="B41" s="2594"/>
      <c r="D41" s="1265"/>
    </row>
    <row r="42" spans="1:4" x14ac:dyDescent="0.2">
      <c r="A42" s="2594"/>
      <c r="B42" s="2594"/>
      <c r="D42" s="1265"/>
    </row>
    <row r="43" spans="1:4" x14ac:dyDescent="0.2">
      <c r="A43" s="2594"/>
      <c r="B43" s="2594"/>
      <c r="D43" s="1265"/>
    </row>
    <row r="44" spans="1:4" x14ac:dyDescent="0.2">
      <c r="A44" s="2594"/>
      <c r="B44" s="2594"/>
      <c r="D44" s="1265"/>
    </row>
    <row r="45" spans="1:4" x14ac:dyDescent="0.2">
      <c r="A45" s="2594"/>
      <c r="B45" s="2594"/>
      <c r="D45" s="1265"/>
    </row>
    <row r="47" spans="1:4" x14ac:dyDescent="0.2">
      <c r="B47" s="1266" t="s">
        <v>1227</v>
      </c>
      <c r="C47" s="1266"/>
      <c r="D47" s="1267">
        <f>SUM(D35:D45)</f>
        <v>1216253</v>
      </c>
    </row>
    <row r="49" spans="2:4" x14ac:dyDescent="0.2">
      <c r="B49" s="1266" t="s">
        <v>1226</v>
      </c>
      <c r="C49" s="1266"/>
      <c r="D49" s="1267">
        <f>D32-D47</f>
        <v>-40867</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56" t="str">
        <f>'Single Audit Cover'!A7</f>
        <v>Streator TWP HSD 40</v>
      </c>
      <c r="C1" s="2599"/>
      <c r="D1" s="2599"/>
      <c r="E1" s="2599"/>
      <c r="F1" s="2599"/>
      <c r="G1" s="2599"/>
      <c r="H1" s="2599"/>
      <c r="I1" s="2599"/>
      <c r="J1" s="2599"/>
      <c r="K1" s="2599"/>
      <c r="L1" s="2599"/>
      <c r="M1" s="2599"/>
    </row>
    <row r="2" spans="2:14" ht="15" x14ac:dyDescent="0.2">
      <c r="B2" s="2600">
        <f>'Single Audit Cover'!E7</f>
        <v>35050040017</v>
      </c>
      <c r="C2" s="2600"/>
      <c r="D2" s="2600"/>
      <c r="E2" s="2600"/>
      <c r="F2" s="2600"/>
      <c r="G2" s="2600"/>
      <c r="H2" s="2600"/>
      <c r="I2" s="2600"/>
      <c r="J2" s="2600"/>
      <c r="K2" s="2600"/>
      <c r="L2" s="2600"/>
      <c r="M2" s="2600"/>
      <c r="N2" s="1296"/>
    </row>
    <row r="3" spans="2:14" ht="15" x14ac:dyDescent="0.2">
      <c r="B3" s="2601" t="s">
        <v>1219</v>
      </c>
      <c r="C3" s="2601"/>
      <c r="D3" s="2601"/>
      <c r="E3" s="2601"/>
      <c r="F3" s="2601"/>
      <c r="G3" s="2601"/>
      <c r="H3" s="2601"/>
      <c r="I3" s="2601"/>
      <c r="J3" s="2601"/>
      <c r="K3" s="2601"/>
      <c r="L3" s="2601"/>
      <c r="M3" s="2601"/>
      <c r="N3" s="1296"/>
    </row>
    <row r="4" spans="2:14" ht="15" x14ac:dyDescent="0.2">
      <c r="B4" s="2602" t="str">
        <f>'Single Audit Cover'!A4</f>
        <v>Year Ending June 30, 2019</v>
      </c>
      <c r="C4" s="2602"/>
      <c r="D4" s="2602"/>
      <c r="E4" s="2602"/>
      <c r="F4" s="2602"/>
      <c r="G4" s="2602"/>
      <c r="H4" s="2602"/>
      <c r="I4" s="2602"/>
      <c r="J4" s="2602"/>
      <c r="K4" s="2602"/>
      <c r="L4" s="2602"/>
      <c r="M4" s="2602"/>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1836</v>
      </c>
      <c r="I8" s="1313" t="s">
        <v>1262</v>
      </c>
      <c r="J8" s="1312" t="s">
        <v>1987</v>
      </c>
      <c r="K8" s="1313" t="s">
        <v>1261</v>
      </c>
      <c r="L8" s="1314" t="s">
        <v>1257</v>
      </c>
      <c r="M8" s="1315" t="s">
        <v>30</v>
      </c>
    </row>
    <row r="9" spans="2:14" ht="14.25" x14ac:dyDescent="0.2">
      <c r="B9" s="1319" t="s">
        <v>1259</v>
      </c>
      <c r="C9" s="1307" t="s">
        <v>1732</v>
      </c>
      <c r="D9" s="1308" t="s">
        <v>1733</v>
      </c>
      <c r="E9" s="1316" t="s">
        <v>1836</v>
      </c>
      <c r="F9" s="1317" t="s">
        <v>1987</v>
      </c>
      <c r="G9" s="1318" t="s">
        <v>1836</v>
      </c>
      <c r="H9" s="1311" t="s">
        <v>1582</v>
      </c>
      <c r="I9" s="1313" t="s">
        <v>1987</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2068</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1837</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U101"/>
  <sheetViews>
    <sheetView showGridLines="0" zoomScaleNormal="100" zoomScaleSheetLayoutView="100" workbookViewId="0">
      <selection sqref="A1:S1"/>
    </sheetView>
  </sheetViews>
  <sheetFormatPr defaultColWidth="16.5703125" defaultRowHeight="12.75" x14ac:dyDescent="0.2"/>
  <cols>
    <col min="1" max="1" width="6.42578125" style="1965" customWidth="1"/>
    <col min="2" max="2" width="39.42578125" style="1940" customWidth="1"/>
    <col min="3" max="3" width="9.7109375" style="1940" customWidth="1"/>
    <col min="4" max="4" width="1.7109375" style="1940" customWidth="1"/>
    <col min="5" max="5" width="11.85546875" style="1940" customWidth="1"/>
    <col min="6" max="6" width="5.140625" style="2036" customWidth="1"/>
    <col min="7" max="7" width="13.140625" style="1940" customWidth="1"/>
    <col min="8" max="8" width="1.7109375" style="1940" customWidth="1"/>
    <col min="9" max="9" width="12" style="1940" customWidth="1"/>
    <col min="10" max="10" width="3.85546875" style="2036" customWidth="1"/>
    <col min="11" max="11" width="12.140625" style="1940" customWidth="1"/>
    <col min="12" max="12" width="1.7109375" style="1940" customWidth="1"/>
    <col min="13" max="13" width="12" style="1940" customWidth="1"/>
    <col min="14" max="14" width="1.7109375" style="1940" customWidth="1"/>
    <col min="15" max="15" width="10.85546875" style="1940" customWidth="1"/>
    <col min="16" max="16" width="4.5703125" style="2036" customWidth="1"/>
    <col min="17" max="17" width="13.140625" style="1940" customWidth="1"/>
    <col min="18" max="18" width="1.7109375" style="1940" customWidth="1"/>
    <col min="19" max="19" width="12.42578125" style="1940" customWidth="1"/>
    <col min="20" max="243" width="16.5703125" style="1940"/>
    <col min="244" max="244" width="6.42578125" style="1940" customWidth="1"/>
    <col min="245" max="245" width="39.42578125" style="1940" customWidth="1"/>
    <col min="246" max="246" width="9.7109375" style="1940" customWidth="1"/>
    <col min="247" max="247" width="1.7109375" style="1940" customWidth="1"/>
    <col min="248" max="248" width="11.85546875" style="1940" customWidth="1"/>
    <col min="249" max="249" width="5.140625" style="1940" customWidth="1"/>
    <col min="250" max="250" width="13.140625" style="1940" customWidth="1"/>
    <col min="251" max="251" width="1.7109375" style="1940" customWidth="1"/>
    <col min="252" max="252" width="12" style="1940" customWidth="1"/>
    <col min="253" max="253" width="3.85546875" style="1940" customWidth="1"/>
    <col min="254" max="254" width="12.140625" style="1940" customWidth="1"/>
    <col min="255" max="255" width="1.7109375" style="1940" customWidth="1"/>
    <col min="256" max="256" width="12" style="1940" customWidth="1"/>
    <col min="257" max="257" width="1.7109375" style="1940" customWidth="1"/>
    <col min="258" max="258" width="10.85546875" style="1940" customWidth="1"/>
    <col min="259" max="259" width="4.5703125" style="1940" customWidth="1"/>
    <col min="260" max="260" width="13.140625" style="1940" customWidth="1"/>
    <col min="261" max="261" width="1.7109375" style="1940" customWidth="1"/>
    <col min="262" max="264" width="12.42578125" style="1940" customWidth="1"/>
    <col min="265" max="265" width="15.28515625" style="1940" customWidth="1"/>
    <col min="266" max="266" width="15.42578125" style="1940" customWidth="1"/>
    <col min="267" max="267" width="14.140625" style="1940" customWidth="1"/>
    <col min="268" max="268" width="15.42578125" style="1940" bestFit="1" customWidth="1"/>
    <col min="269" max="499" width="16.5703125" style="1940"/>
    <col min="500" max="500" width="6.42578125" style="1940" customWidth="1"/>
    <col min="501" max="501" width="39.42578125" style="1940" customWidth="1"/>
    <col min="502" max="502" width="9.7109375" style="1940" customWidth="1"/>
    <col min="503" max="503" width="1.7109375" style="1940" customWidth="1"/>
    <col min="504" max="504" width="11.85546875" style="1940" customWidth="1"/>
    <col min="505" max="505" width="5.140625" style="1940" customWidth="1"/>
    <col min="506" max="506" width="13.140625" style="1940" customWidth="1"/>
    <col min="507" max="507" width="1.7109375" style="1940" customWidth="1"/>
    <col min="508" max="508" width="12" style="1940" customWidth="1"/>
    <col min="509" max="509" width="3.85546875" style="1940" customWidth="1"/>
    <col min="510" max="510" width="12.140625" style="1940" customWidth="1"/>
    <col min="511" max="511" width="1.7109375" style="1940" customWidth="1"/>
    <col min="512" max="512" width="12" style="1940" customWidth="1"/>
    <col min="513" max="513" width="1.7109375" style="1940" customWidth="1"/>
    <col min="514" max="514" width="10.85546875" style="1940" customWidth="1"/>
    <col min="515" max="515" width="4.5703125" style="1940" customWidth="1"/>
    <col min="516" max="516" width="13.140625" style="1940" customWidth="1"/>
    <col min="517" max="517" width="1.7109375" style="1940" customWidth="1"/>
    <col min="518" max="520" width="12.42578125" style="1940" customWidth="1"/>
    <col min="521" max="521" width="15.28515625" style="1940" customWidth="1"/>
    <col min="522" max="522" width="15.42578125" style="1940" customWidth="1"/>
    <col min="523" max="523" width="14.140625" style="1940" customWidth="1"/>
    <col min="524" max="524" width="15.42578125" style="1940" bestFit="1" customWidth="1"/>
    <col min="525" max="755" width="16.5703125" style="1940"/>
    <col min="756" max="756" width="6.42578125" style="1940" customWidth="1"/>
    <col min="757" max="757" width="39.42578125" style="1940" customWidth="1"/>
    <col min="758" max="758" width="9.7109375" style="1940" customWidth="1"/>
    <col min="759" max="759" width="1.7109375" style="1940" customWidth="1"/>
    <col min="760" max="760" width="11.85546875" style="1940" customWidth="1"/>
    <col min="761" max="761" width="5.140625" style="1940" customWidth="1"/>
    <col min="762" max="762" width="13.140625" style="1940" customWidth="1"/>
    <col min="763" max="763" width="1.7109375" style="1940" customWidth="1"/>
    <col min="764" max="764" width="12" style="1940" customWidth="1"/>
    <col min="765" max="765" width="3.85546875" style="1940" customWidth="1"/>
    <col min="766" max="766" width="12.140625" style="1940" customWidth="1"/>
    <col min="767" max="767" width="1.7109375" style="1940" customWidth="1"/>
    <col min="768" max="768" width="12" style="1940" customWidth="1"/>
    <col min="769" max="769" width="1.7109375" style="1940" customWidth="1"/>
    <col min="770" max="770" width="10.85546875" style="1940" customWidth="1"/>
    <col min="771" max="771" width="4.5703125" style="1940" customWidth="1"/>
    <col min="772" max="772" width="13.140625" style="1940" customWidth="1"/>
    <col min="773" max="773" width="1.7109375" style="1940" customWidth="1"/>
    <col min="774" max="776" width="12.42578125" style="1940" customWidth="1"/>
    <col min="777" max="777" width="15.28515625" style="1940" customWidth="1"/>
    <col min="778" max="778" width="15.42578125" style="1940" customWidth="1"/>
    <col min="779" max="779" width="14.140625" style="1940" customWidth="1"/>
    <col min="780" max="780" width="15.42578125" style="1940" bestFit="1" customWidth="1"/>
    <col min="781" max="1011" width="16.5703125" style="1940"/>
    <col min="1012" max="1012" width="6.42578125" style="1940" customWidth="1"/>
    <col min="1013" max="1013" width="39.42578125" style="1940" customWidth="1"/>
    <col min="1014" max="1014" width="9.7109375" style="1940" customWidth="1"/>
    <col min="1015" max="1015" width="1.7109375" style="1940" customWidth="1"/>
    <col min="1016" max="1016" width="11.85546875" style="1940" customWidth="1"/>
    <col min="1017" max="1017" width="5.140625" style="1940" customWidth="1"/>
    <col min="1018" max="1018" width="13.140625" style="1940" customWidth="1"/>
    <col min="1019" max="1019" width="1.7109375" style="1940" customWidth="1"/>
    <col min="1020" max="1020" width="12" style="1940" customWidth="1"/>
    <col min="1021" max="1021" width="3.85546875" style="1940" customWidth="1"/>
    <col min="1022" max="1022" width="12.140625" style="1940" customWidth="1"/>
    <col min="1023" max="1023" width="1.7109375" style="1940" customWidth="1"/>
    <col min="1024" max="1024" width="12" style="1940" customWidth="1"/>
    <col min="1025" max="1025" width="1.7109375" style="1940" customWidth="1"/>
    <col min="1026" max="1026" width="10.85546875" style="1940" customWidth="1"/>
    <col min="1027" max="1027" width="4.5703125" style="1940" customWidth="1"/>
    <col min="1028" max="1028" width="13.140625" style="1940" customWidth="1"/>
    <col min="1029" max="1029" width="1.7109375" style="1940" customWidth="1"/>
    <col min="1030" max="1032" width="12.42578125" style="1940" customWidth="1"/>
    <col min="1033" max="1033" width="15.28515625" style="1940" customWidth="1"/>
    <col min="1034" max="1034" width="15.42578125" style="1940" customWidth="1"/>
    <col min="1035" max="1035" width="14.140625" style="1940" customWidth="1"/>
    <col min="1036" max="1036" width="15.42578125" style="1940" bestFit="1" customWidth="1"/>
    <col min="1037" max="1267" width="16.5703125" style="1940"/>
    <col min="1268" max="1268" width="6.42578125" style="1940" customWidth="1"/>
    <col min="1269" max="1269" width="39.42578125" style="1940" customWidth="1"/>
    <col min="1270" max="1270" width="9.7109375" style="1940" customWidth="1"/>
    <col min="1271" max="1271" width="1.7109375" style="1940" customWidth="1"/>
    <col min="1272" max="1272" width="11.85546875" style="1940" customWidth="1"/>
    <col min="1273" max="1273" width="5.140625" style="1940" customWidth="1"/>
    <col min="1274" max="1274" width="13.140625" style="1940" customWidth="1"/>
    <col min="1275" max="1275" width="1.7109375" style="1940" customWidth="1"/>
    <col min="1276" max="1276" width="12" style="1940" customWidth="1"/>
    <col min="1277" max="1277" width="3.85546875" style="1940" customWidth="1"/>
    <col min="1278" max="1278" width="12.140625" style="1940" customWidth="1"/>
    <col min="1279" max="1279" width="1.7109375" style="1940" customWidth="1"/>
    <col min="1280" max="1280" width="12" style="1940" customWidth="1"/>
    <col min="1281" max="1281" width="1.7109375" style="1940" customWidth="1"/>
    <col min="1282" max="1282" width="10.85546875" style="1940" customWidth="1"/>
    <col min="1283" max="1283" width="4.5703125" style="1940" customWidth="1"/>
    <col min="1284" max="1284" width="13.140625" style="1940" customWidth="1"/>
    <col min="1285" max="1285" width="1.7109375" style="1940" customWidth="1"/>
    <col min="1286" max="1288" width="12.42578125" style="1940" customWidth="1"/>
    <col min="1289" max="1289" width="15.28515625" style="1940" customWidth="1"/>
    <col min="1290" max="1290" width="15.42578125" style="1940" customWidth="1"/>
    <col min="1291" max="1291" width="14.140625" style="1940" customWidth="1"/>
    <col min="1292" max="1292" width="15.42578125" style="1940" bestFit="1" customWidth="1"/>
    <col min="1293" max="1523" width="16.5703125" style="1940"/>
    <col min="1524" max="1524" width="6.42578125" style="1940" customWidth="1"/>
    <col min="1525" max="1525" width="39.42578125" style="1940" customWidth="1"/>
    <col min="1526" max="1526" width="9.7109375" style="1940" customWidth="1"/>
    <col min="1527" max="1527" width="1.7109375" style="1940" customWidth="1"/>
    <col min="1528" max="1528" width="11.85546875" style="1940" customWidth="1"/>
    <col min="1529" max="1529" width="5.140625" style="1940" customWidth="1"/>
    <col min="1530" max="1530" width="13.140625" style="1940" customWidth="1"/>
    <col min="1531" max="1531" width="1.7109375" style="1940" customWidth="1"/>
    <col min="1532" max="1532" width="12" style="1940" customWidth="1"/>
    <col min="1533" max="1533" width="3.85546875" style="1940" customWidth="1"/>
    <col min="1534" max="1534" width="12.140625" style="1940" customWidth="1"/>
    <col min="1535" max="1535" width="1.7109375" style="1940" customWidth="1"/>
    <col min="1536" max="1536" width="12" style="1940" customWidth="1"/>
    <col min="1537" max="1537" width="1.7109375" style="1940" customWidth="1"/>
    <col min="1538" max="1538" width="10.85546875" style="1940" customWidth="1"/>
    <col min="1539" max="1539" width="4.5703125" style="1940" customWidth="1"/>
    <col min="1540" max="1540" width="13.140625" style="1940" customWidth="1"/>
    <col min="1541" max="1541" width="1.7109375" style="1940" customWidth="1"/>
    <col min="1542" max="1544" width="12.42578125" style="1940" customWidth="1"/>
    <col min="1545" max="1545" width="15.28515625" style="1940" customWidth="1"/>
    <col min="1546" max="1546" width="15.42578125" style="1940" customWidth="1"/>
    <col min="1547" max="1547" width="14.140625" style="1940" customWidth="1"/>
    <col min="1548" max="1548" width="15.42578125" style="1940" bestFit="1" customWidth="1"/>
    <col min="1549" max="1779" width="16.5703125" style="1940"/>
    <col min="1780" max="1780" width="6.42578125" style="1940" customWidth="1"/>
    <col min="1781" max="1781" width="39.42578125" style="1940" customWidth="1"/>
    <col min="1782" max="1782" width="9.7109375" style="1940" customWidth="1"/>
    <col min="1783" max="1783" width="1.7109375" style="1940" customWidth="1"/>
    <col min="1784" max="1784" width="11.85546875" style="1940" customWidth="1"/>
    <col min="1785" max="1785" width="5.140625" style="1940" customWidth="1"/>
    <col min="1786" max="1786" width="13.140625" style="1940" customWidth="1"/>
    <col min="1787" max="1787" width="1.7109375" style="1940" customWidth="1"/>
    <col min="1788" max="1788" width="12" style="1940" customWidth="1"/>
    <col min="1789" max="1789" width="3.85546875" style="1940" customWidth="1"/>
    <col min="1790" max="1790" width="12.140625" style="1940" customWidth="1"/>
    <col min="1791" max="1791" width="1.7109375" style="1940" customWidth="1"/>
    <col min="1792" max="1792" width="12" style="1940" customWidth="1"/>
    <col min="1793" max="1793" width="1.7109375" style="1940" customWidth="1"/>
    <col min="1794" max="1794" width="10.85546875" style="1940" customWidth="1"/>
    <col min="1795" max="1795" width="4.5703125" style="1940" customWidth="1"/>
    <col min="1796" max="1796" width="13.140625" style="1940" customWidth="1"/>
    <col min="1797" max="1797" width="1.7109375" style="1940" customWidth="1"/>
    <col min="1798" max="1800" width="12.42578125" style="1940" customWidth="1"/>
    <col min="1801" max="1801" width="15.28515625" style="1940" customWidth="1"/>
    <col min="1802" max="1802" width="15.42578125" style="1940" customWidth="1"/>
    <col min="1803" max="1803" width="14.140625" style="1940" customWidth="1"/>
    <col min="1804" max="1804" width="15.42578125" style="1940" bestFit="1" customWidth="1"/>
    <col min="1805" max="2035" width="16.5703125" style="1940"/>
    <col min="2036" max="2036" width="6.42578125" style="1940" customWidth="1"/>
    <col min="2037" max="2037" width="39.42578125" style="1940" customWidth="1"/>
    <col min="2038" max="2038" width="9.7109375" style="1940" customWidth="1"/>
    <col min="2039" max="2039" width="1.7109375" style="1940" customWidth="1"/>
    <col min="2040" max="2040" width="11.85546875" style="1940" customWidth="1"/>
    <col min="2041" max="2041" width="5.140625" style="1940" customWidth="1"/>
    <col min="2042" max="2042" width="13.140625" style="1940" customWidth="1"/>
    <col min="2043" max="2043" width="1.7109375" style="1940" customWidth="1"/>
    <col min="2044" max="2044" width="12" style="1940" customWidth="1"/>
    <col min="2045" max="2045" width="3.85546875" style="1940" customWidth="1"/>
    <col min="2046" max="2046" width="12.140625" style="1940" customWidth="1"/>
    <col min="2047" max="2047" width="1.7109375" style="1940" customWidth="1"/>
    <col min="2048" max="2048" width="12" style="1940" customWidth="1"/>
    <col min="2049" max="2049" width="1.7109375" style="1940" customWidth="1"/>
    <col min="2050" max="2050" width="10.85546875" style="1940" customWidth="1"/>
    <col min="2051" max="2051" width="4.5703125" style="1940" customWidth="1"/>
    <col min="2052" max="2052" width="13.140625" style="1940" customWidth="1"/>
    <col min="2053" max="2053" width="1.7109375" style="1940" customWidth="1"/>
    <col min="2054" max="2056" width="12.42578125" style="1940" customWidth="1"/>
    <col min="2057" max="2057" width="15.28515625" style="1940" customWidth="1"/>
    <col min="2058" max="2058" width="15.42578125" style="1940" customWidth="1"/>
    <col min="2059" max="2059" width="14.140625" style="1940" customWidth="1"/>
    <col min="2060" max="2060" width="15.42578125" style="1940" bestFit="1" customWidth="1"/>
    <col min="2061" max="2291" width="16.5703125" style="1940"/>
    <col min="2292" max="2292" width="6.42578125" style="1940" customWidth="1"/>
    <col min="2293" max="2293" width="39.42578125" style="1940" customWidth="1"/>
    <col min="2294" max="2294" width="9.7109375" style="1940" customWidth="1"/>
    <col min="2295" max="2295" width="1.7109375" style="1940" customWidth="1"/>
    <col min="2296" max="2296" width="11.85546875" style="1940" customWidth="1"/>
    <col min="2297" max="2297" width="5.140625" style="1940" customWidth="1"/>
    <col min="2298" max="2298" width="13.140625" style="1940" customWidth="1"/>
    <col min="2299" max="2299" width="1.7109375" style="1940" customWidth="1"/>
    <col min="2300" max="2300" width="12" style="1940" customWidth="1"/>
    <col min="2301" max="2301" width="3.85546875" style="1940" customWidth="1"/>
    <col min="2302" max="2302" width="12.140625" style="1940" customWidth="1"/>
    <col min="2303" max="2303" width="1.7109375" style="1940" customWidth="1"/>
    <col min="2304" max="2304" width="12" style="1940" customWidth="1"/>
    <col min="2305" max="2305" width="1.7109375" style="1940" customWidth="1"/>
    <col min="2306" max="2306" width="10.85546875" style="1940" customWidth="1"/>
    <col min="2307" max="2307" width="4.5703125" style="1940" customWidth="1"/>
    <col min="2308" max="2308" width="13.140625" style="1940" customWidth="1"/>
    <col min="2309" max="2309" width="1.7109375" style="1940" customWidth="1"/>
    <col min="2310" max="2312" width="12.42578125" style="1940" customWidth="1"/>
    <col min="2313" max="2313" width="15.28515625" style="1940" customWidth="1"/>
    <col min="2314" max="2314" width="15.42578125" style="1940" customWidth="1"/>
    <col min="2315" max="2315" width="14.140625" style="1940" customWidth="1"/>
    <col min="2316" max="2316" width="15.42578125" style="1940" bestFit="1" customWidth="1"/>
    <col min="2317" max="2547" width="16.5703125" style="1940"/>
    <col min="2548" max="2548" width="6.42578125" style="1940" customWidth="1"/>
    <col min="2549" max="2549" width="39.42578125" style="1940" customWidth="1"/>
    <col min="2550" max="2550" width="9.7109375" style="1940" customWidth="1"/>
    <col min="2551" max="2551" width="1.7109375" style="1940" customWidth="1"/>
    <col min="2552" max="2552" width="11.85546875" style="1940" customWidth="1"/>
    <col min="2553" max="2553" width="5.140625" style="1940" customWidth="1"/>
    <col min="2554" max="2554" width="13.140625" style="1940" customWidth="1"/>
    <col min="2555" max="2555" width="1.7109375" style="1940" customWidth="1"/>
    <col min="2556" max="2556" width="12" style="1940" customWidth="1"/>
    <col min="2557" max="2557" width="3.85546875" style="1940" customWidth="1"/>
    <col min="2558" max="2558" width="12.140625" style="1940" customWidth="1"/>
    <col min="2559" max="2559" width="1.7109375" style="1940" customWidth="1"/>
    <col min="2560" max="2560" width="12" style="1940" customWidth="1"/>
    <col min="2561" max="2561" width="1.7109375" style="1940" customWidth="1"/>
    <col min="2562" max="2562" width="10.85546875" style="1940" customWidth="1"/>
    <col min="2563" max="2563" width="4.5703125" style="1940" customWidth="1"/>
    <col min="2564" max="2564" width="13.140625" style="1940" customWidth="1"/>
    <col min="2565" max="2565" width="1.7109375" style="1940" customWidth="1"/>
    <col min="2566" max="2568" width="12.42578125" style="1940" customWidth="1"/>
    <col min="2569" max="2569" width="15.28515625" style="1940" customWidth="1"/>
    <col min="2570" max="2570" width="15.42578125" style="1940" customWidth="1"/>
    <col min="2571" max="2571" width="14.140625" style="1940" customWidth="1"/>
    <col min="2572" max="2572" width="15.42578125" style="1940" bestFit="1" customWidth="1"/>
    <col min="2573" max="2803" width="16.5703125" style="1940"/>
    <col min="2804" max="2804" width="6.42578125" style="1940" customWidth="1"/>
    <col min="2805" max="2805" width="39.42578125" style="1940" customWidth="1"/>
    <col min="2806" max="2806" width="9.7109375" style="1940" customWidth="1"/>
    <col min="2807" max="2807" width="1.7109375" style="1940" customWidth="1"/>
    <col min="2808" max="2808" width="11.85546875" style="1940" customWidth="1"/>
    <col min="2809" max="2809" width="5.140625" style="1940" customWidth="1"/>
    <col min="2810" max="2810" width="13.140625" style="1940" customWidth="1"/>
    <col min="2811" max="2811" width="1.7109375" style="1940" customWidth="1"/>
    <col min="2812" max="2812" width="12" style="1940" customWidth="1"/>
    <col min="2813" max="2813" width="3.85546875" style="1940" customWidth="1"/>
    <col min="2814" max="2814" width="12.140625" style="1940" customWidth="1"/>
    <col min="2815" max="2815" width="1.7109375" style="1940" customWidth="1"/>
    <col min="2816" max="2816" width="12" style="1940" customWidth="1"/>
    <col min="2817" max="2817" width="1.7109375" style="1940" customWidth="1"/>
    <col min="2818" max="2818" width="10.85546875" style="1940" customWidth="1"/>
    <col min="2819" max="2819" width="4.5703125" style="1940" customWidth="1"/>
    <col min="2820" max="2820" width="13.140625" style="1940" customWidth="1"/>
    <col min="2821" max="2821" width="1.7109375" style="1940" customWidth="1"/>
    <col min="2822" max="2824" width="12.42578125" style="1940" customWidth="1"/>
    <col min="2825" max="2825" width="15.28515625" style="1940" customWidth="1"/>
    <col min="2826" max="2826" width="15.42578125" style="1940" customWidth="1"/>
    <col min="2827" max="2827" width="14.140625" style="1940" customWidth="1"/>
    <col min="2828" max="2828" width="15.42578125" style="1940" bestFit="1" customWidth="1"/>
    <col min="2829" max="3059" width="16.5703125" style="1940"/>
    <col min="3060" max="3060" width="6.42578125" style="1940" customWidth="1"/>
    <col min="3061" max="3061" width="39.42578125" style="1940" customWidth="1"/>
    <col min="3062" max="3062" width="9.7109375" style="1940" customWidth="1"/>
    <col min="3063" max="3063" width="1.7109375" style="1940" customWidth="1"/>
    <col min="3064" max="3064" width="11.85546875" style="1940" customWidth="1"/>
    <col min="3065" max="3065" width="5.140625" style="1940" customWidth="1"/>
    <col min="3066" max="3066" width="13.140625" style="1940" customWidth="1"/>
    <col min="3067" max="3067" width="1.7109375" style="1940" customWidth="1"/>
    <col min="3068" max="3068" width="12" style="1940" customWidth="1"/>
    <col min="3069" max="3069" width="3.85546875" style="1940" customWidth="1"/>
    <col min="3070" max="3070" width="12.140625" style="1940" customWidth="1"/>
    <col min="3071" max="3071" width="1.7109375" style="1940" customWidth="1"/>
    <col min="3072" max="3072" width="12" style="1940" customWidth="1"/>
    <col min="3073" max="3073" width="1.7109375" style="1940" customWidth="1"/>
    <col min="3074" max="3074" width="10.85546875" style="1940" customWidth="1"/>
    <col min="3075" max="3075" width="4.5703125" style="1940" customWidth="1"/>
    <col min="3076" max="3076" width="13.140625" style="1940" customWidth="1"/>
    <col min="3077" max="3077" width="1.7109375" style="1940" customWidth="1"/>
    <col min="3078" max="3080" width="12.42578125" style="1940" customWidth="1"/>
    <col min="3081" max="3081" width="15.28515625" style="1940" customWidth="1"/>
    <col min="3082" max="3082" width="15.42578125" style="1940" customWidth="1"/>
    <col min="3083" max="3083" width="14.140625" style="1940" customWidth="1"/>
    <col min="3084" max="3084" width="15.42578125" style="1940" bestFit="1" customWidth="1"/>
    <col min="3085" max="3315" width="16.5703125" style="1940"/>
    <col min="3316" max="3316" width="6.42578125" style="1940" customWidth="1"/>
    <col min="3317" max="3317" width="39.42578125" style="1940" customWidth="1"/>
    <col min="3318" max="3318" width="9.7109375" style="1940" customWidth="1"/>
    <col min="3319" max="3319" width="1.7109375" style="1940" customWidth="1"/>
    <col min="3320" max="3320" width="11.85546875" style="1940" customWidth="1"/>
    <col min="3321" max="3321" width="5.140625" style="1940" customWidth="1"/>
    <col min="3322" max="3322" width="13.140625" style="1940" customWidth="1"/>
    <col min="3323" max="3323" width="1.7109375" style="1940" customWidth="1"/>
    <col min="3324" max="3324" width="12" style="1940" customWidth="1"/>
    <col min="3325" max="3325" width="3.85546875" style="1940" customWidth="1"/>
    <col min="3326" max="3326" width="12.140625" style="1940" customWidth="1"/>
    <col min="3327" max="3327" width="1.7109375" style="1940" customWidth="1"/>
    <col min="3328" max="3328" width="12" style="1940" customWidth="1"/>
    <col min="3329" max="3329" width="1.7109375" style="1940" customWidth="1"/>
    <col min="3330" max="3330" width="10.85546875" style="1940" customWidth="1"/>
    <col min="3331" max="3331" width="4.5703125" style="1940" customWidth="1"/>
    <col min="3332" max="3332" width="13.140625" style="1940" customWidth="1"/>
    <col min="3333" max="3333" width="1.7109375" style="1940" customWidth="1"/>
    <col min="3334" max="3336" width="12.42578125" style="1940" customWidth="1"/>
    <col min="3337" max="3337" width="15.28515625" style="1940" customWidth="1"/>
    <col min="3338" max="3338" width="15.42578125" style="1940" customWidth="1"/>
    <col min="3339" max="3339" width="14.140625" style="1940" customWidth="1"/>
    <col min="3340" max="3340" width="15.42578125" style="1940" bestFit="1" customWidth="1"/>
    <col min="3341" max="3571" width="16.5703125" style="1940"/>
    <col min="3572" max="3572" width="6.42578125" style="1940" customWidth="1"/>
    <col min="3573" max="3573" width="39.42578125" style="1940" customWidth="1"/>
    <col min="3574" max="3574" width="9.7109375" style="1940" customWidth="1"/>
    <col min="3575" max="3575" width="1.7109375" style="1940" customWidth="1"/>
    <col min="3576" max="3576" width="11.85546875" style="1940" customWidth="1"/>
    <col min="3577" max="3577" width="5.140625" style="1940" customWidth="1"/>
    <col min="3578" max="3578" width="13.140625" style="1940" customWidth="1"/>
    <col min="3579" max="3579" width="1.7109375" style="1940" customWidth="1"/>
    <col min="3580" max="3580" width="12" style="1940" customWidth="1"/>
    <col min="3581" max="3581" width="3.85546875" style="1940" customWidth="1"/>
    <col min="3582" max="3582" width="12.140625" style="1940" customWidth="1"/>
    <col min="3583" max="3583" width="1.7109375" style="1940" customWidth="1"/>
    <col min="3584" max="3584" width="12" style="1940" customWidth="1"/>
    <col min="3585" max="3585" width="1.7109375" style="1940" customWidth="1"/>
    <col min="3586" max="3586" width="10.85546875" style="1940" customWidth="1"/>
    <col min="3587" max="3587" width="4.5703125" style="1940" customWidth="1"/>
    <col min="3588" max="3588" width="13.140625" style="1940" customWidth="1"/>
    <col min="3589" max="3589" width="1.7109375" style="1940" customWidth="1"/>
    <col min="3590" max="3592" width="12.42578125" style="1940" customWidth="1"/>
    <col min="3593" max="3593" width="15.28515625" style="1940" customWidth="1"/>
    <col min="3594" max="3594" width="15.42578125" style="1940" customWidth="1"/>
    <col min="3595" max="3595" width="14.140625" style="1940" customWidth="1"/>
    <col min="3596" max="3596" width="15.42578125" style="1940" bestFit="1" customWidth="1"/>
    <col min="3597" max="3827" width="16.5703125" style="1940"/>
    <col min="3828" max="3828" width="6.42578125" style="1940" customWidth="1"/>
    <col min="3829" max="3829" width="39.42578125" style="1940" customWidth="1"/>
    <col min="3830" max="3830" width="9.7109375" style="1940" customWidth="1"/>
    <col min="3831" max="3831" width="1.7109375" style="1940" customWidth="1"/>
    <col min="3832" max="3832" width="11.85546875" style="1940" customWidth="1"/>
    <col min="3833" max="3833" width="5.140625" style="1940" customWidth="1"/>
    <col min="3834" max="3834" width="13.140625" style="1940" customWidth="1"/>
    <col min="3835" max="3835" width="1.7109375" style="1940" customWidth="1"/>
    <col min="3836" max="3836" width="12" style="1940" customWidth="1"/>
    <col min="3837" max="3837" width="3.85546875" style="1940" customWidth="1"/>
    <col min="3838" max="3838" width="12.140625" style="1940" customWidth="1"/>
    <col min="3839" max="3839" width="1.7109375" style="1940" customWidth="1"/>
    <col min="3840" max="3840" width="12" style="1940" customWidth="1"/>
    <col min="3841" max="3841" width="1.7109375" style="1940" customWidth="1"/>
    <col min="3842" max="3842" width="10.85546875" style="1940" customWidth="1"/>
    <col min="3843" max="3843" width="4.5703125" style="1940" customWidth="1"/>
    <col min="3844" max="3844" width="13.140625" style="1940" customWidth="1"/>
    <col min="3845" max="3845" width="1.7109375" style="1940" customWidth="1"/>
    <col min="3846" max="3848" width="12.42578125" style="1940" customWidth="1"/>
    <col min="3849" max="3849" width="15.28515625" style="1940" customWidth="1"/>
    <col min="3850" max="3850" width="15.42578125" style="1940" customWidth="1"/>
    <col min="3851" max="3851" width="14.140625" style="1940" customWidth="1"/>
    <col min="3852" max="3852" width="15.42578125" style="1940" bestFit="1" customWidth="1"/>
    <col min="3853" max="4083" width="16.5703125" style="1940"/>
    <col min="4084" max="4084" width="6.42578125" style="1940" customWidth="1"/>
    <col min="4085" max="4085" width="39.42578125" style="1940" customWidth="1"/>
    <col min="4086" max="4086" width="9.7109375" style="1940" customWidth="1"/>
    <col min="4087" max="4087" width="1.7109375" style="1940" customWidth="1"/>
    <col min="4088" max="4088" width="11.85546875" style="1940" customWidth="1"/>
    <col min="4089" max="4089" width="5.140625" style="1940" customWidth="1"/>
    <col min="4090" max="4090" width="13.140625" style="1940" customWidth="1"/>
    <col min="4091" max="4091" width="1.7109375" style="1940" customWidth="1"/>
    <col min="4092" max="4092" width="12" style="1940" customWidth="1"/>
    <col min="4093" max="4093" width="3.85546875" style="1940" customWidth="1"/>
    <col min="4094" max="4094" width="12.140625" style="1940" customWidth="1"/>
    <col min="4095" max="4095" width="1.7109375" style="1940" customWidth="1"/>
    <col min="4096" max="4096" width="12" style="1940" customWidth="1"/>
    <col min="4097" max="4097" width="1.7109375" style="1940" customWidth="1"/>
    <col min="4098" max="4098" width="10.85546875" style="1940" customWidth="1"/>
    <col min="4099" max="4099" width="4.5703125" style="1940" customWidth="1"/>
    <col min="4100" max="4100" width="13.140625" style="1940" customWidth="1"/>
    <col min="4101" max="4101" width="1.7109375" style="1940" customWidth="1"/>
    <col min="4102" max="4104" width="12.42578125" style="1940" customWidth="1"/>
    <col min="4105" max="4105" width="15.28515625" style="1940" customWidth="1"/>
    <col min="4106" max="4106" width="15.42578125" style="1940" customWidth="1"/>
    <col min="4107" max="4107" width="14.140625" style="1940" customWidth="1"/>
    <col min="4108" max="4108" width="15.42578125" style="1940" bestFit="1" customWidth="1"/>
    <col min="4109" max="4339" width="16.5703125" style="1940"/>
    <col min="4340" max="4340" width="6.42578125" style="1940" customWidth="1"/>
    <col min="4341" max="4341" width="39.42578125" style="1940" customWidth="1"/>
    <col min="4342" max="4342" width="9.7109375" style="1940" customWidth="1"/>
    <col min="4343" max="4343" width="1.7109375" style="1940" customWidth="1"/>
    <col min="4344" max="4344" width="11.85546875" style="1940" customWidth="1"/>
    <col min="4345" max="4345" width="5.140625" style="1940" customWidth="1"/>
    <col min="4346" max="4346" width="13.140625" style="1940" customWidth="1"/>
    <col min="4347" max="4347" width="1.7109375" style="1940" customWidth="1"/>
    <col min="4348" max="4348" width="12" style="1940" customWidth="1"/>
    <col min="4349" max="4349" width="3.85546875" style="1940" customWidth="1"/>
    <col min="4350" max="4350" width="12.140625" style="1940" customWidth="1"/>
    <col min="4351" max="4351" width="1.7109375" style="1940" customWidth="1"/>
    <col min="4352" max="4352" width="12" style="1940" customWidth="1"/>
    <col min="4353" max="4353" width="1.7109375" style="1940" customWidth="1"/>
    <col min="4354" max="4354" width="10.85546875" style="1940" customWidth="1"/>
    <col min="4355" max="4355" width="4.5703125" style="1940" customWidth="1"/>
    <col min="4356" max="4356" width="13.140625" style="1940" customWidth="1"/>
    <col min="4357" max="4357" width="1.7109375" style="1940" customWidth="1"/>
    <col min="4358" max="4360" width="12.42578125" style="1940" customWidth="1"/>
    <col min="4361" max="4361" width="15.28515625" style="1940" customWidth="1"/>
    <col min="4362" max="4362" width="15.42578125" style="1940" customWidth="1"/>
    <col min="4363" max="4363" width="14.140625" style="1940" customWidth="1"/>
    <col min="4364" max="4364" width="15.42578125" style="1940" bestFit="1" customWidth="1"/>
    <col min="4365" max="4595" width="16.5703125" style="1940"/>
    <col min="4596" max="4596" width="6.42578125" style="1940" customWidth="1"/>
    <col min="4597" max="4597" width="39.42578125" style="1940" customWidth="1"/>
    <col min="4598" max="4598" width="9.7109375" style="1940" customWidth="1"/>
    <col min="4599" max="4599" width="1.7109375" style="1940" customWidth="1"/>
    <col min="4600" max="4600" width="11.85546875" style="1940" customWidth="1"/>
    <col min="4601" max="4601" width="5.140625" style="1940" customWidth="1"/>
    <col min="4602" max="4602" width="13.140625" style="1940" customWidth="1"/>
    <col min="4603" max="4603" width="1.7109375" style="1940" customWidth="1"/>
    <col min="4604" max="4604" width="12" style="1940" customWidth="1"/>
    <col min="4605" max="4605" width="3.85546875" style="1940" customWidth="1"/>
    <col min="4606" max="4606" width="12.140625" style="1940" customWidth="1"/>
    <col min="4607" max="4607" width="1.7109375" style="1940" customWidth="1"/>
    <col min="4608" max="4608" width="12" style="1940" customWidth="1"/>
    <col min="4609" max="4609" width="1.7109375" style="1940" customWidth="1"/>
    <col min="4610" max="4610" width="10.85546875" style="1940" customWidth="1"/>
    <col min="4611" max="4611" width="4.5703125" style="1940" customWidth="1"/>
    <col min="4612" max="4612" width="13.140625" style="1940" customWidth="1"/>
    <col min="4613" max="4613" width="1.7109375" style="1940" customWidth="1"/>
    <col min="4614" max="4616" width="12.42578125" style="1940" customWidth="1"/>
    <col min="4617" max="4617" width="15.28515625" style="1940" customWidth="1"/>
    <col min="4618" max="4618" width="15.42578125" style="1940" customWidth="1"/>
    <col min="4619" max="4619" width="14.140625" style="1940" customWidth="1"/>
    <col min="4620" max="4620" width="15.42578125" style="1940" bestFit="1" customWidth="1"/>
    <col min="4621" max="4851" width="16.5703125" style="1940"/>
    <col min="4852" max="4852" width="6.42578125" style="1940" customWidth="1"/>
    <col min="4853" max="4853" width="39.42578125" style="1940" customWidth="1"/>
    <col min="4854" max="4854" width="9.7109375" style="1940" customWidth="1"/>
    <col min="4855" max="4855" width="1.7109375" style="1940" customWidth="1"/>
    <col min="4856" max="4856" width="11.85546875" style="1940" customWidth="1"/>
    <col min="4857" max="4857" width="5.140625" style="1940" customWidth="1"/>
    <col min="4858" max="4858" width="13.140625" style="1940" customWidth="1"/>
    <col min="4859" max="4859" width="1.7109375" style="1940" customWidth="1"/>
    <col min="4860" max="4860" width="12" style="1940" customWidth="1"/>
    <col min="4861" max="4861" width="3.85546875" style="1940" customWidth="1"/>
    <col min="4862" max="4862" width="12.140625" style="1940" customWidth="1"/>
    <col min="4863" max="4863" width="1.7109375" style="1940" customWidth="1"/>
    <col min="4864" max="4864" width="12" style="1940" customWidth="1"/>
    <col min="4865" max="4865" width="1.7109375" style="1940" customWidth="1"/>
    <col min="4866" max="4866" width="10.85546875" style="1940" customWidth="1"/>
    <col min="4867" max="4867" width="4.5703125" style="1940" customWidth="1"/>
    <col min="4868" max="4868" width="13.140625" style="1940" customWidth="1"/>
    <col min="4869" max="4869" width="1.7109375" style="1940" customWidth="1"/>
    <col min="4870" max="4872" width="12.42578125" style="1940" customWidth="1"/>
    <col min="4873" max="4873" width="15.28515625" style="1940" customWidth="1"/>
    <col min="4874" max="4874" width="15.42578125" style="1940" customWidth="1"/>
    <col min="4875" max="4875" width="14.140625" style="1940" customWidth="1"/>
    <col min="4876" max="4876" width="15.42578125" style="1940" bestFit="1" customWidth="1"/>
    <col min="4877" max="5107" width="16.5703125" style="1940"/>
    <col min="5108" max="5108" width="6.42578125" style="1940" customWidth="1"/>
    <col min="5109" max="5109" width="39.42578125" style="1940" customWidth="1"/>
    <col min="5110" max="5110" width="9.7109375" style="1940" customWidth="1"/>
    <col min="5111" max="5111" width="1.7109375" style="1940" customWidth="1"/>
    <col min="5112" max="5112" width="11.85546875" style="1940" customWidth="1"/>
    <col min="5113" max="5113" width="5.140625" style="1940" customWidth="1"/>
    <col min="5114" max="5114" width="13.140625" style="1940" customWidth="1"/>
    <col min="5115" max="5115" width="1.7109375" style="1940" customWidth="1"/>
    <col min="5116" max="5116" width="12" style="1940" customWidth="1"/>
    <col min="5117" max="5117" width="3.85546875" style="1940" customWidth="1"/>
    <col min="5118" max="5118" width="12.140625" style="1940" customWidth="1"/>
    <col min="5119" max="5119" width="1.7109375" style="1940" customWidth="1"/>
    <col min="5120" max="5120" width="12" style="1940" customWidth="1"/>
    <col min="5121" max="5121" width="1.7109375" style="1940" customWidth="1"/>
    <col min="5122" max="5122" width="10.85546875" style="1940" customWidth="1"/>
    <col min="5123" max="5123" width="4.5703125" style="1940" customWidth="1"/>
    <col min="5124" max="5124" width="13.140625" style="1940" customWidth="1"/>
    <col min="5125" max="5125" width="1.7109375" style="1940" customWidth="1"/>
    <col min="5126" max="5128" width="12.42578125" style="1940" customWidth="1"/>
    <col min="5129" max="5129" width="15.28515625" style="1940" customWidth="1"/>
    <col min="5130" max="5130" width="15.42578125" style="1940" customWidth="1"/>
    <col min="5131" max="5131" width="14.140625" style="1940" customWidth="1"/>
    <col min="5132" max="5132" width="15.42578125" style="1940" bestFit="1" customWidth="1"/>
    <col min="5133" max="5363" width="16.5703125" style="1940"/>
    <col min="5364" max="5364" width="6.42578125" style="1940" customWidth="1"/>
    <col min="5365" max="5365" width="39.42578125" style="1940" customWidth="1"/>
    <col min="5366" max="5366" width="9.7109375" style="1940" customWidth="1"/>
    <col min="5367" max="5367" width="1.7109375" style="1940" customWidth="1"/>
    <col min="5368" max="5368" width="11.85546875" style="1940" customWidth="1"/>
    <col min="5369" max="5369" width="5.140625" style="1940" customWidth="1"/>
    <col min="5370" max="5370" width="13.140625" style="1940" customWidth="1"/>
    <col min="5371" max="5371" width="1.7109375" style="1940" customWidth="1"/>
    <col min="5372" max="5372" width="12" style="1940" customWidth="1"/>
    <col min="5373" max="5373" width="3.85546875" style="1940" customWidth="1"/>
    <col min="5374" max="5374" width="12.140625" style="1940" customWidth="1"/>
    <col min="5375" max="5375" width="1.7109375" style="1940" customWidth="1"/>
    <col min="5376" max="5376" width="12" style="1940" customWidth="1"/>
    <col min="5377" max="5377" width="1.7109375" style="1940" customWidth="1"/>
    <col min="5378" max="5378" width="10.85546875" style="1940" customWidth="1"/>
    <col min="5379" max="5379" width="4.5703125" style="1940" customWidth="1"/>
    <col min="5380" max="5380" width="13.140625" style="1940" customWidth="1"/>
    <col min="5381" max="5381" width="1.7109375" style="1940" customWidth="1"/>
    <col min="5382" max="5384" width="12.42578125" style="1940" customWidth="1"/>
    <col min="5385" max="5385" width="15.28515625" style="1940" customWidth="1"/>
    <col min="5386" max="5386" width="15.42578125" style="1940" customWidth="1"/>
    <col min="5387" max="5387" width="14.140625" style="1940" customWidth="1"/>
    <col min="5388" max="5388" width="15.42578125" style="1940" bestFit="1" customWidth="1"/>
    <col min="5389" max="5619" width="16.5703125" style="1940"/>
    <col min="5620" max="5620" width="6.42578125" style="1940" customWidth="1"/>
    <col min="5621" max="5621" width="39.42578125" style="1940" customWidth="1"/>
    <col min="5622" max="5622" width="9.7109375" style="1940" customWidth="1"/>
    <col min="5623" max="5623" width="1.7109375" style="1940" customWidth="1"/>
    <col min="5624" max="5624" width="11.85546875" style="1940" customWidth="1"/>
    <col min="5625" max="5625" width="5.140625" style="1940" customWidth="1"/>
    <col min="5626" max="5626" width="13.140625" style="1940" customWidth="1"/>
    <col min="5627" max="5627" width="1.7109375" style="1940" customWidth="1"/>
    <col min="5628" max="5628" width="12" style="1940" customWidth="1"/>
    <col min="5629" max="5629" width="3.85546875" style="1940" customWidth="1"/>
    <col min="5630" max="5630" width="12.140625" style="1940" customWidth="1"/>
    <col min="5631" max="5631" width="1.7109375" style="1940" customWidth="1"/>
    <col min="5632" max="5632" width="12" style="1940" customWidth="1"/>
    <col min="5633" max="5633" width="1.7109375" style="1940" customWidth="1"/>
    <col min="5634" max="5634" width="10.85546875" style="1940" customWidth="1"/>
    <col min="5635" max="5635" width="4.5703125" style="1940" customWidth="1"/>
    <col min="5636" max="5636" width="13.140625" style="1940" customWidth="1"/>
    <col min="5637" max="5637" width="1.7109375" style="1940" customWidth="1"/>
    <col min="5638" max="5640" width="12.42578125" style="1940" customWidth="1"/>
    <col min="5641" max="5641" width="15.28515625" style="1940" customWidth="1"/>
    <col min="5642" max="5642" width="15.42578125" style="1940" customWidth="1"/>
    <col min="5643" max="5643" width="14.140625" style="1940" customWidth="1"/>
    <col min="5644" max="5644" width="15.42578125" style="1940" bestFit="1" customWidth="1"/>
    <col min="5645" max="5875" width="16.5703125" style="1940"/>
    <col min="5876" max="5876" width="6.42578125" style="1940" customWidth="1"/>
    <col min="5877" max="5877" width="39.42578125" style="1940" customWidth="1"/>
    <col min="5878" max="5878" width="9.7109375" style="1940" customWidth="1"/>
    <col min="5879" max="5879" width="1.7109375" style="1940" customWidth="1"/>
    <col min="5880" max="5880" width="11.85546875" style="1940" customWidth="1"/>
    <col min="5881" max="5881" width="5.140625" style="1940" customWidth="1"/>
    <col min="5882" max="5882" width="13.140625" style="1940" customWidth="1"/>
    <col min="5883" max="5883" width="1.7109375" style="1940" customWidth="1"/>
    <col min="5884" max="5884" width="12" style="1940" customWidth="1"/>
    <col min="5885" max="5885" width="3.85546875" style="1940" customWidth="1"/>
    <col min="5886" max="5886" width="12.140625" style="1940" customWidth="1"/>
    <col min="5887" max="5887" width="1.7109375" style="1940" customWidth="1"/>
    <col min="5888" max="5888" width="12" style="1940" customWidth="1"/>
    <col min="5889" max="5889" width="1.7109375" style="1940" customWidth="1"/>
    <col min="5890" max="5890" width="10.85546875" style="1940" customWidth="1"/>
    <col min="5891" max="5891" width="4.5703125" style="1940" customWidth="1"/>
    <col min="5892" max="5892" width="13.140625" style="1940" customWidth="1"/>
    <col min="5893" max="5893" width="1.7109375" style="1940" customWidth="1"/>
    <col min="5894" max="5896" width="12.42578125" style="1940" customWidth="1"/>
    <col min="5897" max="5897" width="15.28515625" style="1940" customWidth="1"/>
    <col min="5898" max="5898" width="15.42578125" style="1940" customWidth="1"/>
    <col min="5899" max="5899" width="14.140625" style="1940" customWidth="1"/>
    <col min="5900" max="5900" width="15.42578125" style="1940" bestFit="1" customWidth="1"/>
    <col min="5901" max="6131" width="16.5703125" style="1940"/>
    <col min="6132" max="6132" width="6.42578125" style="1940" customWidth="1"/>
    <col min="6133" max="6133" width="39.42578125" style="1940" customWidth="1"/>
    <col min="6134" max="6134" width="9.7109375" style="1940" customWidth="1"/>
    <col min="6135" max="6135" width="1.7109375" style="1940" customWidth="1"/>
    <col min="6136" max="6136" width="11.85546875" style="1940" customWidth="1"/>
    <col min="6137" max="6137" width="5.140625" style="1940" customWidth="1"/>
    <col min="6138" max="6138" width="13.140625" style="1940" customWidth="1"/>
    <col min="6139" max="6139" width="1.7109375" style="1940" customWidth="1"/>
    <col min="6140" max="6140" width="12" style="1940" customWidth="1"/>
    <col min="6141" max="6141" width="3.85546875" style="1940" customWidth="1"/>
    <col min="6142" max="6142" width="12.140625" style="1940" customWidth="1"/>
    <col min="6143" max="6143" width="1.7109375" style="1940" customWidth="1"/>
    <col min="6144" max="6144" width="12" style="1940" customWidth="1"/>
    <col min="6145" max="6145" width="1.7109375" style="1940" customWidth="1"/>
    <col min="6146" max="6146" width="10.85546875" style="1940" customWidth="1"/>
    <col min="6147" max="6147" width="4.5703125" style="1940" customWidth="1"/>
    <col min="6148" max="6148" width="13.140625" style="1940" customWidth="1"/>
    <col min="6149" max="6149" width="1.7109375" style="1940" customWidth="1"/>
    <col min="6150" max="6152" width="12.42578125" style="1940" customWidth="1"/>
    <col min="6153" max="6153" width="15.28515625" style="1940" customWidth="1"/>
    <col min="6154" max="6154" width="15.42578125" style="1940" customWidth="1"/>
    <col min="6155" max="6155" width="14.140625" style="1940" customWidth="1"/>
    <col min="6156" max="6156" width="15.42578125" style="1940" bestFit="1" customWidth="1"/>
    <col min="6157" max="6387" width="16.5703125" style="1940"/>
    <col min="6388" max="6388" width="6.42578125" style="1940" customWidth="1"/>
    <col min="6389" max="6389" width="39.42578125" style="1940" customWidth="1"/>
    <col min="6390" max="6390" width="9.7109375" style="1940" customWidth="1"/>
    <col min="6391" max="6391" width="1.7109375" style="1940" customWidth="1"/>
    <col min="6392" max="6392" width="11.85546875" style="1940" customWidth="1"/>
    <col min="6393" max="6393" width="5.140625" style="1940" customWidth="1"/>
    <col min="6394" max="6394" width="13.140625" style="1940" customWidth="1"/>
    <col min="6395" max="6395" width="1.7109375" style="1940" customWidth="1"/>
    <col min="6396" max="6396" width="12" style="1940" customWidth="1"/>
    <col min="6397" max="6397" width="3.85546875" style="1940" customWidth="1"/>
    <col min="6398" max="6398" width="12.140625" style="1940" customWidth="1"/>
    <col min="6399" max="6399" width="1.7109375" style="1940" customWidth="1"/>
    <col min="6400" max="6400" width="12" style="1940" customWidth="1"/>
    <col min="6401" max="6401" width="1.7109375" style="1940" customWidth="1"/>
    <col min="6402" max="6402" width="10.85546875" style="1940" customWidth="1"/>
    <col min="6403" max="6403" width="4.5703125" style="1940" customWidth="1"/>
    <col min="6404" max="6404" width="13.140625" style="1940" customWidth="1"/>
    <col min="6405" max="6405" width="1.7109375" style="1940" customWidth="1"/>
    <col min="6406" max="6408" width="12.42578125" style="1940" customWidth="1"/>
    <col min="6409" max="6409" width="15.28515625" style="1940" customWidth="1"/>
    <col min="6410" max="6410" width="15.42578125" style="1940" customWidth="1"/>
    <col min="6411" max="6411" width="14.140625" style="1940" customWidth="1"/>
    <col min="6412" max="6412" width="15.42578125" style="1940" bestFit="1" customWidth="1"/>
    <col min="6413" max="6643" width="16.5703125" style="1940"/>
    <col min="6644" max="6644" width="6.42578125" style="1940" customWidth="1"/>
    <col min="6645" max="6645" width="39.42578125" style="1940" customWidth="1"/>
    <col min="6646" max="6646" width="9.7109375" style="1940" customWidth="1"/>
    <col min="6647" max="6647" width="1.7109375" style="1940" customWidth="1"/>
    <col min="6648" max="6648" width="11.85546875" style="1940" customWidth="1"/>
    <col min="6649" max="6649" width="5.140625" style="1940" customWidth="1"/>
    <col min="6650" max="6650" width="13.140625" style="1940" customWidth="1"/>
    <col min="6651" max="6651" width="1.7109375" style="1940" customWidth="1"/>
    <col min="6652" max="6652" width="12" style="1940" customWidth="1"/>
    <col min="6653" max="6653" width="3.85546875" style="1940" customWidth="1"/>
    <col min="6654" max="6654" width="12.140625" style="1940" customWidth="1"/>
    <col min="6655" max="6655" width="1.7109375" style="1940" customWidth="1"/>
    <col min="6656" max="6656" width="12" style="1940" customWidth="1"/>
    <col min="6657" max="6657" width="1.7109375" style="1940" customWidth="1"/>
    <col min="6658" max="6658" width="10.85546875" style="1940" customWidth="1"/>
    <col min="6659" max="6659" width="4.5703125" style="1940" customWidth="1"/>
    <col min="6660" max="6660" width="13.140625" style="1940" customWidth="1"/>
    <col min="6661" max="6661" width="1.7109375" style="1940" customWidth="1"/>
    <col min="6662" max="6664" width="12.42578125" style="1940" customWidth="1"/>
    <col min="6665" max="6665" width="15.28515625" style="1940" customWidth="1"/>
    <col min="6666" max="6666" width="15.42578125" style="1940" customWidth="1"/>
    <col min="6667" max="6667" width="14.140625" style="1940" customWidth="1"/>
    <col min="6668" max="6668" width="15.42578125" style="1940" bestFit="1" customWidth="1"/>
    <col min="6669" max="6899" width="16.5703125" style="1940"/>
    <col min="6900" max="6900" width="6.42578125" style="1940" customWidth="1"/>
    <col min="6901" max="6901" width="39.42578125" style="1940" customWidth="1"/>
    <col min="6902" max="6902" width="9.7109375" style="1940" customWidth="1"/>
    <col min="6903" max="6903" width="1.7109375" style="1940" customWidth="1"/>
    <col min="6904" max="6904" width="11.85546875" style="1940" customWidth="1"/>
    <col min="6905" max="6905" width="5.140625" style="1940" customWidth="1"/>
    <col min="6906" max="6906" width="13.140625" style="1940" customWidth="1"/>
    <col min="6907" max="6907" width="1.7109375" style="1940" customWidth="1"/>
    <col min="6908" max="6908" width="12" style="1940" customWidth="1"/>
    <col min="6909" max="6909" width="3.85546875" style="1940" customWidth="1"/>
    <col min="6910" max="6910" width="12.140625" style="1940" customWidth="1"/>
    <col min="6911" max="6911" width="1.7109375" style="1940" customWidth="1"/>
    <col min="6912" max="6912" width="12" style="1940" customWidth="1"/>
    <col min="6913" max="6913" width="1.7109375" style="1940" customWidth="1"/>
    <col min="6914" max="6914" width="10.85546875" style="1940" customWidth="1"/>
    <col min="6915" max="6915" width="4.5703125" style="1940" customWidth="1"/>
    <col min="6916" max="6916" width="13.140625" style="1940" customWidth="1"/>
    <col min="6917" max="6917" width="1.7109375" style="1940" customWidth="1"/>
    <col min="6918" max="6920" width="12.42578125" style="1940" customWidth="1"/>
    <col min="6921" max="6921" width="15.28515625" style="1940" customWidth="1"/>
    <col min="6922" max="6922" width="15.42578125" style="1940" customWidth="1"/>
    <col min="6923" max="6923" width="14.140625" style="1940" customWidth="1"/>
    <col min="6924" max="6924" width="15.42578125" style="1940" bestFit="1" customWidth="1"/>
    <col min="6925" max="7155" width="16.5703125" style="1940"/>
    <col min="7156" max="7156" width="6.42578125" style="1940" customWidth="1"/>
    <col min="7157" max="7157" width="39.42578125" style="1940" customWidth="1"/>
    <col min="7158" max="7158" width="9.7109375" style="1940" customWidth="1"/>
    <col min="7159" max="7159" width="1.7109375" style="1940" customWidth="1"/>
    <col min="7160" max="7160" width="11.85546875" style="1940" customWidth="1"/>
    <col min="7161" max="7161" width="5.140625" style="1940" customWidth="1"/>
    <col min="7162" max="7162" width="13.140625" style="1940" customWidth="1"/>
    <col min="7163" max="7163" width="1.7109375" style="1940" customWidth="1"/>
    <col min="7164" max="7164" width="12" style="1940" customWidth="1"/>
    <col min="7165" max="7165" width="3.85546875" style="1940" customWidth="1"/>
    <col min="7166" max="7166" width="12.140625" style="1940" customWidth="1"/>
    <col min="7167" max="7167" width="1.7109375" style="1940" customWidth="1"/>
    <col min="7168" max="7168" width="12" style="1940" customWidth="1"/>
    <col min="7169" max="7169" width="1.7109375" style="1940" customWidth="1"/>
    <col min="7170" max="7170" width="10.85546875" style="1940" customWidth="1"/>
    <col min="7171" max="7171" width="4.5703125" style="1940" customWidth="1"/>
    <col min="7172" max="7172" width="13.140625" style="1940" customWidth="1"/>
    <col min="7173" max="7173" width="1.7109375" style="1940" customWidth="1"/>
    <col min="7174" max="7176" width="12.42578125" style="1940" customWidth="1"/>
    <col min="7177" max="7177" width="15.28515625" style="1940" customWidth="1"/>
    <col min="7178" max="7178" width="15.42578125" style="1940" customWidth="1"/>
    <col min="7179" max="7179" width="14.140625" style="1940" customWidth="1"/>
    <col min="7180" max="7180" width="15.42578125" style="1940" bestFit="1" customWidth="1"/>
    <col min="7181" max="7411" width="16.5703125" style="1940"/>
    <col min="7412" max="7412" width="6.42578125" style="1940" customWidth="1"/>
    <col min="7413" max="7413" width="39.42578125" style="1940" customWidth="1"/>
    <col min="7414" max="7414" width="9.7109375" style="1940" customWidth="1"/>
    <col min="7415" max="7415" width="1.7109375" style="1940" customWidth="1"/>
    <col min="7416" max="7416" width="11.85546875" style="1940" customWidth="1"/>
    <col min="7417" max="7417" width="5.140625" style="1940" customWidth="1"/>
    <col min="7418" max="7418" width="13.140625" style="1940" customWidth="1"/>
    <col min="7419" max="7419" width="1.7109375" style="1940" customWidth="1"/>
    <col min="7420" max="7420" width="12" style="1940" customWidth="1"/>
    <col min="7421" max="7421" width="3.85546875" style="1940" customWidth="1"/>
    <col min="7422" max="7422" width="12.140625" style="1940" customWidth="1"/>
    <col min="7423" max="7423" width="1.7109375" style="1940" customWidth="1"/>
    <col min="7424" max="7424" width="12" style="1940" customWidth="1"/>
    <col min="7425" max="7425" width="1.7109375" style="1940" customWidth="1"/>
    <col min="7426" max="7426" width="10.85546875" style="1940" customWidth="1"/>
    <col min="7427" max="7427" width="4.5703125" style="1940" customWidth="1"/>
    <col min="7428" max="7428" width="13.140625" style="1940" customWidth="1"/>
    <col min="7429" max="7429" width="1.7109375" style="1940" customWidth="1"/>
    <col min="7430" max="7432" width="12.42578125" style="1940" customWidth="1"/>
    <col min="7433" max="7433" width="15.28515625" style="1940" customWidth="1"/>
    <col min="7434" max="7434" width="15.42578125" style="1940" customWidth="1"/>
    <col min="7435" max="7435" width="14.140625" style="1940" customWidth="1"/>
    <col min="7436" max="7436" width="15.42578125" style="1940" bestFit="1" customWidth="1"/>
    <col min="7437" max="7667" width="16.5703125" style="1940"/>
    <col min="7668" max="7668" width="6.42578125" style="1940" customWidth="1"/>
    <col min="7669" max="7669" width="39.42578125" style="1940" customWidth="1"/>
    <col min="7670" max="7670" width="9.7109375" style="1940" customWidth="1"/>
    <col min="7671" max="7671" width="1.7109375" style="1940" customWidth="1"/>
    <col min="7672" max="7672" width="11.85546875" style="1940" customWidth="1"/>
    <col min="7673" max="7673" width="5.140625" style="1940" customWidth="1"/>
    <col min="7674" max="7674" width="13.140625" style="1940" customWidth="1"/>
    <col min="7675" max="7675" width="1.7109375" style="1940" customWidth="1"/>
    <col min="7676" max="7676" width="12" style="1940" customWidth="1"/>
    <col min="7677" max="7677" width="3.85546875" style="1940" customWidth="1"/>
    <col min="7678" max="7678" width="12.140625" style="1940" customWidth="1"/>
    <col min="7679" max="7679" width="1.7109375" style="1940" customWidth="1"/>
    <col min="7680" max="7680" width="12" style="1940" customWidth="1"/>
    <col min="7681" max="7681" width="1.7109375" style="1940" customWidth="1"/>
    <col min="7682" max="7682" width="10.85546875" style="1940" customWidth="1"/>
    <col min="7683" max="7683" width="4.5703125" style="1940" customWidth="1"/>
    <col min="7684" max="7684" width="13.140625" style="1940" customWidth="1"/>
    <col min="7685" max="7685" width="1.7109375" style="1940" customWidth="1"/>
    <col min="7686" max="7688" width="12.42578125" style="1940" customWidth="1"/>
    <col min="7689" max="7689" width="15.28515625" style="1940" customWidth="1"/>
    <col min="7690" max="7690" width="15.42578125" style="1940" customWidth="1"/>
    <col min="7691" max="7691" width="14.140625" style="1940" customWidth="1"/>
    <col min="7692" max="7692" width="15.42578125" style="1940" bestFit="1" customWidth="1"/>
    <col min="7693" max="7923" width="16.5703125" style="1940"/>
    <col min="7924" max="7924" width="6.42578125" style="1940" customWidth="1"/>
    <col min="7925" max="7925" width="39.42578125" style="1940" customWidth="1"/>
    <col min="7926" max="7926" width="9.7109375" style="1940" customWidth="1"/>
    <col min="7927" max="7927" width="1.7109375" style="1940" customWidth="1"/>
    <col min="7928" max="7928" width="11.85546875" style="1940" customWidth="1"/>
    <col min="7929" max="7929" width="5.140625" style="1940" customWidth="1"/>
    <col min="7930" max="7930" width="13.140625" style="1940" customWidth="1"/>
    <col min="7931" max="7931" width="1.7109375" style="1940" customWidth="1"/>
    <col min="7932" max="7932" width="12" style="1940" customWidth="1"/>
    <col min="7933" max="7933" width="3.85546875" style="1940" customWidth="1"/>
    <col min="7934" max="7934" width="12.140625" style="1940" customWidth="1"/>
    <col min="7935" max="7935" width="1.7109375" style="1940" customWidth="1"/>
    <col min="7936" max="7936" width="12" style="1940" customWidth="1"/>
    <col min="7937" max="7937" width="1.7109375" style="1940" customWidth="1"/>
    <col min="7938" max="7938" width="10.85546875" style="1940" customWidth="1"/>
    <col min="7939" max="7939" width="4.5703125" style="1940" customWidth="1"/>
    <col min="7940" max="7940" width="13.140625" style="1940" customWidth="1"/>
    <col min="7941" max="7941" width="1.7109375" style="1940" customWidth="1"/>
    <col min="7942" max="7944" width="12.42578125" style="1940" customWidth="1"/>
    <col min="7945" max="7945" width="15.28515625" style="1940" customWidth="1"/>
    <col min="7946" max="7946" width="15.42578125" style="1940" customWidth="1"/>
    <col min="7947" max="7947" width="14.140625" style="1940" customWidth="1"/>
    <col min="7948" max="7948" width="15.42578125" style="1940" bestFit="1" customWidth="1"/>
    <col min="7949" max="8179" width="16.5703125" style="1940"/>
    <col min="8180" max="8180" width="6.42578125" style="1940" customWidth="1"/>
    <col min="8181" max="8181" width="39.42578125" style="1940" customWidth="1"/>
    <col min="8182" max="8182" width="9.7109375" style="1940" customWidth="1"/>
    <col min="8183" max="8183" width="1.7109375" style="1940" customWidth="1"/>
    <col min="8184" max="8184" width="11.85546875" style="1940" customWidth="1"/>
    <col min="8185" max="8185" width="5.140625" style="1940" customWidth="1"/>
    <col min="8186" max="8186" width="13.140625" style="1940" customWidth="1"/>
    <col min="8187" max="8187" width="1.7109375" style="1940" customWidth="1"/>
    <col min="8188" max="8188" width="12" style="1940" customWidth="1"/>
    <col min="8189" max="8189" width="3.85546875" style="1940" customWidth="1"/>
    <col min="8190" max="8190" width="12.140625" style="1940" customWidth="1"/>
    <col min="8191" max="8191" width="1.7109375" style="1940" customWidth="1"/>
    <col min="8192" max="8192" width="12" style="1940" customWidth="1"/>
    <col min="8193" max="8193" width="1.7109375" style="1940" customWidth="1"/>
    <col min="8194" max="8194" width="10.85546875" style="1940" customWidth="1"/>
    <col min="8195" max="8195" width="4.5703125" style="1940" customWidth="1"/>
    <col min="8196" max="8196" width="13.140625" style="1940" customWidth="1"/>
    <col min="8197" max="8197" width="1.7109375" style="1940" customWidth="1"/>
    <col min="8198" max="8200" width="12.42578125" style="1940" customWidth="1"/>
    <col min="8201" max="8201" width="15.28515625" style="1940" customWidth="1"/>
    <col min="8202" max="8202" width="15.42578125" style="1940" customWidth="1"/>
    <col min="8203" max="8203" width="14.140625" style="1940" customWidth="1"/>
    <col min="8204" max="8204" width="15.42578125" style="1940" bestFit="1" customWidth="1"/>
    <col min="8205" max="8435" width="16.5703125" style="1940"/>
    <col min="8436" max="8436" width="6.42578125" style="1940" customWidth="1"/>
    <col min="8437" max="8437" width="39.42578125" style="1940" customWidth="1"/>
    <col min="8438" max="8438" width="9.7109375" style="1940" customWidth="1"/>
    <col min="8439" max="8439" width="1.7109375" style="1940" customWidth="1"/>
    <col min="8440" max="8440" width="11.85546875" style="1940" customWidth="1"/>
    <col min="8441" max="8441" width="5.140625" style="1940" customWidth="1"/>
    <col min="8442" max="8442" width="13.140625" style="1940" customWidth="1"/>
    <col min="8443" max="8443" width="1.7109375" style="1940" customWidth="1"/>
    <col min="8444" max="8444" width="12" style="1940" customWidth="1"/>
    <col min="8445" max="8445" width="3.85546875" style="1940" customWidth="1"/>
    <col min="8446" max="8446" width="12.140625" style="1940" customWidth="1"/>
    <col min="8447" max="8447" width="1.7109375" style="1940" customWidth="1"/>
    <col min="8448" max="8448" width="12" style="1940" customWidth="1"/>
    <col min="8449" max="8449" width="1.7109375" style="1940" customWidth="1"/>
    <col min="8450" max="8450" width="10.85546875" style="1940" customWidth="1"/>
    <col min="8451" max="8451" width="4.5703125" style="1940" customWidth="1"/>
    <col min="8452" max="8452" width="13.140625" style="1940" customWidth="1"/>
    <col min="8453" max="8453" width="1.7109375" style="1940" customWidth="1"/>
    <col min="8454" max="8456" width="12.42578125" style="1940" customWidth="1"/>
    <col min="8457" max="8457" width="15.28515625" style="1940" customWidth="1"/>
    <col min="8458" max="8458" width="15.42578125" style="1940" customWidth="1"/>
    <col min="8459" max="8459" width="14.140625" style="1940" customWidth="1"/>
    <col min="8460" max="8460" width="15.42578125" style="1940" bestFit="1" customWidth="1"/>
    <col min="8461" max="8691" width="16.5703125" style="1940"/>
    <col min="8692" max="8692" width="6.42578125" style="1940" customWidth="1"/>
    <col min="8693" max="8693" width="39.42578125" style="1940" customWidth="1"/>
    <col min="8694" max="8694" width="9.7109375" style="1940" customWidth="1"/>
    <col min="8695" max="8695" width="1.7109375" style="1940" customWidth="1"/>
    <col min="8696" max="8696" width="11.85546875" style="1940" customWidth="1"/>
    <col min="8697" max="8697" width="5.140625" style="1940" customWidth="1"/>
    <col min="8698" max="8698" width="13.140625" style="1940" customWidth="1"/>
    <col min="8699" max="8699" width="1.7109375" style="1940" customWidth="1"/>
    <col min="8700" max="8700" width="12" style="1940" customWidth="1"/>
    <col min="8701" max="8701" width="3.85546875" style="1940" customWidth="1"/>
    <col min="8702" max="8702" width="12.140625" style="1940" customWidth="1"/>
    <col min="8703" max="8703" width="1.7109375" style="1940" customWidth="1"/>
    <col min="8704" max="8704" width="12" style="1940" customWidth="1"/>
    <col min="8705" max="8705" width="1.7109375" style="1940" customWidth="1"/>
    <col min="8706" max="8706" width="10.85546875" style="1940" customWidth="1"/>
    <col min="8707" max="8707" width="4.5703125" style="1940" customWidth="1"/>
    <col min="8708" max="8708" width="13.140625" style="1940" customWidth="1"/>
    <col min="8709" max="8709" width="1.7109375" style="1940" customWidth="1"/>
    <col min="8710" max="8712" width="12.42578125" style="1940" customWidth="1"/>
    <col min="8713" max="8713" width="15.28515625" style="1940" customWidth="1"/>
    <col min="8714" max="8714" width="15.42578125" style="1940" customWidth="1"/>
    <col min="8715" max="8715" width="14.140625" style="1940" customWidth="1"/>
    <col min="8716" max="8716" width="15.42578125" style="1940" bestFit="1" customWidth="1"/>
    <col min="8717" max="8947" width="16.5703125" style="1940"/>
    <col min="8948" max="8948" width="6.42578125" style="1940" customWidth="1"/>
    <col min="8949" max="8949" width="39.42578125" style="1940" customWidth="1"/>
    <col min="8950" max="8950" width="9.7109375" style="1940" customWidth="1"/>
    <col min="8951" max="8951" width="1.7109375" style="1940" customWidth="1"/>
    <col min="8952" max="8952" width="11.85546875" style="1940" customWidth="1"/>
    <col min="8953" max="8953" width="5.140625" style="1940" customWidth="1"/>
    <col min="8954" max="8954" width="13.140625" style="1940" customWidth="1"/>
    <col min="8955" max="8955" width="1.7109375" style="1940" customWidth="1"/>
    <col min="8956" max="8956" width="12" style="1940" customWidth="1"/>
    <col min="8957" max="8957" width="3.85546875" style="1940" customWidth="1"/>
    <col min="8958" max="8958" width="12.140625" style="1940" customWidth="1"/>
    <col min="8959" max="8959" width="1.7109375" style="1940" customWidth="1"/>
    <col min="8960" max="8960" width="12" style="1940" customWidth="1"/>
    <col min="8961" max="8961" width="1.7109375" style="1940" customWidth="1"/>
    <col min="8962" max="8962" width="10.85546875" style="1940" customWidth="1"/>
    <col min="8963" max="8963" width="4.5703125" style="1940" customWidth="1"/>
    <col min="8964" max="8964" width="13.140625" style="1940" customWidth="1"/>
    <col min="8965" max="8965" width="1.7109375" style="1940" customWidth="1"/>
    <col min="8966" max="8968" width="12.42578125" style="1940" customWidth="1"/>
    <col min="8969" max="8969" width="15.28515625" style="1940" customWidth="1"/>
    <col min="8970" max="8970" width="15.42578125" style="1940" customWidth="1"/>
    <col min="8971" max="8971" width="14.140625" style="1940" customWidth="1"/>
    <col min="8972" max="8972" width="15.42578125" style="1940" bestFit="1" customWidth="1"/>
    <col min="8973" max="9203" width="16.5703125" style="1940"/>
    <col min="9204" max="9204" width="6.42578125" style="1940" customWidth="1"/>
    <col min="9205" max="9205" width="39.42578125" style="1940" customWidth="1"/>
    <col min="9206" max="9206" width="9.7109375" style="1940" customWidth="1"/>
    <col min="9207" max="9207" width="1.7109375" style="1940" customWidth="1"/>
    <col min="9208" max="9208" width="11.85546875" style="1940" customWidth="1"/>
    <col min="9209" max="9209" width="5.140625" style="1940" customWidth="1"/>
    <col min="9210" max="9210" width="13.140625" style="1940" customWidth="1"/>
    <col min="9211" max="9211" width="1.7109375" style="1940" customWidth="1"/>
    <col min="9212" max="9212" width="12" style="1940" customWidth="1"/>
    <col min="9213" max="9213" width="3.85546875" style="1940" customWidth="1"/>
    <col min="9214" max="9214" width="12.140625" style="1940" customWidth="1"/>
    <col min="9215" max="9215" width="1.7109375" style="1940" customWidth="1"/>
    <col min="9216" max="9216" width="12" style="1940" customWidth="1"/>
    <col min="9217" max="9217" width="1.7109375" style="1940" customWidth="1"/>
    <col min="9218" max="9218" width="10.85546875" style="1940" customWidth="1"/>
    <col min="9219" max="9219" width="4.5703125" style="1940" customWidth="1"/>
    <col min="9220" max="9220" width="13.140625" style="1940" customWidth="1"/>
    <col min="9221" max="9221" width="1.7109375" style="1940" customWidth="1"/>
    <col min="9222" max="9224" width="12.42578125" style="1940" customWidth="1"/>
    <col min="9225" max="9225" width="15.28515625" style="1940" customWidth="1"/>
    <col min="9226" max="9226" width="15.42578125" style="1940" customWidth="1"/>
    <col min="9227" max="9227" width="14.140625" style="1940" customWidth="1"/>
    <col min="9228" max="9228" width="15.42578125" style="1940" bestFit="1" customWidth="1"/>
    <col min="9229" max="9459" width="16.5703125" style="1940"/>
    <col min="9460" max="9460" width="6.42578125" style="1940" customWidth="1"/>
    <col min="9461" max="9461" width="39.42578125" style="1940" customWidth="1"/>
    <col min="9462" max="9462" width="9.7109375" style="1940" customWidth="1"/>
    <col min="9463" max="9463" width="1.7109375" style="1940" customWidth="1"/>
    <col min="9464" max="9464" width="11.85546875" style="1940" customWidth="1"/>
    <col min="9465" max="9465" width="5.140625" style="1940" customWidth="1"/>
    <col min="9466" max="9466" width="13.140625" style="1940" customWidth="1"/>
    <col min="9467" max="9467" width="1.7109375" style="1940" customWidth="1"/>
    <col min="9468" max="9468" width="12" style="1940" customWidth="1"/>
    <col min="9469" max="9469" width="3.85546875" style="1940" customWidth="1"/>
    <col min="9470" max="9470" width="12.140625" style="1940" customWidth="1"/>
    <col min="9471" max="9471" width="1.7109375" style="1940" customWidth="1"/>
    <col min="9472" max="9472" width="12" style="1940" customWidth="1"/>
    <col min="9473" max="9473" width="1.7109375" style="1940" customWidth="1"/>
    <col min="9474" max="9474" width="10.85546875" style="1940" customWidth="1"/>
    <col min="9475" max="9475" width="4.5703125" style="1940" customWidth="1"/>
    <col min="9476" max="9476" width="13.140625" style="1940" customWidth="1"/>
    <col min="9477" max="9477" width="1.7109375" style="1940" customWidth="1"/>
    <col min="9478" max="9480" width="12.42578125" style="1940" customWidth="1"/>
    <col min="9481" max="9481" width="15.28515625" style="1940" customWidth="1"/>
    <col min="9482" max="9482" width="15.42578125" style="1940" customWidth="1"/>
    <col min="9483" max="9483" width="14.140625" style="1940" customWidth="1"/>
    <col min="9484" max="9484" width="15.42578125" style="1940" bestFit="1" customWidth="1"/>
    <col min="9485" max="9715" width="16.5703125" style="1940"/>
    <col min="9716" max="9716" width="6.42578125" style="1940" customWidth="1"/>
    <col min="9717" max="9717" width="39.42578125" style="1940" customWidth="1"/>
    <col min="9718" max="9718" width="9.7109375" style="1940" customWidth="1"/>
    <col min="9719" max="9719" width="1.7109375" style="1940" customWidth="1"/>
    <col min="9720" max="9720" width="11.85546875" style="1940" customWidth="1"/>
    <col min="9721" max="9721" width="5.140625" style="1940" customWidth="1"/>
    <col min="9722" max="9722" width="13.140625" style="1940" customWidth="1"/>
    <col min="9723" max="9723" width="1.7109375" style="1940" customWidth="1"/>
    <col min="9724" max="9724" width="12" style="1940" customWidth="1"/>
    <col min="9725" max="9725" width="3.85546875" style="1940" customWidth="1"/>
    <col min="9726" max="9726" width="12.140625" style="1940" customWidth="1"/>
    <col min="9727" max="9727" width="1.7109375" style="1940" customWidth="1"/>
    <col min="9728" max="9728" width="12" style="1940" customWidth="1"/>
    <col min="9729" max="9729" width="1.7109375" style="1940" customWidth="1"/>
    <col min="9730" max="9730" width="10.85546875" style="1940" customWidth="1"/>
    <col min="9731" max="9731" width="4.5703125" style="1940" customWidth="1"/>
    <col min="9732" max="9732" width="13.140625" style="1940" customWidth="1"/>
    <col min="9733" max="9733" width="1.7109375" style="1940" customWidth="1"/>
    <col min="9734" max="9736" width="12.42578125" style="1940" customWidth="1"/>
    <col min="9737" max="9737" width="15.28515625" style="1940" customWidth="1"/>
    <col min="9738" max="9738" width="15.42578125" style="1940" customWidth="1"/>
    <col min="9739" max="9739" width="14.140625" style="1940" customWidth="1"/>
    <col min="9740" max="9740" width="15.42578125" style="1940" bestFit="1" customWidth="1"/>
    <col min="9741" max="9971" width="16.5703125" style="1940"/>
    <col min="9972" max="9972" width="6.42578125" style="1940" customWidth="1"/>
    <col min="9973" max="9973" width="39.42578125" style="1940" customWidth="1"/>
    <col min="9974" max="9974" width="9.7109375" style="1940" customWidth="1"/>
    <col min="9975" max="9975" width="1.7109375" style="1940" customWidth="1"/>
    <col min="9976" max="9976" width="11.85546875" style="1940" customWidth="1"/>
    <col min="9977" max="9977" width="5.140625" style="1940" customWidth="1"/>
    <col min="9978" max="9978" width="13.140625" style="1940" customWidth="1"/>
    <col min="9979" max="9979" width="1.7109375" style="1940" customWidth="1"/>
    <col min="9980" max="9980" width="12" style="1940" customWidth="1"/>
    <col min="9981" max="9981" width="3.85546875" style="1940" customWidth="1"/>
    <col min="9982" max="9982" width="12.140625" style="1940" customWidth="1"/>
    <col min="9983" max="9983" width="1.7109375" style="1940" customWidth="1"/>
    <col min="9984" max="9984" width="12" style="1940" customWidth="1"/>
    <col min="9985" max="9985" width="1.7109375" style="1940" customWidth="1"/>
    <col min="9986" max="9986" width="10.85546875" style="1940" customWidth="1"/>
    <col min="9987" max="9987" width="4.5703125" style="1940" customWidth="1"/>
    <col min="9988" max="9988" width="13.140625" style="1940" customWidth="1"/>
    <col min="9989" max="9989" width="1.7109375" style="1940" customWidth="1"/>
    <col min="9990" max="9992" width="12.42578125" style="1940" customWidth="1"/>
    <col min="9993" max="9993" width="15.28515625" style="1940" customWidth="1"/>
    <col min="9994" max="9994" width="15.42578125" style="1940" customWidth="1"/>
    <col min="9995" max="9995" width="14.140625" style="1940" customWidth="1"/>
    <col min="9996" max="9996" width="15.42578125" style="1940" bestFit="1" customWidth="1"/>
    <col min="9997" max="10227" width="16.5703125" style="1940"/>
    <col min="10228" max="10228" width="6.42578125" style="1940" customWidth="1"/>
    <col min="10229" max="10229" width="39.42578125" style="1940" customWidth="1"/>
    <col min="10230" max="10230" width="9.7109375" style="1940" customWidth="1"/>
    <col min="10231" max="10231" width="1.7109375" style="1940" customWidth="1"/>
    <col min="10232" max="10232" width="11.85546875" style="1940" customWidth="1"/>
    <col min="10233" max="10233" width="5.140625" style="1940" customWidth="1"/>
    <col min="10234" max="10234" width="13.140625" style="1940" customWidth="1"/>
    <col min="10235" max="10235" width="1.7109375" style="1940" customWidth="1"/>
    <col min="10236" max="10236" width="12" style="1940" customWidth="1"/>
    <col min="10237" max="10237" width="3.85546875" style="1940" customWidth="1"/>
    <col min="10238" max="10238" width="12.140625" style="1940" customWidth="1"/>
    <col min="10239" max="10239" width="1.7109375" style="1940" customWidth="1"/>
    <col min="10240" max="10240" width="12" style="1940" customWidth="1"/>
    <col min="10241" max="10241" width="1.7109375" style="1940" customWidth="1"/>
    <col min="10242" max="10242" width="10.85546875" style="1940" customWidth="1"/>
    <col min="10243" max="10243" width="4.5703125" style="1940" customWidth="1"/>
    <col min="10244" max="10244" width="13.140625" style="1940" customWidth="1"/>
    <col min="10245" max="10245" width="1.7109375" style="1940" customWidth="1"/>
    <col min="10246" max="10248" width="12.42578125" style="1940" customWidth="1"/>
    <col min="10249" max="10249" width="15.28515625" style="1940" customWidth="1"/>
    <col min="10250" max="10250" width="15.42578125" style="1940" customWidth="1"/>
    <col min="10251" max="10251" width="14.140625" style="1940" customWidth="1"/>
    <col min="10252" max="10252" width="15.42578125" style="1940" bestFit="1" customWidth="1"/>
    <col min="10253" max="10483" width="16.5703125" style="1940"/>
    <col min="10484" max="10484" width="6.42578125" style="1940" customWidth="1"/>
    <col min="10485" max="10485" width="39.42578125" style="1940" customWidth="1"/>
    <col min="10486" max="10486" width="9.7109375" style="1940" customWidth="1"/>
    <col min="10487" max="10487" width="1.7109375" style="1940" customWidth="1"/>
    <col min="10488" max="10488" width="11.85546875" style="1940" customWidth="1"/>
    <col min="10489" max="10489" width="5.140625" style="1940" customWidth="1"/>
    <col min="10490" max="10490" width="13.140625" style="1940" customWidth="1"/>
    <col min="10491" max="10491" width="1.7109375" style="1940" customWidth="1"/>
    <col min="10492" max="10492" width="12" style="1940" customWidth="1"/>
    <col min="10493" max="10493" width="3.85546875" style="1940" customWidth="1"/>
    <col min="10494" max="10494" width="12.140625" style="1940" customWidth="1"/>
    <col min="10495" max="10495" width="1.7109375" style="1940" customWidth="1"/>
    <col min="10496" max="10496" width="12" style="1940" customWidth="1"/>
    <col min="10497" max="10497" width="1.7109375" style="1940" customWidth="1"/>
    <col min="10498" max="10498" width="10.85546875" style="1940" customWidth="1"/>
    <col min="10499" max="10499" width="4.5703125" style="1940" customWidth="1"/>
    <col min="10500" max="10500" width="13.140625" style="1940" customWidth="1"/>
    <col min="10501" max="10501" width="1.7109375" style="1940" customWidth="1"/>
    <col min="10502" max="10504" width="12.42578125" style="1940" customWidth="1"/>
    <col min="10505" max="10505" width="15.28515625" style="1940" customWidth="1"/>
    <col min="10506" max="10506" width="15.42578125" style="1940" customWidth="1"/>
    <col min="10507" max="10507" width="14.140625" style="1940" customWidth="1"/>
    <col min="10508" max="10508" width="15.42578125" style="1940" bestFit="1" customWidth="1"/>
    <col min="10509" max="10739" width="16.5703125" style="1940"/>
    <col min="10740" max="10740" width="6.42578125" style="1940" customWidth="1"/>
    <col min="10741" max="10741" width="39.42578125" style="1940" customWidth="1"/>
    <col min="10742" max="10742" width="9.7109375" style="1940" customWidth="1"/>
    <col min="10743" max="10743" width="1.7109375" style="1940" customWidth="1"/>
    <col min="10744" max="10744" width="11.85546875" style="1940" customWidth="1"/>
    <col min="10745" max="10745" width="5.140625" style="1940" customWidth="1"/>
    <col min="10746" max="10746" width="13.140625" style="1940" customWidth="1"/>
    <col min="10747" max="10747" width="1.7109375" style="1940" customWidth="1"/>
    <col min="10748" max="10748" width="12" style="1940" customWidth="1"/>
    <col min="10749" max="10749" width="3.85546875" style="1940" customWidth="1"/>
    <col min="10750" max="10750" width="12.140625" style="1940" customWidth="1"/>
    <col min="10751" max="10751" width="1.7109375" style="1940" customWidth="1"/>
    <col min="10752" max="10752" width="12" style="1940" customWidth="1"/>
    <col min="10753" max="10753" width="1.7109375" style="1940" customWidth="1"/>
    <col min="10754" max="10754" width="10.85546875" style="1940" customWidth="1"/>
    <col min="10755" max="10755" width="4.5703125" style="1940" customWidth="1"/>
    <col min="10756" max="10756" width="13.140625" style="1940" customWidth="1"/>
    <col min="10757" max="10757" width="1.7109375" style="1940" customWidth="1"/>
    <col min="10758" max="10760" width="12.42578125" style="1940" customWidth="1"/>
    <col min="10761" max="10761" width="15.28515625" style="1940" customWidth="1"/>
    <col min="10762" max="10762" width="15.42578125" style="1940" customWidth="1"/>
    <col min="10763" max="10763" width="14.140625" style="1940" customWidth="1"/>
    <col min="10764" max="10764" width="15.42578125" style="1940" bestFit="1" customWidth="1"/>
    <col min="10765" max="10995" width="16.5703125" style="1940"/>
    <col min="10996" max="10996" width="6.42578125" style="1940" customWidth="1"/>
    <col min="10997" max="10997" width="39.42578125" style="1940" customWidth="1"/>
    <col min="10998" max="10998" width="9.7109375" style="1940" customWidth="1"/>
    <col min="10999" max="10999" width="1.7109375" style="1940" customWidth="1"/>
    <col min="11000" max="11000" width="11.85546875" style="1940" customWidth="1"/>
    <col min="11001" max="11001" width="5.140625" style="1940" customWidth="1"/>
    <col min="11002" max="11002" width="13.140625" style="1940" customWidth="1"/>
    <col min="11003" max="11003" width="1.7109375" style="1940" customWidth="1"/>
    <col min="11004" max="11004" width="12" style="1940" customWidth="1"/>
    <col min="11005" max="11005" width="3.85546875" style="1940" customWidth="1"/>
    <col min="11006" max="11006" width="12.140625" style="1940" customWidth="1"/>
    <col min="11007" max="11007" width="1.7109375" style="1940" customWidth="1"/>
    <col min="11008" max="11008" width="12" style="1940" customWidth="1"/>
    <col min="11009" max="11009" width="1.7109375" style="1940" customWidth="1"/>
    <col min="11010" max="11010" width="10.85546875" style="1940" customWidth="1"/>
    <col min="11011" max="11011" width="4.5703125" style="1940" customWidth="1"/>
    <col min="11012" max="11012" width="13.140625" style="1940" customWidth="1"/>
    <col min="11013" max="11013" width="1.7109375" style="1940" customWidth="1"/>
    <col min="11014" max="11016" width="12.42578125" style="1940" customWidth="1"/>
    <col min="11017" max="11017" width="15.28515625" style="1940" customWidth="1"/>
    <col min="11018" max="11018" width="15.42578125" style="1940" customWidth="1"/>
    <col min="11019" max="11019" width="14.140625" style="1940" customWidth="1"/>
    <col min="11020" max="11020" width="15.42578125" style="1940" bestFit="1" customWidth="1"/>
    <col min="11021" max="11251" width="16.5703125" style="1940"/>
    <col min="11252" max="11252" width="6.42578125" style="1940" customWidth="1"/>
    <col min="11253" max="11253" width="39.42578125" style="1940" customWidth="1"/>
    <col min="11254" max="11254" width="9.7109375" style="1940" customWidth="1"/>
    <col min="11255" max="11255" width="1.7109375" style="1940" customWidth="1"/>
    <col min="11256" max="11256" width="11.85546875" style="1940" customWidth="1"/>
    <col min="11257" max="11257" width="5.140625" style="1940" customWidth="1"/>
    <col min="11258" max="11258" width="13.140625" style="1940" customWidth="1"/>
    <col min="11259" max="11259" width="1.7109375" style="1940" customWidth="1"/>
    <col min="11260" max="11260" width="12" style="1940" customWidth="1"/>
    <col min="11261" max="11261" width="3.85546875" style="1940" customWidth="1"/>
    <col min="11262" max="11262" width="12.140625" style="1940" customWidth="1"/>
    <col min="11263" max="11263" width="1.7109375" style="1940" customWidth="1"/>
    <col min="11264" max="11264" width="12" style="1940" customWidth="1"/>
    <col min="11265" max="11265" width="1.7109375" style="1940" customWidth="1"/>
    <col min="11266" max="11266" width="10.85546875" style="1940" customWidth="1"/>
    <col min="11267" max="11267" width="4.5703125" style="1940" customWidth="1"/>
    <col min="11268" max="11268" width="13.140625" style="1940" customWidth="1"/>
    <col min="11269" max="11269" width="1.7109375" style="1940" customWidth="1"/>
    <col min="11270" max="11272" width="12.42578125" style="1940" customWidth="1"/>
    <col min="11273" max="11273" width="15.28515625" style="1940" customWidth="1"/>
    <col min="11274" max="11274" width="15.42578125" style="1940" customWidth="1"/>
    <col min="11275" max="11275" width="14.140625" style="1940" customWidth="1"/>
    <col min="11276" max="11276" width="15.42578125" style="1940" bestFit="1" customWidth="1"/>
    <col min="11277" max="11507" width="16.5703125" style="1940"/>
    <col min="11508" max="11508" width="6.42578125" style="1940" customWidth="1"/>
    <col min="11509" max="11509" width="39.42578125" style="1940" customWidth="1"/>
    <col min="11510" max="11510" width="9.7109375" style="1940" customWidth="1"/>
    <col min="11511" max="11511" width="1.7109375" style="1940" customWidth="1"/>
    <col min="11512" max="11512" width="11.85546875" style="1940" customWidth="1"/>
    <col min="11513" max="11513" width="5.140625" style="1940" customWidth="1"/>
    <col min="11514" max="11514" width="13.140625" style="1940" customWidth="1"/>
    <col min="11515" max="11515" width="1.7109375" style="1940" customWidth="1"/>
    <col min="11516" max="11516" width="12" style="1940" customWidth="1"/>
    <col min="11517" max="11517" width="3.85546875" style="1940" customWidth="1"/>
    <col min="11518" max="11518" width="12.140625" style="1940" customWidth="1"/>
    <col min="11519" max="11519" width="1.7109375" style="1940" customWidth="1"/>
    <col min="11520" max="11520" width="12" style="1940" customWidth="1"/>
    <col min="11521" max="11521" width="1.7109375" style="1940" customWidth="1"/>
    <col min="11522" max="11522" width="10.85546875" style="1940" customWidth="1"/>
    <col min="11523" max="11523" width="4.5703125" style="1940" customWidth="1"/>
    <col min="11524" max="11524" width="13.140625" style="1940" customWidth="1"/>
    <col min="11525" max="11525" width="1.7109375" style="1940" customWidth="1"/>
    <col min="11526" max="11528" width="12.42578125" style="1940" customWidth="1"/>
    <col min="11529" max="11529" width="15.28515625" style="1940" customWidth="1"/>
    <col min="11530" max="11530" width="15.42578125" style="1940" customWidth="1"/>
    <col min="11531" max="11531" width="14.140625" style="1940" customWidth="1"/>
    <col min="11532" max="11532" width="15.42578125" style="1940" bestFit="1" customWidth="1"/>
    <col min="11533" max="11763" width="16.5703125" style="1940"/>
    <col min="11764" max="11764" width="6.42578125" style="1940" customWidth="1"/>
    <col min="11765" max="11765" width="39.42578125" style="1940" customWidth="1"/>
    <col min="11766" max="11766" width="9.7109375" style="1940" customWidth="1"/>
    <col min="11767" max="11767" width="1.7109375" style="1940" customWidth="1"/>
    <col min="11768" max="11768" width="11.85546875" style="1940" customWidth="1"/>
    <col min="11769" max="11769" width="5.140625" style="1940" customWidth="1"/>
    <col min="11770" max="11770" width="13.140625" style="1940" customWidth="1"/>
    <col min="11771" max="11771" width="1.7109375" style="1940" customWidth="1"/>
    <col min="11772" max="11772" width="12" style="1940" customWidth="1"/>
    <col min="11773" max="11773" width="3.85546875" style="1940" customWidth="1"/>
    <col min="11774" max="11774" width="12.140625" style="1940" customWidth="1"/>
    <col min="11775" max="11775" width="1.7109375" style="1940" customWidth="1"/>
    <col min="11776" max="11776" width="12" style="1940" customWidth="1"/>
    <col min="11777" max="11777" width="1.7109375" style="1940" customWidth="1"/>
    <col min="11778" max="11778" width="10.85546875" style="1940" customWidth="1"/>
    <col min="11779" max="11779" width="4.5703125" style="1940" customWidth="1"/>
    <col min="11780" max="11780" width="13.140625" style="1940" customWidth="1"/>
    <col min="11781" max="11781" width="1.7109375" style="1940" customWidth="1"/>
    <col min="11782" max="11784" width="12.42578125" style="1940" customWidth="1"/>
    <col min="11785" max="11785" width="15.28515625" style="1940" customWidth="1"/>
    <col min="11786" max="11786" width="15.42578125" style="1940" customWidth="1"/>
    <col min="11787" max="11787" width="14.140625" style="1940" customWidth="1"/>
    <col min="11788" max="11788" width="15.42578125" style="1940" bestFit="1" customWidth="1"/>
    <col min="11789" max="12019" width="16.5703125" style="1940"/>
    <col min="12020" max="12020" width="6.42578125" style="1940" customWidth="1"/>
    <col min="12021" max="12021" width="39.42578125" style="1940" customWidth="1"/>
    <col min="12022" max="12022" width="9.7109375" style="1940" customWidth="1"/>
    <col min="12023" max="12023" width="1.7109375" style="1940" customWidth="1"/>
    <col min="12024" max="12024" width="11.85546875" style="1940" customWidth="1"/>
    <col min="12025" max="12025" width="5.140625" style="1940" customWidth="1"/>
    <col min="12026" max="12026" width="13.140625" style="1940" customWidth="1"/>
    <col min="12027" max="12027" width="1.7109375" style="1940" customWidth="1"/>
    <col min="12028" max="12028" width="12" style="1940" customWidth="1"/>
    <col min="12029" max="12029" width="3.85546875" style="1940" customWidth="1"/>
    <col min="12030" max="12030" width="12.140625" style="1940" customWidth="1"/>
    <col min="12031" max="12031" width="1.7109375" style="1940" customWidth="1"/>
    <col min="12032" max="12032" width="12" style="1940" customWidth="1"/>
    <col min="12033" max="12033" width="1.7109375" style="1940" customWidth="1"/>
    <col min="12034" max="12034" width="10.85546875" style="1940" customWidth="1"/>
    <col min="12035" max="12035" width="4.5703125" style="1940" customWidth="1"/>
    <col min="12036" max="12036" width="13.140625" style="1940" customWidth="1"/>
    <col min="12037" max="12037" width="1.7109375" style="1940" customWidth="1"/>
    <col min="12038" max="12040" width="12.42578125" style="1940" customWidth="1"/>
    <col min="12041" max="12041" width="15.28515625" style="1940" customWidth="1"/>
    <col min="12042" max="12042" width="15.42578125" style="1940" customWidth="1"/>
    <col min="12043" max="12043" width="14.140625" style="1940" customWidth="1"/>
    <col min="12044" max="12044" width="15.42578125" style="1940" bestFit="1" customWidth="1"/>
    <col min="12045" max="12275" width="16.5703125" style="1940"/>
    <col min="12276" max="12276" width="6.42578125" style="1940" customWidth="1"/>
    <col min="12277" max="12277" width="39.42578125" style="1940" customWidth="1"/>
    <col min="12278" max="12278" width="9.7109375" style="1940" customWidth="1"/>
    <col min="12279" max="12279" width="1.7109375" style="1940" customWidth="1"/>
    <col min="12280" max="12280" width="11.85546875" style="1940" customWidth="1"/>
    <col min="12281" max="12281" width="5.140625" style="1940" customWidth="1"/>
    <col min="12282" max="12282" width="13.140625" style="1940" customWidth="1"/>
    <col min="12283" max="12283" width="1.7109375" style="1940" customWidth="1"/>
    <col min="12284" max="12284" width="12" style="1940" customWidth="1"/>
    <col min="12285" max="12285" width="3.85546875" style="1940" customWidth="1"/>
    <col min="12286" max="12286" width="12.140625" style="1940" customWidth="1"/>
    <col min="12287" max="12287" width="1.7109375" style="1940" customWidth="1"/>
    <col min="12288" max="12288" width="12" style="1940" customWidth="1"/>
    <col min="12289" max="12289" width="1.7109375" style="1940" customWidth="1"/>
    <col min="12290" max="12290" width="10.85546875" style="1940" customWidth="1"/>
    <col min="12291" max="12291" width="4.5703125" style="1940" customWidth="1"/>
    <col min="12292" max="12292" width="13.140625" style="1940" customWidth="1"/>
    <col min="12293" max="12293" width="1.7109375" style="1940" customWidth="1"/>
    <col min="12294" max="12296" width="12.42578125" style="1940" customWidth="1"/>
    <col min="12297" max="12297" width="15.28515625" style="1940" customWidth="1"/>
    <col min="12298" max="12298" width="15.42578125" style="1940" customWidth="1"/>
    <col min="12299" max="12299" width="14.140625" style="1940" customWidth="1"/>
    <col min="12300" max="12300" width="15.42578125" style="1940" bestFit="1" customWidth="1"/>
    <col min="12301" max="12531" width="16.5703125" style="1940"/>
    <col min="12532" max="12532" width="6.42578125" style="1940" customWidth="1"/>
    <col min="12533" max="12533" width="39.42578125" style="1940" customWidth="1"/>
    <col min="12534" max="12534" width="9.7109375" style="1940" customWidth="1"/>
    <col min="12535" max="12535" width="1.7109375" style="1940" customWidth="1"/>
    <col min="12536" max="12536" width="11.85546875" style="1940" customWidth="1"/>
    <col min="12537" max="12537" width="5.140625" style="1940" customWidth="1"/>
    <col min="12538" max="12538" width="13.140625" style="1940" customWidth="1"/>
    <col min="12539" max="12539" width="1.7109375" style="1940" customWidth="1"/>
    <col min="12540" max="12540" width="12" style="1940" customWidth="1"/>
    <col min="12541" max="12541" width="3.85546875" style="1940" customWidth="1"/>
    <col min="12542" max="12542" width="12.140625" style="1940" customWidth="1"/>
    <col min="12543" max="12543" width="1.7109375" style="1940" customWidth="1"/>
    <col min="12544" max="12544" width="12" style="1940" customWidth="1"/>
    <col min="12545" max="12545" width="1.7109375" style="1940" customWidth="1"/>
    <col min="12546" max="12546" width="10.85546875" style="1940" customWidth="1"/>
    <col min="12547" max="12547" width="4.5703125" style="1940" customWidth="1"/>
    <col min="12548" max="12548" width="13.140625" style="1940" customWidth="1"/>
    <col min="12549" max="12549" width="1.7109375" style="1940" customWidth="1"/>
    <col min="12550" max="12552" width="12.42578125" style="1940" customWidth="1"/>
    <col min="12553" max="12553" width="15.28515625" style="1940" customWidth="1"/>
    <col min="12554" max="12554" width="15.42578125" style="1940" customWidth="1"/>
    <col min="12555" max="12555" width="14.140625" style="1940" customWidth="1"/>
    <col min="12556" max="12556" width="15.42578125" style="1940" bestFit="1" customWidth="1"/>
    <col min="12557" max="12787" width="16.5703125" style="1940"/>
    <col min="12788" max="12788" width="6.42578125" style="1940" customWidth="1"/>
    <col min="12789" max="12789" width="39.42578125" style="1940" customWidth="1"/>
    <col min="12790" max="12790" width="9.7109375" style="1940" customWidth="1"/>
    <col min="12791" max="12791" width="1.7109375" style="1940" customWidth="1"/>
    <col min="12792" max="12792" width="11.85546875" style="1940" customWidth="1"/>
    <col min="12793" max="12793" width="5.140625" style="1940" customWidth="1"/>
    <col min="12794" max="12794" width="13.140625" style="1940" customWidth="1"/>
    <col min="12795" max="12795" width="1.7109375" style="1940" customWidth="1"/>
    <col min="12796" max="12796" width="12" style="1940" customWidth="1"/>
    <col min="12797" max="12797" width="3.85546875" style="1940" customWidth="1"/>
    <col min="12798" max="12798" width="12.140625" style="1940" customWidth="1"/>
    <col min="12799" max="12799" width="1.7109375" style="1940" customWidth="1"/>
    <col min="12800" max="12800" width="12" style="1940" customWidth="1"/>
    <col min="12801" max="12801" width="1.7109375" style="1940" customWidth="1"/>
    <col min="12802" max="12802" width="10.85546875" style="1940" customWidth="1"/>
    <col min="12803" max="12803" width="4.5703125" style="1940" customWidth="1"/>
    <col min="12804" max="12804" width="13.140625" style="1940" customWidth="1"/>
    <col min="12805" max="12805" width="1.7109375" style="1940" customWidth="1"/>
    <col min="12806" max="12808" width="12.42578125" style="1940" customWidth="1"/>
    <col min="12809" max="12809" width="15.28515625" style="1940" customWidth="1"/>
    <col min="12810" max="12810" width="15.42578125" style="1940" customWidth="1"/>
    <col min="12811" max="12811" width="14.140625" style="1940" customWidth="1"/>
    <col min="12812" max="12812" width="15.42578125" style="1940" bestFit="1" customWidth="1"/>
    <col min="12813" max="13043" width="16.5703125" style="1940"/>
    <col min="13044" max="13044" width="6.42578125" style="1940" customWidth="1"/>
    <col min="13045" max="13045" width="39.42578125" style="1940" customWidth="1"/>
    <col min="13046" max="13046" width="9.7109375" style="1940" customWidth="1"/>
    <col min="13047" max="13047" width="1.7109375" style="1940" customWidth="1"/>
    <col min="13048" max="13048" width="11.85546875" style="1940" customWidth="1"/>
    <col min="13049" max="13049" width="5.140625" style="1940" customWidth="1"/>
    <col min="13050" max="13050" width="13.140625" style="1940" customWidth="1"/>
    <col min="13051" max="13051" width="1.7109375" style="1940" customWidth="1"/>
    <col min="13052" max="13052" width="12" style="1940" customWidth="1"/>
    <col min="13053" max="13053" width="3.85546875" style="1940" customWidth="1"/>
    <col min="13054" max="13054" width="12.140625" style="1940" customWidth="1"/>
    <col min="13055" max="13055" width="1.7109375" style="1940" customWidth="1"/>
    <col min="13056" max="13056" width="12" style="1940" customWidth="1"/>
    <col min="13057" max="13057" width="1.7109375" style="1940" customWidth="1"/>
    <col min="13058" max="13058" width="10.85546875" style="1940" customWidth="1"/>
    <col min="13059" max="13059" width="4.5703125" style="1940" customWidth="1"/>
    <col min="13060" max="13060" width="13.140625" style="1940" customWidth="1"/>
    <col min="13061" max="13061" width="1.7109375" style="1940" customWidth="1"/>
    <col min="13062" max="13064" width="12.42578125" style="1940" customWidth="1"/>
    <col min="13065" max="13065" width="15.28515625" style="1940" customWidth="1"/>
    <col min="13066" max="13066" width="15.42578125" style="1940" customWidth="1"/>
    <col min="13067" max="13067" width="14.140625" style="1940" customWidth="1"/>
    <col min="13068" max="13068" width="15.42578125" style="1940" bestFit="1" customWidth="1"/>
    <col min="13069" max="13299" width="16.5703125" style="1940"/>
    <col min="13300" max="13300" width="6.42578125" style="1940" customWidth="1"/>
    <col min="13301" max="13301" width="39.42578125" style="1940" customWidth="1"/>
    <col min="13302" max="13302" width="9.7109375" style="1940" customWidth="1"/>
    <col min="13303" max="13303" width="1.7109375" style="1940" customWidth="1"/>
    <col min="13304" max="13304" width="11.85546875" style="1940" customWidth="1"/>
    <col min="13305" max="13305" width="5.140625" style="1940" customWidth="1"/>
    <col min="13306" max="13306" width="13.140625" style="1940" customWidth="1"/>
    <col min="13307" max="13307" width="1.7109375" style="1940" customWidth="1"/>
    <col min="13308" max="13308" width="12" style="1940" customWidth="1"/>
    <col min="13309" max="13309" width="3.85546875" style="1940" customWidth="1"/>
    <col min="13310" max="13310" width="12.140625" style="1940" customWidth="1"/>
    <col min="13311" max="13311" width="1.7109375" style="1940" customWidth="1"/>
    <col min="13312" max="13312" width="12" style="1940" customWidth="1"/>
    <col min="13313" max="13313" width="1.7109375" style="1940" customWidth="1"/>
    <col min="13314" max="13314" width="10.85546875" style="1940" customWidth="1"/>
    <col min="13315" max="13315" width="4.5703125" style="1940" customWidth="1"/>
    <col min="13316" max="13316" width="13.140625" style="1940" customWidth="1"/>
    <col min="13317" max="13317" width="1.7109375" style="1940" customWidth="1"/>
    <col min="13318" max="13320" width="12.42578125" style="1940" customWidth="1"/>
    <col min="13321" max="13321" width="15.28515625" style="1940" customWidth="1"/>
    <col min="13322" max="13322" width="15.42578125" style="1940" customWidth="1"/>
    <col min="13323" max="13323" width="14.140625" style="1940" customWidth="1"/>
    <col min="13324" max="13324" width="15.42578125" style="1940" bestFit="1" customWidth="1"/>
    <col min="13325" max="13555" width="16.5703125" style="1940"/>
    <col min="13556" max="13556" width="6.42578125" style="1940" customWidth="1"/>
    <col min="13557" max="13557" width="39.42578125" style="1940" customWidth="1"/>
    <col min="13558" max="13558" width="9.7109375" style="1940" customWidth="1"/>
    <col min="13559" max="13559" width="1.7109375" style="1940" customWidth="1"/>
    <col min="13560" max="13560" width="11.85546875" style="1940" customWidth="1"/>
    <col min="13561" max="13561" width="5.140625" style="1940" customWidth="1"/>
    <col min="13562" max="13562" width="13.140625" style="1940" customWidth="1"/>
    <col min="13563" max="13563" width="1.7109375" style="1940" customWidth="1"/>
    <col min="13564" max="13564" width="12" style="1940" customWidth="1"/>
    <col min="13565" max="13565" width="3.85546875" style="1940" customWidth="1"/>
    <col min="13566" max="13566" width="12.140625" style="1940" customWidth="1"/>
    <col min="13567" max="13567" width="1.7109375" style="1940" customWidth="1"/>
    <col min="13568" max="13568" width="12" style="1940" customWidth="1"/>
    <col min="13569" max="13569" width="1.7109375" style="1940" customWidth="1"/>
    <col min="13570" max="13570" width="10.85546875" style="1940" customWidth="1"/>
    <col min="13571" max="13571" width="4.5703125" style="1940" customWidth="1"/>
    <col min="13572" max="13572" width="13.140625" style="1940" customWidth="1"/>
    <col min="13573" max="13573" width="1.7109375" style="1940" customWidth="1"/>
    <col min="13574" max="13576" width="12.42578125" style="1940" customWidth="1"/>
    <col min="13577" max="13577" width="15.28515625" style="1940" customWidth="1"/>
    <col min="13578" max="13578" width="15.42578125" style="1940" customWidth="1"/>
    <col min="13579" max="13579" width="14.140625" style="1940" customWidth="1"/>
    <col min="13580" max="13580" width="15.42578125" style="1940" bestFit="1" customWidth="1"/>
    <col min="13581" max="13811" width="16.5703125" style="1940"/>
    <col min="13812" max="13812" width="6.42578125" style="1940" customWidth="1"/>
    <col min="13813" max="13813" width="39.42578125" style="1940" customWidth="1"/>
    <col min="13814" max="13814" width="9.7109375" style="1940" customWidth="1"/>
    <col min="13815" max="13815" width="1.7109375" style="1940" customWidth="1"/>
    <col min="13816" max="13816" width="11.85546875" style="1940" customWidth="1"/>
    <col min="13817" max="13817" width="5.140625" style="1940" customWidth="1"/>
    <col min="13818" max="13818" width="13.140625" style="1940" customWidth="1"/>
    <col min="13819" max="13819" width="1.7109375" style="1940" customWidth="1"/>
    <col min="13820" max="13820" width="12" style="1940" customWidth="1"/>
    <col min="13821" max="13821" width="3.85546875" style="1940" customWidth="1"/>
    <col min="13822" max="13822" width="12.140625" style="1940" customWidth="1"/>
    <col min="13823" max="13823" width="1.7109375" style="1940" customWidth="1"/>
    <col min="13824" max="13824" width="12" style="1940" customWidth="1"/>
    <col min="13825" max="13825" width="1.7109375" style="1940" customWidth="1"/>
    <col min="13826" max="13826" width="10.85546875" style="1940" customWidth="1"/>
    <col min="13827" max="13827" width="4.5703125" style="1940" customWidth="1"/>
    <col min="13828" max="13828" width="13.140625" style="1940" customWidth="1"/>
    <col min="13829" max="13829" width="1.7109375" style="1940" customWidth="1"/>
    <col min="13830" max="13832" width="12.42578125" style="1940" customWidth="1"/>
    <col min="13833" max="13833" width="15.28515625" style="1940" customWidth="1"/>
    <col min="13834" max="13834" width="15.42578125" style="1940" customWidth="1"/>
    <col min="13835" max="13835" width="14.140625" style="1940" customWidth="1"/>
    <col min="13836" max="13836" width="15.42578125" style="1940" bestFit="1" customWidth="1"/>
    <col min="13837" max="14067" width="16.5703125" style="1940"/>
    <col min="14068" max="14068" width="6.42578125" style="1940" customWidth="1"/>
    <col min="14069" max="14069" width="39.42578125" style="1940" customWidth="1"/>
    <col min="14070" max="14070" width="9.7109375" style="1940" customWidth="1"/>
    <col min="14071" max="14071" width="1.7109375" style="1940" customWidth="1"/>
    <col min="14072" max="14072" width="11.85546875" style="1940" customWidth="1"/>
    <col min="14073" max="14073" width="5.140625" style="1940" customWidth="1"/>
    <col min="14074" max="14074" width="13.140625" style="1940" customWidth="1"/>
    <col min="14075" max="14075" width="1.7109375" style="1940" customWidth="1"/>
    <col min="14076" max="14076" width="12" style="1940" customWidth="1"/>
    <col min="14077" max="14077" width="3.85546875" style="1940" customWidth="1"/>
    <col min="14078" max="14078" width="12.140625" style="1940" customWidth="1"/>
    <col min="14079" max="14079" width="1.7109375" style="1940" customWidth="1"/>
    <col min="14080" max="14080" width="12" style="1940" customWidth="1"/>
    <col min="14081" max="14081" width="1.7109375" style="1940" customWidth="1"/>
    <col min="14082" max="14082" width="10.85546875" style="1940" customWidth="1"/>
    <col min="14083" max="14083" width="4.5703125" style="1940" customWidth="1"/>
    <col min="14084" max="14084" width="13.140625" style="1940" customWidth="1"/>
    <col min="14085" max="14085" width="1.7109375" style="1940" customWidth="1"/>
    <col min="14086" max="14088" width="12.42578125" style="1940" customWidth="1"/>
    <col min="14089" max="14089" width="15.28515625" style="1940" customWidth="1"/>
    <col min="14090" max="14090" width="15.42578125" style="1940" customWidth="1"/>
    <col min="14091" max="14091" width="14.140625" style="1940" customWidth="1"/>
    <col min="14092" max="14092" width="15.42578125" style="1940" bestFit="1" customWidth="1"/>
    <col min="14093" max="14323" width="16.5703125" style="1940"/>
    <col min="14324" max="14324" width="6.42578125" style="1940" customWidth="1"/>
    <col min="14325" max="14325" width="39.42578125" style="1940" customWidth="1"/>
    <col min="14326" max="14326" width="9.7109375" style="1940" customWidth="1"/>
    <col min="14327" max="14327" width="1.7109375" style="1940" customWidth="1"/>
    <col min="14328" max="14328" width="11.85546875" style="1940" customWidth="1"/>
    <col min="14329" max="14329" width="5.140625" style="1940" customWidth="1"/>
    <col min="14330" max="14330" width="13.140625" style="1940" customWidth="1"/>
    <col min="14331" max="14331" width="1.7109375" style="1940" customWidth="1"/>
    <col min="14332" max="14332" width="12" style="1940" customWidth="1"/>
    <col min="14333" max="14333" width="3.85546875" style="1940" customWidth="1"/>
    <col min="14334" max="14334" width="12.140625" style="1940" customWidth="1"/>
    <col min="14335" max="14335" width="1.7109375" style="1940" customWidth="1"/>
    <col min="14336" max="14336" width="12" style="1940" customWidth="1"/>
    <col min="14337" max="14337" width="1.7109375" style="1940" customWidth="1"/>
    <col min="14338" max="14338" width="10.85546875" style="1940" customWidth="1"/>
    <col min="14339" max="14339" width="4.5703125" style="1940" customWidth="1"/>
    <col min="14340" max="14340" width="13.140625" style="1940" customWidth="1"/>
    <col min="14341" max="14341" width="1.7109375" style="1940" customWidth="1"/>
    <col min="14342" max="14344" width="12.42578125" style="1940" customWidth="1"/>
    <col min="14345" max="14345" width="15.28515625" style="1940" customWidth="1"/>
    <col min="14346" max="14346" width="15.42578125" style="1940" customWidth="1"/>
    <col min="14347" max="14347" width="14.140625" style="1940" customWidth="1"/>
    <col min="14348" max="14348" width="15.42578125" style="1940" bestFit="1" customWidth="1"/>
    <col min="14349" max="14579" width="16.5703125" style="1940"/>
    <col min="14580" max="14580" width="6.42578125" style="1940" customWidth="1"/>
    <col min="14581" max="14581" width="39.42578125" style="1940" customWidth="1"/>
    <col min="14582" max="14582" width="9.7109375" style="1940" customWidth="1"/>
    <col min="14583" max="14583" width="1.7109375" style="1940" customWidth="1"/>
    <col min="14584" max="14584" width="11.85546875" style="1940" customWidth="1"/>
    <col min="14585" max="14585" width="5.140625" style="1940" customWidth="1"/>
    <col min="14586" max="14586" width="13.140625" style="1940" customWidth="1"/>
    <col min="14587" max="14587" width="1.7109375" style="1940" customWidth="1"/>
    <col min="14588" max="14588" width="12" style="1940" customWidth="1"/>
    <col min="14589" max="14589" width="3.85546875" style="1940" customWidth="1"/>
    <col min="14590" max="14590" width="12.140625" style="1940" customWidth="1"/>
    <col min="14591" max="14591" width="1.7109375" style="1940" customWidth="1"/>
    <col min="14592" max="14592" width="12" style="1940" customWidth="1"/>
    <col min="14593" max="14593" width="1.7109375" style="1940" customWidth="1"/>
    <col min="14594" max="14594" width="10.85546875" style="1940" customWidth="1"/>
    <col min="14595" max="14595" width="4.5703125" style="1940" customWidth="1"/>
    <col min="14596" max="14596" width="13.140625" style="1940" customWidth="1"/>
    <col min="14597" max="14597" width="1.7109375" style="1940" customWidth="1"/>
    <col min="14598" max="14600" width="12.42578125" style="1940" customWidth="1"/>
    <col min="14601" max="14601" width="15.28515625" style="1940" customWidth="1"/>
    <col min="14602" max="14602" width="15.42578125" style="1940" customWidth="1"/>
    <col min="14603" max="14603" width="14.140625" style="1940" customWidth="1"/>
    <col min="14604" max="14604" width="15.42578125" style="1940" bestFit="1" customWidth="1"/>
    <col min="14605" max="14835" width="16.5703125" style="1940"/>
    <col min="14836" max="14836" width="6.42578125" style="1940" customWidth="1"/>
    <col min="14837" max="14837" width="39.42578125" style="1940" customWidth="1"/>
    <col min="14838" max="14838" width="9.7109375" style="1940" customWidth="1"/>
    <col min="14839" max="14839" width="1.7109375" style="1940" customWidth="1"/>
    <col min="14840" max="14840" width="11.85546875" style="1940" customWidth="1"/>
    <col min="14841" max="14841" width="5.140625" style="1940" customWidth="1"/>
    <col min="14842" max="14842" width="13.140625" style="1940" customWidth="1"/>
    <col min="14843" max="14843" width="1.7109375" style="1940" customWidth="1"/>
    <col min="14844" max="14844" width="12" style="1940" customWidth="1"/>
    <col min="14845" max="14845" width="3.85546875" style="1940" customWidth="1"/>
    <col min="14846" max="14846" width="12.140625" style="1940" customWidth="1"/>
    <col min="14847" max="14847" width="1.7109375" style="1940" customWidth="1"/>
    <col min="14848" max="14848" width="12" style="1940" customWidth="1"/>
    <col min="14849" max="14849" width="1.7109375" style="1940" customWidth="1"/>
    <col min="14850" max="14850" width="10.85546875" style="1940" customWidth="1"/>
    <col min="14851" max="14851" width="4.5703125" style="1940" customWidth="1"/>
    <col min="14852" max="14852" width="13.140625" style="1940" customWidth="1"/>
    <col min="14853" max="14853" width="1.7109375" style="1940" customWidth="1"/>
    <col min="14854" max="14856" width="12.42578125" style="1940" customWidth="1"/>
    <col min="14857" max="14857" width="15.28515625" style="1940" customWidth="1"/>
    <col min="14858" max="14858" width="15.42578125" style="1940" customWidth="1"/>
    <col min="14859" max="14859" width="14.140625" style="1940" customWidth="1"/>
    <col min="14860" max="14860" width="15.42578125" style="1940" bestFit="1" customWidth="1"/>
    <col min="14861" max="15091" width="16.5703125" style="1940"/>
    <col min="15092" max="15092" width="6.42578125" style="1940" customWidth="1"/>
    <col min="15093" max="15093" width="39.42578125" style="1940" customWidth="1"/>
    <col min="15094" max="15094" width="9.7109375" style="1940" customWidth="1"/>
    <col min="15095" max="15095" width="1.7109375" style="1940" customWidth="1"/>
    <col min="15096" max="15096" width="11.85546875" style="1940" customWidth="1"/>
    <col min="15097" max="15097" width="5.140625" style="1940" customWidth="1"/>
    <col min="15098" max="15098" width="13.140625" style="1940" customWidth="1"/>
    <col min="15099" max="15099" width="1.7109375" style="1940" customWidth="1"/>
    <col min="15100" max="15100" width="12" style="1940" customWidth="1"/>
    <col min="15101" max="15101" width="3.85546875" style="1940" customWidth="1"/>
    <col min="15102" max="15102" width="12.140625" style="1940" customWidth="1"/>
    <col min="15103" max="15103" width="1.7109375" style="1940" customWidth="1"/>
    <col min="15104" max="15104" width="12" style="1940" customWidth="1"/>
    <col min="15105" max="15105" width="1.7109375" style="1940" customWidth="1"/>
    <col min="15106" max="15106" width="10.85546875" style="1940" customWidth="1"/>
    <col min="15107" max="15107" width="4.5703125" style="1940" customWidth="1"/>
    <col min="15108" max="15108" width="13.140625" style="1940" customWidth="1"/>
    <col min="15109" max="15109" width="1.7109375" style="1940" customWidth="1"/>
    <col min="15110" max="15112" width="12.42578125" style="1940" customWidth="1"/>
    <col min="15113" max="15113" width="15.28515625" style="1940" customWidth="1"/>
    <col min="15114" max="15114" width="15.42578125" style="1940" customWidth="1"/>
    <col min="15115" max="15115" width="14.140625" style="1940" customWidth="1"/>
    <col min="15116" max="15116" width="15.42578125" style="1940" bestFit="1" customWidth="1"/>
    <col min="15117" max="15347" width="16.5703125" style="1940"/>
    <col min="15348" max="15348" width="6.42578125" style="1940" customWidth="1"/>
    <col min="15349" max="15349" width="39.42578125" style="1940" customWidth="1"/>
    <col min="15350" max="15350" width="9.7109375" style="1940" customWidth="1"/>
    <col min="15351" max="15351" width="1.7109375" style="1940" customWidth="1"/>
    <col min="15352" max="15352" width="11.85546875" style="1940" customWidth="1"/>
    <col min="15353" max="15353" width="5.140625" style="1940" customWidth="1"/>
    <col min="15354" max="15354" width="13.140625" style="1940" customWidth="1"/>
    <col min="15355" max="15355" width="1.7109375" style="1940" customWidth="1"/>
    <col min="15356" max="15356" width="12" style="1940" customWidth="1"/>
    <col min="15357" max="15357" width="3.85546875" style="1940" customWidth="1"/>
    <col min="15358" max="15358" width="12.140625" style="1940" customWidth="1"/>
    <col min="15359" max="15359" width="1.7109375" style="1940" customWidth="1"/>
    <col min="15360" max="15360" width="12" style="1940" customWidth="1"/>
    <col min="15361" max="15361" width="1.7109375" style="1940" customWidth="1"/>
    <col min="15362" max="15362" width="10.85546875" style="1940" customWidth="1"/>
    <col min="15363" max="15363" width="4.5703125" style="1940" customWidth="1"/>
    <col min="15364" max="15364" width="13.140625" style="1940" customWidth="1"/>
    <col min="15365" max="15365" width="1.7109375" style="1940" customWidth="1"/>
    <col min="15366" max="15368" width="12.42578125" style="1940" customWidth="1"/>
    <col min="15369" max="15369" width="15.28515625" style="1940" customWidth="1"/>
    <col min="15370" max="15370" width="15.42578125" style="1940" customWidth="1"/>
    <col min="15371" max="15371" width="14.140625" style="1940" customWidth="1"/>
    <col min="15372" max="15372" width="15.42578125" style="1940" bestFit="1" customWidth="1"/>
    <col min="15373" max="15603" width="16.5703125" style="1940"/>
    <col min="15604" max="15604" width="6.42578125" style="1940" customWidth="1"/>
    <col min="15605" max="15605" width="39.42578125" style="1940" customWidth="1"/>
    <col min="15606" max="15606" width="9.7109375" style="1940" customWidth="1"/>
    <col min="15607" max="15607" width="1.7109375" style="1940" customWidth="1"/>
    <col min="15608" max="15608" width="11.85546875" style="1940" customWidth="1"/>
    <col min="15609" max="15609" width="5.140625" style="1940" customWidth="1"/>
    <col min="15610" max="15610" width="13.140625" style="1940" customWidth="1"/>
    <col min="15611" max="15611" width="1.7109375" style="1940" customWidth="1"/>
    <col min="15612" max="15612" width="12" style="1940" customWidth="1"/>
    <col min="15613" max="15613" width="3.85546875" style="1940" customWidth="1"/>
    <col min="15614" max="15614" width="12.140625" style="1940" customWidth="1"/>
    <col min="15615" max="15615" width="1.7109375" style="1940" customWidth="1"/>
    <col min="15616" max="15616" width="12" style="1940" customWidth="1"/>
    <col min="15617" max="15617" width="1.7109375" style="1940" customWidth="1"/>
    <col min="15618" max="15618" width="10.85546875" style="1940" customWidth="1"/>
    <col min="15619" max="15619" width="4.5703125" style="1940" customWidth="1"/>
    <col min="15620" max="15620" width="13.140625" style="1940" customWidth="1"/>
    <col min="15621" max="15621" width="1.7109375" style="1940" customWidth="1"/>
    <col min="15622" max="15624" width="12.42578125" style="1940" customWidth="1"/>
    <col min="15625" max="15625" width="15.28515625" style="1940" customWidth="1"/>
    <col min="15626" max="15626" width="15.42578125" style="1940" customWidth="1"/>
    <col min="15627" max="15627" width="14.140625" style="1940" customWidth="1"/>
    <col min="15628" max="15628" width="15.42578125" style="1940" bestFit="1" customWidth="1"/>
    <col min="15629" max="15859" width="16.5703125" style="1940"/>
    <col min="15860" max="15860" width="6.42578125" style="1940" customWidth="1"/>
    <col min="15861" max="15861" width="39.42578125" style="1940" customWidth="1"/>
    <col min="15862" max="15862" width="9.7109375" style="1940" customWidth="1"/>
    <col min="15863" max="15863" width="1.7109375" style="1940" customWidth="1"/>
    <col min="15864" max="15864" width="11.85546875" style="1940" customWidth="1"/>
    <col min="15865" max="15865" width="5.140625" style="1940" customWidth="1"/>
    <col min="15866" max="15866" width="13.140625" style="1940" customWidth="1"/>
    <col min="15867" max="15867" width="1.7109375" style="1940" customWidth="1"/>
    <col min="15868" max="15868" width="12" style="1940" customWidth="1"/>
    <col min="15869" max="15869" width="3.85546875" style="1940" customWidth="1"/>
    <col min="15870" max="15870" width="12.140625" style="1940" customWidth="1"/>
    <col min="15871" max="15871" width="1.7109375" style="1940" customWidth="1"/>
    <col min="15872" max="15872" width="12" style="1940" customWidth="1"/>
    <col min="15873" max="15873" width="1.7109375" style="1940" customWidth="1"/>
    <col min="15874" max="15874" width="10.85546875" style="1940" customWidth="1"/>
    <col min="15875" max="15875" width="4.5703125" style="1940" customWidth="1"/>
    <col min="15876" max="15876" width="13.140625" style="1940" customWidth="1"/>
    <col min="15877" max="15877" width="1.7109375" style="1940" customWidth="1"/>
    <col min="15878" max="15880" width="12.42578125" style="1940" customWidth="1"/>
    <col min="15881" max="15881" width="15.28515625" style="1940" customWidth="1"/>
    <col min="15882" max="15882" width="15.42578125" style="1940" customWidth="1"/>
    <col min="15883" max="15883" width="14.140625" style="1940" customWidth="1"/>
    <col min="15884" max="15884" width="15.42578125" style="1940" bestFit="1" customWidth="1"/>
    <col min="15885" max="16115" width="16.5703125" style="1940"/>
    <col min="16116" max="16116" width="6.42578125" style="1940" customWidth="1"/>
    <col min="16117" max="16117" width="39.42578125" style="1940" customWidth="1"/>
    <col min="16118" max="16118" width="9.7109375" style="1940" customWidth="1"/>
    <col min="16119" max="16119" width="1.7109375" style="1940" customWidth="1"/>
    <col min="16120" max="16120" width="11.85546875" style="1940" customWidth="1"/>
    <col min="16121" max="16121" width="5.140625" style="1940" customWidth="1"/>
    <col min="16122" max="16122" width="13.140625" style="1940" customWidth="1"/>
    <col min="16123" max="16123" width="1.7109375" style="1940" customWidth="1"/>
    <col min="16124" max="16124" width="12" style="1940" customWidth="1"/>
    <col min="16125" max="16125" width="3.85546875" style="1940" customWidth="1"/>
    <col min="16126" max="16126" width="12.140625" style="1940" customWidth="1"/>
    <col min="16127" max="16127" width="1.7109375" style="1940" customWidth="1"/>
    <col min="16128" max="16128" width="12" style="1940" customWidth="1"/>
    <col min="16129" max="16129" width="1.7109375" style="1940" customWidth="1"/>
    <col min="16130" max="16130" width="10.85546875" style="1940" customWidth="1"/>
    <col min="16131" max="16131" width="4.5703125" style="1940" customWidth="1"/>
    <col min="16132" max="16132" width="13.140625" style="1940" customWidth="1"/>
    <col min="16133" max="16133" width="1.7109375" style="1940" customWidth="1"/>
    <col min="16134" max="16136" width="12.42578125" style="1940" customWidth="1"/>
    <col min="16137" max="16137" width="15.28515625" style="1940" customWidth="1"/>
    <col min="16138" max="16138" width="15.42578125" style="1940" customWidth="1"/>
    <col min="16139" max="16139" width="14.140625" style="1940" customWidth="1"/>
    <col min="16140" max="16140" width="15.42578125" style="1940" bestFit="1" customWidth="1"/>
    <col min="16141" max="16384" width="16.5703125" style="1940"/>
  </cols>
  <sheetData>
    <row r="1" spans="1:19" s="1932" customFormat="1" ht="15.75" x14ac:dyDescent="0.2">
      <c r="A1" s="2603" t="s">
        <v>2072</v>
      </c>
      <c r="B1" s="2603"/>
      <c r="C1" s="2603"/>
      <c r="D1" s="2603"/>
      <c r="E1" s="2603"/>
      <c r="F1" s="2603"/>
      <c r="G1" s="2603"/>
      <c r="H1" s="2603"/>
      <c r="I1" s="2603"/>
      <c r="J1" s="2603"/>
      <c r="K1" s="2603"/>
      <c r="L1" s="2603"/>
      <c r="M1" s="2603"/>
      <c r="N1" s="2603"/>
      <c r="O1" s="2603"/>
      <c r="P1" s="2603"/>
      <c r="Q1" s="2603"/>
      <c r="R1" s="2603"/>
      <c r="S1" s="2603"/>
    </row>
    <row r="2" spans="1:19" s="1932" customFormat="1" ht="15.75" x14ac:dyDescent="0.2">
      <c r="A2" s="1933"/>
      <c r="B2" s="1933"/>
      <c r="C2" s="1933"/>
      <c r="D2" s="1933"/>
      <c r="E2" s="1933"/>
      <c r="F2" s="1933"/>
      <c r="G2" s="2603" t="s">
        <v>2070</v>
      </c>
      <c r="H2" s="2603"/>
      <c r="I2" s="2603"/>
      <c r="J2" s="1933"/>
      <c r="K2" s="1933"/>
      <c r="L2" s="1933"/>
      <c r="M2" s="1933"/>
      <c r="N2" s="1933"/>
      <c r="O2" s="1933"/>
      <c r="P2" s="1933"/>
      <c r="Q2" s="1933"/>
      <c r="R2" s="1933"/>
      <c r="S2" s="1933"/>
    </row>
    <row r="3" spans="1:19" s="1932" customFormat="1" ht="15.75" x14ac:dyDescent="0.2">
      <c r="A3" s="2603" t="s">
        <v>1219</v>
      </c>
      <c r="B3" s="2603"/>
      <c r="C3" s="2603"/>
      <c r="D3" s="2603"/>
      <c r="E3" s="2603"/>
      <c r="F3" s="2603"/>
      <c r="G3" s="2603"/>
      <c r="H3" s="2603"/>
      <c r="I3" s="2603"/>
      <c r="J3" s="2603"/>
      <c r="K3" s="2603"/>
      <c r="L3" s="2603"/>
      <c r="M3" s="2603"/>
      <c r="N3" s="2603"/>
      <c r="O3" s="2603"/>
      <c r="P3" s="2603"/>
      <c r="Q3" s="2603"/>
      <c r="R3" s="2603"/>
      <c r="S3" s="2603"/>
    </row>
    <row r="4" spans="1:19" s="1934" customFormat="1" x14ac:dyDescent="0.2">
      <c r="A4" s="2604" t="s">
        <v>2088</v>
      </c>
      <c r="B4" s="2604"/>
      <c r="C4" s="2604"/>
      <c r="D4" s="2604"/>
      <c r="E4" s="2604"/>
      <c r="F4" s="2604"/>
      <c r="G4" s="2604"/>
      <c r="H4" s="2604"/>
      <c r="I4" s="2604"/>
      <c r="J4" s="2604"/>
      <c r="K4" s="2604"/>
      <c r="L4" s="2604"/>
      <c r="M4" s="2604"/>
      <c r="N4" s="2604"/>
      <c r="O4" s="2604"/>
      <c r="P4" s="2604"/>
      <c r="Q4" s="2604"/>
      <c r="R4" s="2604"/>
      <c r="S4" s="2604"/>
    </row>
    <row r="5" spans="1:19" x14ac:dyDescent="0.2">
      <c r="A5" s="1935"/>
      <c r="B5" s="1935"/>
      <c r="C5" s="1935"/>
      <c r="D5" s="1935"/>
      <c r="E5" s="1935"/>
      <c r="F5" s="1935"/>
      <c r="G5" s="1936"/>
      <c r="H5" s="1937"/>
      <c r="I5" s="1936"/>
      <c r="J5" s="1938"/>
      <c r="K5" s="1936"/>
      <c r="L5" s="1937"/>
      <c r="M5" s="1937"/>
      <c r="N5" s="1937"/>
      <c r="O5" s="1937"/>
      <c r="P5" s="1938"/>
      <c r="Q5" s="1937"/>
      <c r="R5" s="1937"/>
      <c r="S5" s="1937"/>
    </row>
    <row r="6" spans="1:19" s="1932" customFormat="1" x14ac:dyDescent="0.2">
      <c r="A6" s="1941"/>
      <c r="B6" s="1942"/>
      <c r="C6" s="1943"/>
      <c r="D6" s="1943"/>
      <c r="E6" s="1941" t="s">
        <v>2089</v>
      </c>
      <c r="F6" s="1941"/>
      <c r="G6" s="1944" t="s">
        <v>2090</v>
      </c>
      <c r="H6" s="1944"/>
      <c r="I6" s="1944"/>
      <c r="J6" s="1941"/>
      <c r="K6" s="1944" t="s">
        <v>2091</v>
      </c>
      <c r="L6" s="1944"/>
      <c r="M6" s="1944"/>
      <c r="N6" s="1943"/>
      <c r="O6" s="1943"/>
      <c r="P6" s="1941"/>
      <c r="Q6" s="1943"/>
      <c r="R6" s="1943"/>
      <c r="S6" s="1943"/>
    </row>
    <row r="7" spans="1:19" s="1932" customFormat="1" ht="15" customHeight="1" x14ac:dyDescent="0.2">
      <c r="A7" s="1945"/>
      <c r="B7" s="1946"/>
      <c r="C7" s="1945" t="s">
        <v>1264</v>
      </c>
      <c r="D7" s="1947"/>
      <c r="E7" s="1945" t="s">
        <v>2092</v>
      </c>
      <c r="F7" s="1945"/>
      <c r="G7" s="1945" t="s">
        <v>2093</v>
      </c>
      <c r="H7" s="1947"/>
      <c r="I7" s="1948" t="s">
        <v>2094</v>
      </c>
      <c r="J7" s="1945"/>
      <c r="K7" s="1945" t="s">
        <v>2093</v>
      </c>
      <c r="L7" s="1947"/>
      <c r="M7" s="1948" t="str">
        <f>+I7</f>
        <v>7/01/18 -</v>
      </c>
      <c r="N7" s="1947"/>
      <c r="O7" s="1945" t="s">
        <v>1261</v>
      </c>
      <c r="P7" s="1945"/>
      <c r="Q7" s="1945" t="s">
        <v>2095</v>
      </c>
      <c r="R7" s="1947"/>
      <c r="S7" s="1946" t="s">
        <v>1169</v>
      </c>
    </row>
    <row r="8" spans="1:19" s="1932" customFormat="1" ht="15" customHeight="1" x14ac:dyDescent="0.2">
      <c r="A8" s="1946" t="s">
        <v>2096</v>
      </c>
      <c r="B8" s="1946"/>
      <c r="C8" s="1945" t="s">
        <v>2097</v>
      </c>
      <c r="D8" s="1947"/>
      <c r="E8" s="1945" t="s">
        <v>2097</v>
      </c>
      <c r="F8" s="1945"/>
      <c r="G8" s="1949" t="s">
        <v>2098</v>
      </c>
      <c r="H8" s="1947"/>
      <c r="I8" s="1949" t="s">
        <v>2099</v>
      </c>
      <c r="J8" s="1945"/>
      <c r="K8" s="1950" t="str">
        <f>+G8</f>
        <v>7/01/18</v>
      </c>
      <c r="L8" s="1947"/>
      <c r="M8" s="1950" t="str">
        <f>+I8</f>
        <v>6/30/19</v>
      </c>
      <c r="N8" s="1947"/>
      <c r="O8" s="1945" t="s">
        <v>2100</v>
      </c>
      <c r="P8" s="1945"/>
      <c r="Q8" s="1945" t="s">
        <v>1257</v>
      </c>
      <c r="R8" s="1947"/>
      <c r="S8" s="1945" t="s">
        <v>30</v>
      </c>
    </row>
    <row r="9" spans="1:19" s="1932" customFormat="1" ht="15" customHeight="1" x14ac:dyDescent="0.2">
      <c r="A9" s="1951" t="s">
        <v>2101</v>
      </c>
      <c r="B9" s="1947"/>
      <c r="C9" s="1952" t="s">
        <v>2102</v>
      </c>
      <c r="D9" s="1947"/>
      <c r="E9" s="1952" t="s">
        <v>2103</v>
      </c>
      <c r="F9" s="1945"/>
      <c r="G9" s="1953" t="s">
        <v>2104</v>
      </c>
      <c r="H9" s="1954"/>
      <c r="I9" s="1953" t="s">
        <v>2105</v>
      </c>
      <c r="J9" s="1955"/>
      <c r="K9" s="1953" t="s">
        <v>2106</v>
      </c>
      <c r="L9" s="1954"/>
      <c r="M9" s="1953" t="s">
        <v>2107</v>
      </c>
      <c r="N9" s="1954"/>
      <c r="O9" s="1953" t="s">
        <v>2108</v>
      </c>
      <c r="P9" s="1955"/>
      <c r="Q9" s="1953" t="s">
        <v>2109</v>
      </c>
      <c r="R9" s="1954"/>
      <c r="S9" s="1953" t="s">
        <v>2110</v>
      </c>
    </row>
    <row r="10" spans="1:19" ht="7.5" customHeight="1" x14ac:dyDescent="0.2">
      <c r="A10" s="1956"/>
      <c r="B10" s="1957"/>
      <c r="C10" s="1958"/>
      <c r="D10" s="1957"/>
      <c r="E10" s="1958"/>
      <c r="F10" s="1959"/>
      <c r="G10" s="1960"/>
      <c r="H10" s="1961"/>
      <c r="I10" s="1960"/>
      <c r="J10" s="1962"/>
      <c r="K10" s="1960"/>
      <c r="L10" s="1961"/>
      <c r="M10" s="1960"/>
      <c r="N10" s="1961"/>
      <c r="O10" s="1960"/>
      <c r="P10" s="1962"/>
      <c r="Q10" s="1960"/>
      <c r="R10" s="1961"/>
      <c r="S10" s="1960"/>
    </row>
    <row r="11" spans="1:19" ht="15" customHeight="1" x14ac:dyDescent="0.2">
      <c r="A11" s="1963" t="s">
        <v>2111</v>
      </c>
      <c r="B11" s="1964"/>
      <c r="C11" s="1957"/>
      <c r="D11" s="1957"/>
      <c r="E11" s="1957"/>
      <c r="F11" s="1959"/>
      <c r="G11" s="1961"/>
      <c r="H11" s="1961"/>
      <c r="I11" s="1961"/>
      <c r="J11" s="1962"/>
      <c r="K11" s="1961"/>
      <c r="L11" s="1961"/>
      <c r="M11" s="1961"/>
      <c r="N11" s="1961"/>
      <c r="O11" s="1961"/>
      <c r="P11" s="1962"/>
      <c r="Q11" s="1961"/>
      <c r="R11" s="1961"/>
      <c r="S11" s="1961"/>
    </row>
    <row r="12" spans="1:19" ht="15" customHeight="1" x14ac:dyDescent="0.2">
      <c r="A12" s="1963" t="s">
        <v>2112</v>
      </c>
      <c r="B12" s="1964"/>
      <c r="C12" s="1964"/>
      <c r="D12" s="1964"/>
      <c r="E12" s="1964"/>
      <c r="F12" s="1966"/>
      <c r="G12" s="1964"/>
      <c r="H12" s="1964"/>
      <c r="I12" s="1964"/>
      <c r="J12" s="1966"/>
      <c r="K12" s="1964"/>
      <c r="L12" s="1964"/>
      <c r="M12" s="1964"/>
      <c r="N12" s="1964"/>
      <c r="O12" s="1964"/>
      <c r="P12" s="1966"/>
      <c r="Q12" s="1964"/>
      <c r="R12" s="1964"/>
      <c r="S12" s="1964"/>
    </row>
    <row r="13" spans="1:19" ht="15" customHeight="1" x14ac:dyDescent="0.2">
      <c r="A13" s="1967" t="s">
        <v>2113</v>
      </c>
      <c r="B13" s="1964"/>
      <c r="C13" s="1964"/>
      <c r="D13" s="1964"/>
      <c r="E13" s="1964"/>
      <c r="F13" s="1966"/>
      <c r="G13" s="1964"/>
      <c r="H13" s="1964"/>
      <c r="I13" s="1964"/>
      <c r="J13" s="1966"/>
      <c r="K13" s="1964"/>
      <c r="L13" s="1964"/>
      <c r="M13" s="1964"/>
      <c r="N13" s="1964"/>
      <c r="O13" s="1964"/>
      <c r="P13" s="1966"/>
      <c r="Q13" s="1964"/>
      <c r="R13" s="1964"/>
      <c r="S13" s="1964"/>
    </row>
    <row r="14" spans="1:19" ht="15" customHeight="1" x14ac:dyDescent="0.2">
      <c r="A14" s="1968"/>
      <c r="B14" s="1969" t="s">
        <v>2115</v>
      </c>
      <c r="C14" s="1970">
        <v>10.555</v>
      </c>
      <c r="D14" s="1957"/>
      <c r="E14" s="1959" t="s">
        <v>2116</v>
      </c>
      <c r="F14" s="1959"/>
      <c r="G14" s="1971">
        <v>255603</v>
      </c>
      <c r="H14" s="1972"/>
      <c r="I14" s="1971">
        <v>66092</v>
      </c>
      <c r="J14" s="1971"/>
      <c r="K14" s="1971">
        <v>258138</v>
      </c>
      <c r="L14" s="1971"/>
      <c r="M14" s="1971">
        <v>63557</v>
      </c>
      <c r="N14" s="1971"/>
      <c r="O14" s="1971"/>
      <c r="P14" s="1972"/>
      <c r="Q14" s="1973">
        <f>K14+M14+O14</f>
        <v>321695</v>
      </c>
      <c r="R14" s="1971"/>
      <c r="S14" s="1974" t="s">
        <v>2117</v>
      </c>
    </row>
    <row r="15" spans="1:19" ht="15" customHeight="1" x14ac:dyDescent="0.2">
      <c r="A15" s="1968"/>
      <c r="B15" s="1969" t="s">
        <v>2115</v>
      </c>
      <c r="C15" s="1970">
        <v>10.555</v>
      </c>
      <c r="D15" s="1957"/>
      <c r="E15" s="1959" t="s">
        <v>2118</v>
      </c>
      <c r="F15" s="1959"/>
      <c r="G15" s="1971"/>
      <c r="H15" s="1971"/>
      <c r="I15" s="1971">
        <v>256610</v>
      </c>
      <c r="J15" s="1972"/>
      <c r="K15" s="1971"/>
      <c r="L15" s="1971"/>
      <c r="M15" s="1971">
        <v>258295</v>
      </c>
      <c r="N15" s="1971"/>
      <c r="O15" s="1971"/>
      <c r="P15" s="1975"/>
      <c r="Q15" s="1973">
        <f>K15+M15+O15</f>
        <v>258295</v>
      </c>
      <c r="R15" s="1971"/>
      <c r="S15" s="1974" t="s">
        <v>2117</v>
      </c>
    </row>
    <row r="16" spans="1:19" ht="10.15" customHeight="1" x14ac:dyDescent="0.2">
      <c r="A16" s="1976"/>
      <c r="B16" s="1957"/>
      <c r="C16" s="1977" t="s">
        <v>1169</v>
      </c>
      <c r="D16" s="1957"/>
      <c r="E16" s="1969" t="s">
        <v>1169</v>
      </c>
      <c r="F16" s="1959"/>
      <c r="G16" s="1971"/>
      <c r="H16" s="1971"/>
      <c r="I16" s="1971"/>
      <c r="J16" s="1972"/>
      <c r="K16" s="1971"/>
      <c r="L16" s="1971"/>
      <c r="M16" s="1971"/>
      <c r="N16" s="1971"/>
      <c r="O16" s="1971"/>
      <c r="P16" s="1972"/>
      <c r="Q16" s="1973"/>
      <c r="R16" s="1971"/>
      <c r="S16" s="1974" t="s">
        <v>1169</v>
      </c>
    </row>
    <row r="17" spans="1:19" x14ac:dyDescent="0.2">
      <c r="A17" s="1976"/>
      <c r="B17" s="1957" t="s">
        <v>2119</v>
      </c>
      <c r="C17" s="1970">
        <v>10.555</v>
      </c>
      <c r="D17" s="1957"/>
      <c r="E17" s="1959" t="s">
        <v>2120</v>
      </c>
      <c r="F17" s="1959"/>
      <c r="G17" s="1971"/>
      <c r="H17" s="1972"/>
      <c r="I17" s="1971"/>
      <c r="J17" s="1971"/>
      <c r="K17" s="1971"/>
      <c r="L17" s="1971"/>
      <c r="M17" s="1971">
        <v>5999</v>
      </c>
      <c r="N17" s="1971"/>
      <c r="O17" s="1971"/>
      <c r="P17" s="1972"/>
      <c r="Q17" s="1973">
        <f>K17+M17+O17</f>
        <v>5999</v>
      </c>
      <c r="R17" s="1971"/>
      <c r="S17" s="1974" t="s">
        <v>2117</v>
      </c>
    </row>
    <row r="18" spans="1:19" ht="10.15" customHeight="1" x14ac:dyDescent="0.2">
      <c r="A18" s="1976"/>
      <c r="B18" s="1957"/>
      <c r="C18" s="1977"/>
      <c r="D18" s="1957"/>
      <c r="E18" s="1969"/>
      <c r="F18" s="1959"/>
      <c r="G18" s="1971"/>
      <c r="H18" s="1971"/>
      <c r="I18" s="1971"/>
      <c r="J18" s="1972"/>
      <c r="K18" s="1971"/>
      <c r="L18" s="1971"/>
      <c r="M18" s="1971"/>
      <c r="N18" s="1971"/>
      <c r="O18" s="1971"/>
      <c r="P18" s="1972"/>
      <c r="Q18" s="1973"/>
      <c r="R18" s="1971"/>
      <c r="S18" s="1974"/>
    </row>
    <row r="19" spans="1:19" ht="15" customHeight="1" x14ac:dyDescent="0.2">
      <c r="A19" s="1976"/>
      <c r="B19" s="1957" t="s">
        <v>2121</v>
      </c>
      <c r="C19" s="1970">
        <v>10.555</v>
      </c>
      <c r="D19" s="1957"/>
      <c r="E19" s="1959" t="s">
        <v>2122</v>
      </c>
      <c r="F19" s="1959"/>
      <c r="G19" s="1971"/>
      <c r="H19" s="1971"/>
      <c r="I19" s="1971"/>
      <c r="J19" s="1972"/>
      <c r="K19" s="1971">
        <v>38553</v>
      </c>
      <c r="L19" s="1971"/>
      <c r="M19" s="1971"/>
      <c r="N19" s="1971"/>
      <c r="O19" s="1971"/>
      <c r="P19" s="1971"/>
      <c r="Q19" s="1973">
        <f>K19+M19+O19</f>
        <v>38553</v>
      </c>
      <c r="R19" s="1971"/>
      <c r="S19" s="1974" t="s">
        <v>2117</v>
      </c>
    </row>
    <row r="20" spans="1:19" ht="15" customHeight="1" x14ac:dyDescent="0.2">
      <c r="A20" s="1968"/>
      <c r="B20" s="1957" t="s">
        <v>2121</v>
      </c>
      <c r="C20" s="1970">
        <v>10.555</v>
      </c>
      <c r="D20" s="1957"/>
      <c r="E20" s="1959" t="s">
        <v>2120</v>
      </c>
      <c r="F20" s="1959"/>
      <c r="G20" s="1978">
        <v>0</v>
      </c>
      <c r="H20" s="1971"/>
      <c r="I20" s="1978">
        <v>0</v>
      </c>
      <c r="J20" s="1972"/>
      <c r="K20" s="1978">
        <v>0</v>
      </c>
      <c r="L20" s="1971"/>
      <c r="M20" s="1978">
        <v>29921</v>
      </c>
      <c r="N20" s="1971"/>
      <c r="O20" s="1971"/>
      <c r="P20" s="1971"/>
      <c r="Q20" s="1978">
        <f>K20+M20+O20</f>
        <v>29921</v>
      </c>
      <c r="R20" s="1971"/>
      <c r="S20" s="1974" t="s">
        <v>2117</v>
      </c>
    </row>
    <row r="21" spans="1:19" ht="15" customHeight="1" x14ac:dyDescent="0.2">
      <c r="A21" s="1968"/>
      <c r="B21" s="1957"/>
      <c r="C21" s="1970" t="s">
        <v>2123</v>
      </c>
      <c r="D21" s="1957"/>
      <c r="E21" s="1959"/>
      <c r="F21" s="1959"/>
      <c r="G21" s="1978">
        <f>SUM(G14:G20)</f>
        <v>255603</v>
      </c>
      <c r="H21" s="1971"/>
      <c r="I21" s="1978">
        <f>SUM(I14:I20)</f>
        <v>322702</v>
      </c>
      <c r="J21" s="1972"/>
      <c r="K21" s="1978">
        <f>SUM(K14:K20)</f>
        <v>296691</v>
      </c>
      <c r="L21" s="1971"/>
      <c r="M21" s="1978">
        <f>SUM(M14:M20)</f>
        <v>357772</v>
      </c>
      <c r="N21" s="1971"/>
      <c r="O21" s="1971"/>
      <c r="P21" s="1971"/>
      <c r="Q21" s="1978">
        <f>SUM(Q14:Q20)</f>
        <v>654463</v>
      </c>
      <c r="R21" s="1971"/>
      <c r="S21" s="1974"/>
    </row>
    <row r="22" spans="1:19" ht="10.15" customHeight="1" x14ac:dyDescent="0.2">
      <c r="A22" s="1976"/>
      <c r="B22" s="1957"/>
      <c r="C22" s="1970"/>
      <c r="D22" s="1957"/>
      <c r="E22" s="1959"/>
      <c r="F22" s="1959"/>
      <c r="G22" s="1971"/>
      <c r="H22" s="1971"/>
      <c r="I22" s="1971"/>
      <c r="J22" s="1972"/>
      <c r="K22" s="1971"/>
      <c r="L22" s="1971"/>
      <c r="M22" s="1971"/>
      <c r="N22" s="1971"/>
      <c r="O22" s="1971"/>
      <c r="P22" s="1971"/>
      <c r="Q22" s="1973"/>
      <c r="R22" s="1971"/>
      <c r="S22" s="1974"/>
    </row>
    <row r="23" spans="1:19" ht="15" customHeight="1" x14ac:dyDescent="0.2">
      <c r="A23" s="1968"/>
      <c r="B23" s="1947" t="s">
        <v>1059</v>
      </c>
      <c r="C23" s="1979">
        <v>10.553000000000001</v>
      </c>
      <c r="D23" s="1947"/>
      <c r="E23" s="1945" t="s">
        <v>2124</v>
      </c>
      <c r="F23" s="1959"/>
      <c r="G23" s="1971">
        <v>93914</v>
      </c>
      <c r="H23" s="1971"/>
      <c r="I23" s="1971">
        <v>17242</v>
      </c>
      <c r="J23" s="1972"/>
      <c r="K23" s="1971">
        <v>93914</v>
      </c>
      <c r="L23" s="1971"/>
      <c r="M23" s="1971">
        <v>17242</v>
      </c>
      <c r="N23" s="1971"/>
      <c r="O23" s="1971"/>
      <c r="P23" s="1971"/>
      <c r="Q23" s="1973">
        <f>K23+M23+O23</f>
        <v>111156</v>
      </c>
      <c r="R23" s="1971"/>
      <c r="S23" s="1974" t="s">
        <v>2117</v>
      </c>
    </row>
    <row r="24" spans="1:19" s="1932" customFormat="1" ht="15" customHeight="1" x14ac:dyDescent="0.2">
      <c r="A24" s="1968"/>
      <c r="B24" s="1947" t="s">
        <v>1059</v>
      </c>
      <c r="C24" s="1979">
        <v>10.553000000000001</v>
      </c>
      <c r="D24" s="1947"/>
      <c r="E24" s="1945" t="s">
        <v>2125</v>
      </c>
      <c r="F24" s="1945"/>
      <c r="G24" s="1978">
        <v>0</v>
      </c>
      <c r="H24" s="1980"/>
      <c r="I24" s="1978">
        <v>88152</v>
      </c>
      <c r="J24" s="1981"/>
      <c r="K24" s="1978">
        <v>0</v>
      </c>
      <c r="L24" s="1982"/>
      <c r="M24" s="1978">
        <v>88152</v>
      </c>
      <c r="N24" s="1982"/>
      <c r="O24" s="1978"/>
      <c r="P24" s="1982"/>
      <c r="Q24" s="1983">
        <f>K24+M24+O24</f>
        <v>88152</v>
      </c>
      <c r="R24" s="1980"/>
      <c r="S24" s="1984" t="s">
        <v>2117</v>
      </c>
    </row>
    <row r="25" spans="1:19" s="1932" customFormat="1" ht="15" customHeight="1" x14ac:dyDescent="0.2">
      <c r="A25" s="1968"/>
      <c r="B25" s="1947"/>
      <c r="C25" s="1970" t="s">
        <v>2126</v>
      </c>
      <c r="D25" s="1947"/>
      <c r="E25" s="1945"/>
      <c r="F25" s="1945"/>
      <c r="G25" s="1978">
        <f>SUM(G23:G24)</f>
        <v>93914</v>
      </c>
      <c r="H25" s="1980"/>
      <c r="I25" s="1978">
        <f>SUM(I23:I24)</f>
        <v>105394</v>
      </c>
      <c r="J25" s="1981"/>
      <c r="K25" s="1978">
        <f>SUM(K23:K24)</f>
        <v>93914</v>
      </c>
      <c r="L25" s="1982"/>
      <c r="M25" s="1978">
        <f>SUM(M23:M24)</f>
        <v>105394</v>
      </c>
      <c r="N25" s="1982"/>
      <c r="O25" s="1978"/>
      <c r="P25" s="1982"/>
      <c r="Q25" s="1978">
        <f>SUM(Q23:Q24)</f>
        <v>199308</v>
      </c>
      <c r="R25" s="1980"/>
      <c r="S25" s="1984"/>
    </row>
    <row r="26" spans="1:19" s="1932" customFormat="1" ht="15" customHeight="1" x14ac:dyDescent="0.2">
      <c r="A26" s="1985" t="s">
        <v>2127</v>
      </c>
      <c r="B26" s="1947"/>
      <c r="C26" s="1979"/>
      <c r="D26" s="1947"/>
      <c r="E26" s="1945" t="s">
        <v>2128</v>
      </c>
      <c r="F26" s="1945"/>
      <c r="G26" s="1982">
        <f>SUM(G21,G25)</f>
        <v>349517</v>
      </c>
      <c r="H26" s="1982"/>
      <c r="I26" s="1982">
        <f>SUM(I21,I25)</f>
        <v>428096</v>
      </c>
      <c r="J26" s="1982"/>
      <c r="K26" s="1982">
        <f>SUM(K21,K25)</f>
        <v>390605</v>
      </c>
      <c r="L26" s="1982"/>
      <c r="M26" s="1982">
        <f>SUM(M21,M25)</f>
        <v>463166</v>
      </c>
      <c r="N26" s="1982"/>
      <c r="O26" s="1982"/>
      <c r="P26" s="1982"/>
      <c r="Q26" s="1982">
        <f>SUM(Q21,Q25)</f>
        <v>853771</v>
      </c>
      <c r="R26" s="1980"/>
      <c r="S26" s="1986"/>
    </row>
    <row r="27" spans="1:19" ht="7.5" customHeight="1" x14ac:dyDescent="0.2">
      <c r="A27" s="1959"/>
      <c r="B27" s="1957"/>
      <c r="C27" s="1970"/>
      <c r="D27" s="1957"/>
      <c r="E27" s="1959"/>
      <c r="F27" s="1959"/>
      <c r="G27" s="1971"/>
      <c r="H27" s="1971"/>
      <c r="I27" s="1971"/>
      <c r="J27" s="1972"/>
      <c r="K27" s="1971"/>
      <c r="L27" s="1971"/>
      <c r="M27" s="1971"/>
      <c r="N27" s="1971"/>
      <c r="O27" s="1971"/>
      <c r="P27" s="1972"/>
      <c r="Q27" s="1975"/>
      <c r="R27" s="1971"/>
      <c r="S27" s="1987"/>
    </row>
    <row r="28" spans="1:19" ht="15" customHeight="1" x14ac:dyDescent="0.2">
      <c r="A28" s="1963" t="s">
        <v>2129</v>
      </c>
      <c r="B28" s="1957"/>
      <c r="C28" s="1970"/>
      <c r="D28" s="1957"/>
      <c r="E28" s="1959"/>
      <c r="F28" s="1959"/>
      <c r="G28" s="1971"/>
      <c r="H28" s="1971"/>
      <c r="I28" s="1971"/>
      <c r="J28" s="1972"/>
      <c r="K28" s="1971"/>
      <c r="L28" s="1971"/>
      <c r="M28" s="1971"/>
      <c r="N28" s="1971"/>
      <c r="O28" s="1971"/>
      <c r="P28" s="1972"/>
      <c r="Q28" s="1975"/>
      <c r="R28" s="1971"/>
      <c r="S28" s="1987"/>
    </row>
    <row r="29" spans="1:19" ht="15" customHeight="1" x14ac:dyDescent="0.2">
      <c r="A29" s="1963" t="s">
        <v>2112</v>
      </c>
      <c r="B29" s="1957"/>
      <c r="C29" s="1970"/>
      <c r="D29" s="1957"/>
      <c r="E29" s="1959"/>
      <c r="F29" s="1959"/>
      <c r="G29" s="1971"/>
      <c r="H29" s="1971"/>
      <c r="I29" s="1971"/>
      <c r="J29" s="1972"/>
      <c r="K29" s="1971"/>
      <c r="L29" s="1971"/>
      <c r="M29" s="1971"/>
      <c r="N29" s="1971"/>
      <c r="O29" s="1971"/>
      <c r="P29" s="1972"/>
      <c r="Q29" s="1975"/>
      <c r="R29" s="1971"/>
      <c r="S29" s="1987"/>
    </row>
    <row r="30" spans="1:19" ht="15" customHeight="1" x14ac:dyDescent="0.2">
      <c r="A30" s="1963" t="s">
        <v>2113</v>
      </c>
      <c r="B30" s="1957"/>
      <c r="C30" s="1988"/>
      <c r="D30" s="1957"/>
      <c r="E30" s="1959"/>
      <c r="F30" s="1959"/>
      <c r="G30" s="1971"/>
      <c r="H30" s="1971"/>
      <c r="I30" s="1971"/>
      <c r="J30" s="1972"/>
      <c r="K30" s="1971"/>
      <c r="L30" s="1971"/>
      <c r="M30" s="1971"/>
      <c r="N30" s="1971"/>
      <c r="O30" s="1971"/>
      <c r="P30" s="1972"/>
      <c r="Q30" s="1975"/>
      <c r="R30" s="1971"/>
      <c r="S30" s="1987"/>
    </row>
    <row r="31" spans="1:19" ht="10.15" hidden="1" customHeight="1" x14ac:dyDescent="0.2">
      <c r="A31" s="1989"/>
      <c r="B31" s="1969"/>
      <c r="C31" s="1970"/>
      <c r="D31" s="1957"/>
      <c r="E31" s="1959"/>
      <c r="F31" s="1959"/>
      <c r="G31" s="1975"/>
      <c r="H31" s="1974"/>
      <c r="I31" s="1975"/>
      <c r="J31" s="1974"/>
      <c r="K31" s="1975"/>
      <c r="L31" s="1975"/>
      <c r="M31" s="1975"/>
      <c r="N31" s="1975"/>
      <c r="O31" s="1975"/>
      <c r="P31" s="1974"/>
      <c r="Q31" s="1973"/>
      <c r="R31" s="1975"/>
      <c r="S31" s="1975"/>
    </row>
    <row r="32" spans="1:19" ht="15" customHeight="1" x14ac:dyDescent="0.2">
      <c r="A32" s="1989"/>
      <c r="B32" s="1969" t="s">
        <v>2130</v>
      </c>
      <c r="C32" s="1970" t="s">
        <v>2131</v>
      </c>
      <c r="D32" s="1957"/>
      <c r="E32" s="1959" t="s">
        <v>2132</v>
      </c>
      <c r="F32" s="1959"/>
      <c r="G32" s="1975"/>
      <c r="H32" s="1974"/>
      <c r="I32" s="1975">
        <v>12578</v>
      </c>
      <c r="J32" s="1974"/>
      <c r="K32" s="1975"/>
      <c r="L32" s="1975"/>
      <c r="M32" s="1975">
        <v>12578</v>
      </c>
      <c r="N32" s="1975"/>
      <c r="O32" s="1975">
        <v>2634</v>
      </c>
      <c r="P32" s="1974">
        <v>-2</v>
      </c>
      <c r="Q32" s="1973">
        <f>O32+M32+K32</f>
        <v>15212</v>
      </c>
      <c r="R32" s="1975"/>
      <c r="S32" s="1975">
        <v>15750</v>
      </c>
    </row>
    <row r="33" spans="1:19" ht="11.25" customHeight="1" x14ac:dyDescent="0.2">
      <c r="A33" s="1989"/>
      <c r="B33" s="1969"/>
      <c r="C33" s="1970"/>
      <c r="D33" s="1957"/>
      <c r="E33" s="1959"/>
      <c r="F33" s="1959"/>
      <c r="G33" s="1975"/>
      <c r="H33" s="1974"/>
      <c r="I33" s="1975"/>
      <c r="J33" s="1974"/>
      <c r="K33" s="1975"/>
      <c r="L33" s="1975"/>
      <c r="M33" s="1975"/>
      <c r="N33" s="1975"/>
      <c r="O33" s="1975"/>
      <c r="P33" s="1974"/>
      <c r="Q33" s="1973"/>
      <c r="R33" s="1975"/>
      <c r="S33" s="1975"/>
    </row>
    <row r="34" spans="1:19" ht="15" customHeight="1" x14ac:dyDescent="0.2">
      <c r="A34" s="1989"/>
      <c r="B34" s="1969" t="s">
        <v>2133</v>
      </c>
      <c r="C34" s="1970" t="s">
        <v>2134</v>
      </c>
      <c r="D34" s="1957"/>
      <c r="E34" s="1959" t="s">
        <v>2135</v>
      </c>
      <c r="F34" s="1989"/>
      <c r="G34" s="1975"/>
      <c r="H34" s="1974"/>
      <c r="I34" s="1975">
        <v>9885</v>
      </c>
      <c r="J34" s="1975"/>
      <c r="K34" s="1975">
        <v>9885</v>
      </c>
      <c r="L34" s="1975"/>
      <c r="M34" s="1975"/>
      <c r="N34" s="1974"/>
      <c r="O34" s="1975"/>
      <c r="P34" s="1974"/>
      <c r="Q34" s="1973">
        <f>O34+M34+K34</f>
        <v>9885</v>
      </c>
      <c r="R34" s="1975"/>
      <c r="S34" s="1975">
        <v>10000</v>
      </c>
    </row>
    <row r="35" spans="1:19" ht="15" customHeight="1" x14ac:dyDescent="0.2">
      <c r="A35" s="1989"/>
      <c r="B35" s="1969" t="s">
        <v>2133</v>
      </c>
      <c r="C35" s="1970" t="s">
        <v>2134</v>
      </c>
      <c r="D35" s="1957"/>
      <c r="E35" s="1959" t="s">
        <v>2136</v>
      </c>
      <c r="F35" s="1989"/>
      <c r="G35" s="1975"/>
      <c r="H35" s="1974"/>
      <c r="I35" s="1975">
        <v>23767</v>
      </c>
      <c r="J35" s="1974"/>
      <c r="K35" s="1975"/>
      <c r="L35" s="1975"/>
      <c r="M35" s="1975">
        <v>23767</v>
      </c>
      <c r="N35" s="1975"/>
      <c r="O35" s="1975">
        <v>4780</v>
      </c>
      <c r="P35" s="1974">
        <v>-2</v>
      </c>
      <c r="Q35" s="1973">
        <f>O35+M35+K35</f>
        <v>28547</v>
      </c>
      <c r="R35" s="1975"/>
      <c r="S35" s="1975">
        <v>28549</v>
      </c>
    </row>
    <row r="36" spans="1:19" ht="10.15" customHeight="1" x14ac:dyDescent="0.2">
      <c r="A36" s="1989"/>
      <c r="B36" s="1969"/>
      <c r="C36" s="1970"/>
      <c r="D36" s="1957"/>
      <c r="E36" s="1959"/>
      <c r="F36" s="1959"/>
      <c r="G36" s="1975"/>
      <c r="H36" s="1974"/>
      <c r="I36" s="1975"/>
      <c r="J36" s="1974"/>
      <c r="K36" s="1975"/>
      <c r="L36" s="1975"/>
      <c r="M36" s="1975"/>
      <c r="N36" s="1975"/>
      <c r="O36" s="1975"/>
      <c r="P36" s="1974"/>
      <c r="Q36" s="1973"/>
      <c r="R36" s="1975"/>
      <c r="S36" s="1975"/>
    </row>
    <row r="37" spans="1:19" ht="15" customHeight="1" x14ac:dyDescent="0.2">
      <c r="A37" s="1968" t="s">
        <v>2114</v>
      </c>
      <c r="B37" s="1969" t="s">
        <v>918</v>
      </c>
      <c r="C37" s="1970">
        <v>84.01</v>
      </c>
      <c r="D37" s="1957"/>
      <c r="E37" s="1959" t="s">
        <v>2137</v>
      </c>
      <c r="F37" s="1959"/>
      <c r="G37" s="1975">
        <v>165570</v>
      </c>
      <c r="H37" s="1975"/>
      <c r="I37" s="1975">
        <v>120783</v>
      </c>
      <c r="J37" s="1975"/>
      <c r="K37" s="1975">
        <v>265749</v>
      </c>
      <c r="L37" s="1975"/>
      <c r="M37" s="1975">
        <v>20604</v>
      </c>
      <c r="N37" s="1990"/>
      <c r="O37" s="1975"/>
      <c r="P37" s="1972"/>
      <c r="Q37" s="1973">
        <f>O37+M37+K37</f>
        <v>286353</v>
      </c>
      <c r="R37" s="1975"/>
      <c r="S37" s="1975">
        <v>307207</v>
      </c>
    </row>
    <row r="38" spans="1:19" ht="15" customHeight="1" x14ac:dyDescent="0.2">
      <c r="A38" s="1968" t="s">
        <v>2114</v>
      </c>
      <c r="B38" s="1969" t="s">
        <v>918</v>
      </c>
      <c r="C38" s="1970">
        <v>84.01</v>
      </c>
      <c r="D38" s="1991"/>
      <c r="E38" s="1959" t="s">
        <v>2138</v>
      </c>
      <c r="F38" s="1992"/>
      <c r="G38" s="1975"/>
      <c r="H38" s="1975"/>
      <c r="I38" s="1975">
        <v>190911</v>
      </c>
      <c r="J38" s="1975"/>
      <c r="K38" s="1975"/>
      <c r="L38" s="1975"/>
      <c r="M38" s="1975">
        <v>286987</v>
      </c>
      <c r="N38" s="1975"/>
      <c r="O38" s="1975">
        <v>12445</v>
      </c>
      <c r="P38" s="1975">
        <v>-2</v>
      </c>
      <c r="Q38" s="1973">
        <f>O38+M38+K38</f>
        <v>299432</v>
      </c>
      <c r="R38" s="1975"/>
      <c r="S38" s="1975">
        <v>334251</v>
      </c>
    </row>
    <row r="39" spans="1:19" ht="10.15" customHeight="1" x14ac:dyDescent="0.2">
      <c r="A39" s="1989"/>
      <c r="B39" s="1957"/>
      <c r="C39" s="1957"/>
      <c r="D39" s="1957"/>
      <c r="E39" s="1957"/>
      <c r="F39" s="1959"/>
      <c r="G39" s="1971"/>
      <c r="H39" s="1971"/>
      <c r="I39" s="1971"/>
      <c r="J39" s="1972"/>
      <c r="K39" s="1971"/>
      <c r="L39" s="1971"/>
      <c r="M39" s="1971"/>
      <c r="N39" s="1971"/>
      <c r="O39" s="1971"/>
      <c r="P39" s="1972"/>
      <c r="Q39" s="1973"/>
      <c r="R39" s="1971"/>
      <c r="S39" s="1971"/>
    </row>
    <row r="40" spans="1:19" ht="15" customHeight="1" x14ac:dyDescent="0.2">
      <c r="A40" s="1968" t="s">
        <v>2114</v>
      </c>
      <c r="B40" s="1969" t="s">
        <v>2139</v>
      </c>
      <c r="C40" s="1970">
        <v>84.027000000000001</v>
      </c>
      <c r="D40" s="1957"/>
      <c r="E40" s="1959" t="s">
        <v>2140</v>
      </c>
      <c r="F40" s="1959"/>
      <c r="G40" s="1975">
        <v>126352</v>
      </c>
      <c r="H40" s="1974"/>
      <c r="I40" s="1961">
        <v>67495</v>
      </c>
      <c r="J40" s="1961"/>
      <c r="K40" s="1961">
        <v>157802</v>
      </c>
      <c r="L40" s="1975"/>
      <c r="M40" s="1975">
        <v>36045</v>
      </c>
      <c r="N40" s="1975"/>
      <c r="O40" s="1975"/>
      <c r="P40" s="1974"/>
      <c r="Q40" s="1973">
        <f>O40+M40+K40</f>
        <v>193847</v>
      </c>
      <c r="R40" s="1975"/>
      <c r="S40" s="1993" t="s">
        <v>2117</v>
      </c>
    </row>
    <row r="41" spans="1:19" ht="15" customHeight="1" x14ac:dyDescent="0.2">
      <c r="A41" s="1968" t="s">
        <v>2114</v>
      </c>
      <c r="B41" s="1969" t="s">
        <v>2139</v>
      </c>
      <c r="C41" s="1970">
        <v>84.027000000000001</v>
      </c>
      <c r="D41" s="1957"/>
      <c r="E41" s="1959" t="s">
        <v>2141</v>
      </c>
      <c r="F41" s="1959"/>
      <c r="G41" s="1975"/>
      <c r="H41" s="1975"/>
      <c r="I41" s="1975">
        <v>104430</v>
      </c>
      <c r="J41" s="1974"/>
      <c r="K41" s="1961"/>
      <c r="L41" s="1961"/>
      <c r="M41" s="1961">
        <v>116033</v>
      </c>
      <c r="N41" s="1975"/>
      <c r="O41" s="1975"/>
      <c r="P41" s="1974">
        <v>-2</v>
      </c>
      <c r="Q41" s="1973">
        <f>O41+M41+K41</f>
        <v>116033</v>
      </c>
      <c r="R41" s="1975"/>
      <c r="S41" s="1993" t="s">
        <v>2117</v>
      </c>
    </row>
    <row r="42" spans="1:19" ht="10.15" customHeight="1" x14ac:dyDescent="0.2">
      <c r="A42" s="1989"/>
      <c r="B42" s="1957"/>
      <c r="C42" s="1970"/>
      <c r="D42" s="1957"/>
      <c r="E42" s="1959"/>
      <c r="F42" s="1959"/>
      <c r="G42" s="1975"/>
      <c r="H42" s="1975"/>
      <c r="I42" s="1975"/>
      <c r="J42" s="1974"/>
      <c r="K42" s="1961"/>
      <c r="L42" s="1961"/>
      <c r="M42" s="1961"/>
      <c r="N42" s="1975"/>
      <c r="O42" s="1975"/>
      <c r="P42" s="1974"/>
      <c r="Q42" s="1973"/>
      <c r="R42" s="1975"/>
      <c r="S42" s="1975"/>
    </row>
    <row r="43" spans="1:19" ht="15" customHeight="1" x14ac:dyDescent="0.2">
      <c r="A43" s="1989"/>
      <c r="B43" s="1957" t="s">
        <v>758</v>
      </c>
      <c r="C43" s="1970">
        <v>84.367000000000004</v>
      </c>
      <c r="D43" s="1957"/>
      <c r="E43" s="1959" t="s">
        <v>2142</v>
      </c>
      <c r="F43" s="1959"/>
      <c r="G43" s="1975">
        <v>37513</v>
      </c>
      <c r="H43" s="1974"/>
      <c r="I43" s="1975">
        <v>14865</v>
      </c>
      <c r="J43" s="1975"/>
      <c r="K43" s="1975">
        <v>52378</v>
      </c>
      <c r="L43" s="1975"/>
      <c r="M43" s="1975" t="s">
        <v>1169</v>
      </c>
      <c r="N43" s="1975"/>
      <c r="O43" s="1975"/>
      <c r="P43" s="1974"/>
      <c r="Q43" s="1973">
        <f>O43+M43+K43</f>
        <v>52378</v>
      </c>
      <c r="R43" s="1975"/>
      <c r="S43" s="1975">
        <v>52503</v>
      </c>
    </row>
    <row r="44" spans="1:19" ht="15" customHeight="1" x14ac:dyDescent="0.2">
      <c r="A44" s="1989"/>
      <c r="B44" s="1957" t="s">
        <v>758</v>
      </c>
      <c r="C44" s="1970">
        <v>84.367000000000004</v>
      </c>
      <c r="D44" s="1957"/>
      <c r="E44" s="1959" t="s">
        <v>2143</v>
      </c>
      <c r="F44" s="1959"/>
      <c r="G44" s="1975"/>
      <c r="H44" s="1975"/>
      <c r="I44" s="1975">
        <v>28779</v>
      </c>
      <c r="J44" s="1974"/>
      <c r="K44" s="1975" t="s">
        <v>1169</v>
      </c>
      <c r="L44" s="1975"/>
      <c r="M44" s="1975">
        <v>40766</v>
      </c>
      <c r="N44" s="1975"/>
      <c r="O44" s="1975" t="s">
        <v>1169</v>
      </c>
      <c r="P44" s="1974">
        <v>-2</v>
      </c>
      <c r="Q44" s="1973">
        <f>O44+M44+K44</f>
        <v>40766</v>
      </c>
      <c r="R44" s="1975"/>
      <c r="S44" s="1975">
        <v>43743</v>
      </c>
    </row>
    <row r="45" spans="1:19" ht="9.75" hidden="1" customHeight="1" x14ac:dyDescent="0.35">
      <c r="A45" s="1969"/>
      <c r="B45" s="1969"/>
      <c r="C45" s="1994"/>
      <c r="D45" s="1957"/>
      <c r="E45" s="1959"/>
      <c r="F45" s="1959"/>
      <c r="G45" s="1995"/>
      <c r="H45" s="1971"/>
      <c r="I45" s="1995"/>
      <c r="J45" s="1972"/>
      <c r="K45" s="1995"/>
      <c r="L45" s="1971"/>
      <c r="M45" s="1995"/>
      <c r="N45" s="1996"/>
      <c r="O45" s="1995"/>
      <c r="P45" s="1997"/>
      <c r="Q45" s="1995"/>
      <c r="R45" s="1971"/>
      <c r="S45" s="1995"/>
    </row>
    <row r="46" spans="1:19" ht="15" hidden="1" customHeight="1" x14ac:dyDescent="0.35">
      <c r="A46" s="1963" t="s">
        <v>2112</v>
      </c>
      <c r="B46" s="1957"/>
      <c r="C46" s="1994"/>
      <c r="D46" s="1957"/>
      <c r="E46" s="1959"/>
      <c r="F46" s="1959"/>
      <c r="G46" s="1995"/>
      <c r="H46" s="1971"/>
      <c r="I46" s="1995"/>
      <c r="J46" s="1972"/>
      <c r="K46" s="1995"/>
      <c r="L46" s="1971"/>
      <c r="M46" s="1995"/>
      <c r="N46" s="1996"/>
      <c r="O46" s="1995"/>
      <c r="P46" s="1997"/>
      <c r="Q46" s="1995"/>
      <c r="R46" s="1971"/>
      <c r="S46" s="1995"/>
    </row>
    <row r="47" spans="1:19" ht="15.75" hidden="1" customHeight="1" x14ac:dyDescent="0.35">
      <c r="A47" s="1963" t="s">
        <v>2144</v>
      </c>
      <c r="B47" s="1957"/>
      <c r="C47" s="1994"/>
      <c r="D47" s="1957"/>
      <c r="E47" s="1959"/>
      <c r="F47" s="1959"/>
      <c r="G47" s="1995"/>
      <c r="H47" s="1971"/>
      <c r="I47" s="1995"/>
      <c r="J47" s="1972"/>
      <c r="K47" s="1995"/>
      <c r="L47" s="1971"/>
      <c r="M47" s="1995"/>
      <c r="N47" s="1996"/>
      <c r="O47" s="1995"/>
      <c r="P47" s="1997"/>
      <c r="Q47" s="1995"/>
      <c r="R47" s="1971"/>
      <c r="S47" s="1995"/>
    </row>
    <row r="48" spans="1:19" ht="16.5" hidden="1" customHeight="1" x14ac:dyDescent="0.35">
      <c r="A48" s="1989"/>
      <c r="B48" s="1969" t="s">
        <v>2145</v>
      </c>
      <c r="C48" s="1994">
        <v>84.01</v>
      </c>
      <c r="D48" s="1957"/>
      <c r="E48" s="1998" t="s">
        <v>2146</v>
      </c>
      <c r="F48" s="1959"/>
      <c r="G48" s="1995"/>
      <c r="H48" s="1971"/>
      <c r="I48" s="1999"/>
      <c r="J48" s="1972"/>
      <c r="K48" s="1995"/>
      <c r="L48" s="1971"/>
      <c r="M48" s="1999"/>
      <c r="N48" s="1996"/>
      <c r="O48" s="1995"/>
      <c r="P48" s="1997"/>
      <c r="Q48" s="1973">
        <f>O48+M48+K48</f>
        <v>0</v>
      </c>
      <c r="R48" s="1975"/>
      <c r="S48" s="2000">
        <v>0</v>
      </c>
    </row>
    <row r="49" spans="1:19" ht="15" hidden="1" customHeight="1" x14ac:dyDescent="0.2">
      <c r="A49" s="1963" t="s">
        <v>2112</v>
      </c>
      <c r="B49" s="1969"/>
      <c r="C49" s="1994"/>
      <c r="D49" s="1957"/>
      <c r="E49" s="1959"/>
      <c r="F49" s="1959"/>
      <c r="G49" s="1971"/>
      <c r="H49" s="1971"/>
      <c r="I49" s="1971"/>
      <c r="J49" s="1972"/>
      <c r="K49" s="1971"/>
      <c r="L49" s="1971"/>
      <c r="M49" s="1971"/>
      <c r="N49" s="1971"/>
      <c r="O49" s="1971"/>
      <c r="P49" s="1997"/>
      <c r="Q49" s="1975"/>
      <c r="R49" s="1971"/>
      <c r="S49" s="1971"/>
    </row>
    <row r="50" spans="1:19" ht="15" hidden="1" customHeight="1" x14ac:dyDescent="0.2">
      <c r="A50" s="1963" t="s">
        <v>2147</v>
      </c>
      <c r="B50" s="1969"/>
      <c r="C50" s="1994"/>
      <c r="D50" s="1957"/>
      <c r="E50" s="1959"/>
      <c r="F50" s="1959"/>
      <c r="G50" s="1971"/>
      <c r="H50" s="1971"/>
      <c r="I50" s="1971"/>
      <c r="J50" s="1972"/>
      <c r="K50" s="1971"/>
      <c r="L50" s="1971"/>
      <c r="M50" s="1971"/>
      <c r="N50" s="1971"/>
      <c r="O50" s="1971"/>
      <c r="P50" s="1997"/>
      <c r="Q50" s="1975"/>
      <c r="R50" s="1971"/>
      <c r="S50" s="1971"/>
    </row>
    <row r="51" spans="1:19" s="1932" customFormat="1" ht="15.75" hidden="1" customHeight="1" x14ac:dyDescent="0.2">
      <c r="A51" s="1985"/>
      <c r="B51" s="2001" t="s">
        <v>2148</v>
      </c>
      <c r="C51" s="1979">
        <v>84.126000000000005</v>
      </c>
      <c r="D51" s="1947"/>
      <c r="E51" s="1945" t="s">
        <v>2149</v>
      </c>
      <c r="F51" s="1945"/>
      <c r="G51" s="1980"/>
      <c r="H51" s="1980"/>
      <c r="I51" s="1980"/>
      <c r="J51" s="1980"/>
      <c r="K51" s="1980"/>
      <c r="L51" s="1980"/>
      <c r="M51" s="1980"/>
      <c r="N51" s="1980"/>
      <c r="O51" s="1980"/>
      <c r="P51" s="1980"/>
      <c r="Q51" s="1980"/>
      <c r="R51" s="1982"/>
      <c r="S51" s="2002"/>
    </row>
    <row r="52" spans="1:19" s="1932" customFormat="1" ht="15.75" hidden="1" customHeight="1" x14ac:dyDescent="0.2">
      <c r="A52" s="1985"/>
      <c r="B52" s="2001" t="s">
        <v>2150</v>
      </c>
      <c r="C52" s="1979">
        <v>84.126000000000005</v>
      </c>
      <c r="D52" s="1947"/>
      <c r="E52" s="1945" t="s">
        <v>2151</v>
      </c>
      <c r="F52" s="1945"/>
      <c r="G52" s="1980"/>
      <c r="H52" s="1980"/>
      <c r="I52" s="2003"/>
      <c r="J52" s="1980"/>
      <c r="K52" s="1980"/>
      <c r="L52" s="1980"/>
      <c r="M52" s="2004"/>
      <c r="N52" s="1980"/>
      <c r="O52" s="1980"/>
      <c r="P52" s="1980"/>
      <c r="Q52" s="1980"/>
      <c r="R52" s="1982"/>
      <c r="S52" s="2002"/>
    </row>
    <row r="53" spans="1:19" s="1932" customFormat="1" ht="16.5" hidden="1" customHeight="1" x14ac:dyDescent="0.2">
      <c r="A53" s="1985"/>
      <c r="B53" s="2001" t="s">
        <v>2148</v>
      </c>
      <c r="C53" s="1979">
        <v>84.126000000000005</v>
      </c>
      <c r="D53" s="1947"/>
      <c r="E53" s="1945" t="s">
        <v>2152</v>
      </c>
      <c r="F53" s="1945"/>
      <c r="G53" s="1980"/>
      <c r="H53" s="1980"/>
      <c r="I53" s="1980"/>
      <c r="J53" s="1980"/>
      <c r="K53" s="1980"/>
      <c r="L53" s="1980"/>
      <c r="M53" s="1980"/>
      <c r="N53" s="1980"/>
      <c r="O53" s="1980"/>
      <c r="P53" s="1980"/>
      <c r="Q53" s="2005"/>
      <c r="R53" s="2006"/>
      <c r="S53" s="2002"/>
    </row>
    <row r="54" spans="1:19" ht="10.15" customHeight="1" x14ac:dyDescent="0.35">
      <c r="A54" s="1969"/>
      <c r="B54" s="1969"/>
      <c r="C54" s="1994"/>
      <c r="D54" s="1957"/>
      <c r="E54" s="1959"/>
      <c r="F54" s="1959"/>
      <c r="G54" s="1995"/>
      <c r="H54" s="1971"/>
      <c r="I54" s="1995"/>
      <c r="J54" s="1972"/>
      <c r="K54" s="1995"/>
      <c r="L54" s="1971"/>
      <c r="M54" s="1995"/>
      <c r="N54" s="1971"/>
      <c r="O54" s="1995"/>
      <c r="P54" s="1997"/>
      <c r="Q54" s="1995"/>
      <c r="R54" s="1971"/>
      <c r="S54" s="1971"/>
    </row>
    <row r="55" spans="1:19" s="1932" customFormat="1" ht="14.25" customHeight="1" x14ac:dyDescent="0.2">
      <c r="A55" s="1985" t="s">
        <v>2112</v>
      </c>
      <c r="B55" s="1946"/>
      <c r="C55" s="2007"/>
      <c r="D55" s="1947"/>
      <c r="E55" s="1945"/>
      <c r="F55" s="1945"/>
      <c r="G55" s="1982"/>
      <c r="H55" s="1980"/>
      <c r="I55" s="1982"/>
      <c r="J55" s="1982"/>
      <c r="K55" s="1982"/>
      <c r="L55" s="1982"/>
      <c r="M55" s="1982"/>
      <c r="N55" s="1982"/>
      <c r="O55" s="1982"/>
      <c r="P55" s="1982"/>
      <c r="Q55" s="1982"/>
      <c r="R55" s="1982"/>
      <c r="S55" s="1971"/>
    </row>
    <row r="56" spans="1:19" ht="14.25" customHeight="1" x14ac:dyDescent="0.2">
      <c r="A56" s="1963" t="s">
        <v>2153</v>
      </c>
      <c r="B56" s="1969"/>
      <c r="C56" s="1964"/>
      <c r="D56" s="1964"/>
      <c r="E56" s="1964"/>
      <c r="F56" s="1966"/>
      <c r="G56" s="1964"/>
      <c r="H56" s="1964"/>
      <c r="I56" s="1964"/>
      <c r="J56" s="1966"/>
      <c r="K56" s="1964"/>
      <c r="L56" s="1964"/>
      <c r="M56" s="1964"/>
      <c r="N56" s="1964"/>
      <c r="O56" s="1964"/>
      <c r="P56" s="1966"/>
      <c r="Q56" s="1964"/>
      <c r="R56" s="1964"/>
      <c r="S56" s="1964"/>
    </row>
    <row r="57" spans="1:19" ht="15" customHeight="1" x14ac:dyDescent="0.2">
      <c r="A57" s="1989"/>
      <c r="B57" s="1957" t="s">
        <v>2154</v>
      </c>
      <c r="C57" s="1970">
        <v>84.027000000000001</v>
      </c>
      <c r="D57" s="1957"/>
      <c r="E57" s="1959" t="s">
        <v>2155</v>
      </c>
      <c r="F57" s="1959"/>
      <c r="G57" s="1975">
        <f>100922+15320</f>
        <v>116242</v>
      </c>
      <c r="H57" s="1959"/>
      <c r="I57" s="1975" t="s">
        <v>1169</v>
      </c>
      <c r="J57" s="1957"/>
      <c r="K57" s="2008">
        <v>116242</v>
      </c>
      <c r="L57" s="2008"/>
      <c r="M57" s="2008"/>
      <c r="N57" s="1957"/>
      <c r="O57" s="1957"/>
      <c r="P57" s="1959"/>
      <c r="Q57" s="1973">
        <f>O57+M57+K57</f>
        <v>116242</v>
      </c>
      <c r="R57" s="1957"/>
      <c r="S57" s="1993">
        <v>116317</v>
      </c>
    </row>
    <row r="58" spans="1:19" ht="15" customHeight="1" x14ac:dyDescent="0.2">
      <c r="A58" s="1968" t="s">
        <v>2114</v>
      </c>
      <c r="B58" s="1957" t="s">
        <v>2154</v>
      </c>
      <c r="C58" s="1970">
        <v>84.027000000000001</v>
      </c>
      <c r="D58" s="1991"/>
      <c r="E58" s="1959" t="s">
        <v>2156</v>
      </c>
      <c r="F58" s="1959"/>
      <c r="G58" s="1978">
        <v>0</v>
      </c>
      <c r="H58" s="1957"/>
      <c r="I58" s="1978">
        <v>116470</v>
      </c>
      <c r="J58" s="1959"/>
      <c r="K58" s="1978">
        <v>0</v>
      </c>
      <c r="L58" s="1957"/>
      <c r="M58" s="1978">
        <v>116470</v>
      </c>
      <c r="N58" s="2008"/>
      <c r="O58" s="1978">
        <v>0</v>
      </c>
      <c r="P58" s="2008"/>
      <c r="Q58" s="1978">
        <f>O58+M58+K58</f>
        <v>116470</v>
      </c>
      <c r="R58" s="2008"/>
      <c r="S58" s="2008">
        <v>116613</v>
      </c>
    </row>
    <row r="59" spans="1:19" ht="15" customHeight="1" x14ac:dyDescent="0.2">
      <c r="A59" s="1968"/>
      <c r="B59" s="1957"/>
      <c r="C59" s="1970" t="s">
        <v>2157</v>
      </c>
      <c r="D59" s="1991"/>
      <c r="E59" s="1959"/>
      <c r="F59" s="1959"/>
      <c r="G59" s="1978">
        <f>SUM(G40:G41,G57:G58)</f>
        <v>242594</v>
      </c>
      <c r="H59" s="1957"/>
      <c r="I59" s="1978">
        <f>SUM(I40:I41,I57:I58)</f>
        <v>288395</v>
      </c>
      <c r="J59" s="1959"/>
      <c r="K59" s="1978">
        <f>SUM(K40:K41,K57:K58)</f>
        <v>274044</v>
      </c>
      <c r="L59" s="1957"/>
      <c r="M59" s="1978">
        <f>SUM(M40:M41,M57:M58)</f>
        <v>268548</v>
      </c>
      <c r="N59" s="2008"/>
      <c r="O59" s="1978">
        <f>SUM(O40:O41,O57:O58)</f>
        <v>0</v>
      </c>
      <c r="P59" s="2008"/>
      <c r="Q59" s="1978">
        <f>SUM(Q40:Q41,Q57:Q58)</f>
        <v>542592</v>
      </c>
      <c r="R59" s="2008"/>
      <c r="S59" s="2008"/>
    </row>
    <row r="60" spans="1:19" s="1932" customFormat="1" ht="15" hidden="1" customHeight="1" x14ac:dyDescent="0.2">
      <c r="A60" s="1985" t="s">
        <v>2112</v>
      </c>
      <c r="B60" s="1946"/>
      <c r="C60" s="2007"/>
      <c r="D60" s="1947"/>
      <c r="E60" s="1945"/>
      <c r="F60" s="1945"/>
      <c r="G60" s="1982"/>
      <c r="H60" s="1980"/>
      <c r="I60" s="1982"/>
      <c r="J60" s="1982"/>
      <c r="K60" s="1982"/>
      <c r="L60" s="1982"/>
      <c r="M60" s="1982"/>
      <c r="N60" s="1982"/>
      <c r="O60" s="1982"/>
      <c r="P60" s="1982"/>
      <c r="Q60" s="1982"/>
      <c r="R60" s="1982"/>
      <c r="S60" s="2002"/>
    </row>
    <row r="61" spans="1:19" ht="15" hidden="1" customHeight="1" x14ac:dyDescent="0.2">
      <c r="A61" s="1963" t="s">
        <v>2158</v>
      </c>
      <c r="B61" s="1969"/>
      <c r="C61" s="1964"/>
      <c r="D61" s="1964"/>
      <c r="E61" s="1964"/>
      <c r="F61" s="1966"/>
      <c r="G61" s="1964"/>
      <c r="H61" s="1964"/>
      <c r="I61" s="1964"/>
      <c r="J61" s="1966"/>
      <c r="K61" s="1964"/>
      <c r="L61" s="1964"/>
      <c r="M61" s="1964"/>
      <c r="N61" s="1964"/>
      <c r="O61" s="1964"/>
      <c r="P61" s="1966"/>
      <c r="Q61" s="1964"/>
      <c r="R61" s="1964"/>
      <c r="S61" s="1964"/>
    </row>
    <row r="62" spans="1:19" s="1932" customFormat="1" ht="15" hidden="1" customHeight="1" x14ac:dyDescent="0.2">
      <c r="A62" s="2009" t="s">
        <v>1169</v>
      </c>
      <c r="B62" s="1947" t="s">
        <v>2159</v>
      </c>
      <c r="C62" s="1979">
        <v>84.048000000000002</v>
      </c>
      <c r="D62" s="2010"/>
      <c r="E62" s="1945" t="s">
        <v>2160</v>
      </c>
      <c r="F62" s="1945"/>
      <c r="G62" s="2011"/>
      <c r="H62" s="1945"/>
      <c r="I62" s="1982"/>
      <c r="J62" s="1947"/>
      <c r="K62" s="2011"/>
      <c r="L62" s="1947"/>
      <c r="M62" s="1982">
        <f>SUM(M60:M61)</f>
        <v>0</v>
      </c>
      <c r="N62" s="1947"/>
      <c r="O62" s="1982">
        <f>SUM(O60:O61)</f>
        <v>0</v>
      </c>
      <c r="P62" s="1945"/>
      <c r="Q62" s="2011">
        <f>O62+M62+K62</f>
        <v>0</v>
      </c>
      <c r="R62" s="1947"/>
      <c r="S62" s="2002"/>
    </row>
    <row r="63" spans="1:19" s="1932" customFormat="1" ht="15" x14ac:dyDescent="0.2">
      <c r="A63" s="1985" t="s">
        <v>2161</v>
      </c>
      <c r="B63" s="2010"/>
      <c r="C63" s="2010"/>
      <c r="D63" s="2010"/>
      <c r="E63" s="2010"/>
      <c r="F63" s="2012"/>
      <c r="G63" s="2013">
        <f>SUM(G31:G58)</f>
        <v>445677</v>
      </c>
      <c r="H63" s="2013"/>
      <c r="I63" s="2013">
        <f>SUM(I31:I58)</f>
        <v>689963</v>
      </c>
      <c r="J63" s="2013"/>
      <c r="K63" s="2013">
        <f>SUM(K31:K58)</f>
        <v>602056</v>
      </c>
      <c r="L63" s="2013"/>
      <c r="M63" s="2013">
        <f>SUM(M31:M58)</f>
        <v>653250</v>
      </c>
      <c r="N63" s="2013"/>
      <c r="O63" s="2013">
        <f>SUM(O31:O58)</f>
        <v>19859</v>
      </c>
      <c r="P63" s="2013"/>
      <c r="Q63" s="2013">
        <f>SUM(Q31:Q58)</f>
        <v>1275165</v>
      </c>
      <c r="R63" s="2010"/>
      <c r="S63" s="2010"/>
    </row>
    <row r="64" spans="1:19" ht="10.15" customHeight="1" x14ac:dyDescent="0.35">
      <c r="A64" s="1963"/>
      <c r="B64" s="1964"/>
      <c r="C64" s="1964"/>
      <c r="D64" s="1964"/>
      <c r="E64" s="1964"/>
      <c r="F64" s="1966"/>
      <c r="G64" s="2014"/>
      <c r="H64" s="2014"/>
      <c r="I64" s="2014"/>
      <c r="J64" s="2014"/>
      <c r="K64" s="2014"/>
      <c r="L64" s="2014"/>
      <c r="M64" s="2014"/>
      <c r="N64" s="2014"/>
      <c r="O64" s="2014"/>
      <c r="P64" s="2014"/>
      <c r="Q64" s="2014"/>
      <c r="R64" s="1964"/>
      <c r="S64" s="1964"/>
    </row>
    <row r="65" spans="1:21" s="1932" customFormat="1" ht="15" customHeight="1" x14ac:dyDescent="0.2">
      <c r="A65" s="1985" t="s">
        <v>2162</v>
      </c>
      <c r="B65" s="2010"/>
      <c r="C65" s="2010"/>
      <c r="D65" s="2010"/>
      <c r="E65" s="2010"/>
      <c r="F65" s="2012"/>
      <c r="G65" s="2013"/>
      <c r="H65" s="2013"/>
      <c r="I65" s="2013"/>
      <c r="J65" s="2013"/>
      <c r="K65" s="2013"/>
      <c r="L65" s="2013"/>
      <c r="M65" s="2013"/>
      <c r="N65" s="2013"/>
      <c r="O65" s="2013"/>
      <c r="P65" s="2013"/>
      <c r="Q65" s="2013"/>
      <c r="R65" s="2010"/>
      <c r="S65" s="2010"/>
    </row>
    <row r="66" spans="1:21" s="1932" customFormat="1" ht="15" customHeight="1" x14ac:dyDescent="0.2">
      <c r="A66" s="1985" t="s">
        <v>2112</v>
      </c>
      <c r="B66" s="2010"/>
      <c r="C66" s="2010"/>
      <c r="D66" s="2010"/>
      <c r="E66" s="2010"/>
      <c r="F66" s="2012"/>
      <c r="G66" s="2013"/>
      <c r="H66" s="2013"/>
      <c r="I66" s="2013"/>
      <c r="J66" s="2013"/>
      <c r="K66" s="2013"/>
      <c r="L66" s="2013"/>
      <c r="M66" s="2013"/>
      <c r="N66" s="2013"/>
      <c r="O66" s="2013"/>
      <c r="P66" s="2013"/>
      <c r="Q66" s="2013"/>
      <c r="R66" s="2010"/>
      <c r="S66" s="2010"/>
    </row>
    <row r="67" spans="1:21" s="1932" customFormat="1" ht="15" customHeight="1" x14ac:dyDescent="0.2">
      <c r="A67" s="1985" t="s">
        <v>2163</v>
      </c>
      <c r="B67" s="2010"/>
      <c r="C67" s="2010"/>
      <c r="D67" s="2010"/>
      <c r="E67" s="2010"/>
      <c r="F67" s="2012"/>
      <c r="G67" s="2013"/>
      <c r="H67" s="2013"/>
      <c r="I67" s="2013"/>
      <c r="J67" s="2013"/>
      <c r="K67" s="2013"/>
      <c r="L67" s="2013"/>
      <c r="M67" s="2013"/>
      <c r="N67" s="2013"/>
      <c r="O67" s="2013"/>
      <c r="P67" s="2013"/>
      <c r="Q67" s="2013"/>
      <c r="R67" s="2010"/>
      <c r="S67" s="2010"/>
    </row>
    <row r="68" spans="1:21" s="1932" customFormat="1" ht="15" customHeight="1" x14ac:dyDescent="0.2">
      <c r="A68" s="1985"/>
      <c r="B68" s="1947" t="s">
        <v>2164</v>
      </c>
      <c r="C68" s="1979">
        <v>17.259</v>
      </c>
      <c r="D68" s="2010"/>
      <c r="E68" s="1945" t="s">
        <v>2165</v>
      </c>
      <c r="F68" s="2012"/>
      <c r="G68" s="2013">
        <v>37687</v>
      </c>
      <c r="H68" s="2005"/>
      <c r="I68" s="2013">
        <f>2502+32</f>
        <v>2534</v>
      </c>
      <c r="J68" s="2005"/>
      <c r="K68" s="2013">
        <v>40221</v>
      </c>
      <c r="L68" s="2013"/>
      <c r="M68" s="1978">
        <v>0</v>
      </c>
      <c r="N68" s="2013"/>
      <c r="O68" s="1978">
        <v>0</v>
      </c>
      <c r="P68" s="2005"/>
      <c r="Q68" s="2013">
        <f>+K68+M68+O68</f>
        <v>40221</v>
      </c>
      <c r="R68" s="2015"/>
      <c r="S68" s="1981">
        <v>79218</v>
      </c>
    </row>
    <row r="69" spans="1:21" s="1932" customFormat="1" ht="15" hidden="1" customHeight="1" x14ac:dyDescent="0.2">
      <c r="A69" s="1985"/>
      <c r="B69" s="1947" t="s">
        <v>2164</v>
      </c>
      <c r="C69" s="1979">
        <v>17.259</v>
      </c>
      <c r="D69" s="2010"/>
      <c r="E69" s="1945" t="s">
        <v>2166</v>
      </c>
      <c r="F69" s="2012"/>
      <c r="G69" s="1982">
        <v>0</v>
      </c>
      <c r="H69" s="2013"/>
      <c r="I69" s="2013">
        <v>0</v>
      </c>
      <c r="J69" s="2013"/>
      <c r="K69" s="1982">
        <v>0</v>
      </c>
      <c r="L69" s="2013"/>
      <c r="M69" s="2013">
        <v>0</v>
      </c>
      <c r="N69" s="2013"/>
      <c r="O69" s="1982">
        <v>0</v>
      </c>
      <c r="P69" s="2005"/>
      <c r="Q69" s="2013">
        <f>+K69+M69+O69</f>
        <v>0</v>
      </c>
      <c r="R69" s="2010"/>
      <c r="S69" s="1981"/>
    </row>
    <row r="70" spans="1:21" s="1932" customFormat="1" ht="15" customHeight="1" x14ac:dyDescent="0.2">
      <c r="A70" s="1985" t="s">
        <v>2167</v>
      </c>
      <c r="B70" s="1985"/>
      <c r="C70" s="2007"/>
      <c r="D70" s="1947"/>
      <c r="E70" s="1945"/>
      <c r="F70" s="1945"/>
      <c r="G70" s="2013">
        <f>SUM(G66:G69)</f>
        <v>37687</v>
      </c>
      <c r="H70" s="2013"/>
      <c r="I70" s="2013">
        <f>SUM(I66:I69)</f>
        <v>2534</v>
      </c>
      <c r="J70" s="2013"/>
      <c r="K70" s="2013">
        <f>SUM(K66:K69)</f>
        <v>40221</v>
      </c>
      <c r="L70" s="2013"/>
      <c r="M70" s="2013">
        <f>SUM(M66:M69)</f>
        <v>0</v>
      </c>
      <c r="N70" s="2013"/>
      <c r="O70" s="2013">
        <f>SUM(O66:O69)</f>
        <v>0</v>
      </c>
      <c r="P70" s="2013"/>
      <c r="Q70" s="2013">
        <f>SUM(Q66:Q69)</f>
        <v>40221</v>
      </c>
      <c r="R70" s="1982"/>
      <c r="S70" s="1980"/>
    </row>
    <row r="71" spans="1:21" s="1932" customFormat="1" ht="10.15" customHeight="1" x14ac:dyDescent="0.2">
      <c r="A71" s="1985"/>
      <c r="B71" s="1985"/>
      <c r="C71" s="2007"/>
      <c r="D71" s="1947"/>
      <c r="E71" s="1945"/>
      <c r="F71" s="1945"/>
      <c r="G71" s="2013"/>
      <c r="H71" s="2013"/>
      <c r="I71" s="2013"/>
      <c r="J71" s="2013"/>
      <c r="K71" s="2013"/>
      <c r="L71" s="2013"/>
      <c r="M71" s="2013"/>
      <c r="N71" s="2013"/>
      <c r="O71" s="1982"/>
      <c r="P71" s="2013"/>
      <c r="Q71" s="2013"/>
      <c r="R71" s="1982"/>
      <c r="S71" s="1980"/>
    </row>
    <row r="72" spans="1:21" ht="15" hidden="1" customHeight="1" x14ac:dyDescent="0.2">
      <c r="A72" s="2016" t="s">
        <v>2168</v>
      </c>
      <c r="B72" s="1991"/>
      <c r="C72" s="2017"/>
      <c r="D72" s="2018"/>
      <c r="E72" s="2018"/>
      <c r="F72" s="1976"/>
      <c r="G72" s="2019"/>
      <c r="H72" s="2020"/>
      <c r="I72" s="2020"/>
      <c r="J72" s="2020"/>
      <c r="K72" s="2019"/>
      <c r="L72" s="2020"/>
      <c r="M72" s="2020"/>
      <c r="N72" s="2020"/>
      <c r="O72" s="2020"/>
      <c r="P72" s="2020"/>
      <c r="Q72" s="2020"/>
      <c r="R72" s="2021"/>
      <c r="S72" s="2021"/>
      <c r="T72" s="2022"/>
      <c r="U72" s="2022"/>
    </row>
    <row r="73" spans="1:21" ht="15" hidden="1" customHeight="1" x14ac:dyDescent="0.2">
      <c r="A73" s="2016" t="s">
        <v>2169</v>
      </c>
      <c r="B73" s="1991"/>
      <c r="C73" s="2017"/>
      <c r="D73" s="2018"/>
      <c r="E73" s="2018"/>
      <c r="F73" s="1976"/>
      <c r="G73" s="2019"/>
      <c r="H73" s="2020"/>
      <c r="I73" s="2020"/>
      <c r="J73" s="2020"/>
      <c r="K73" s="2019"/>
      <c r="L73" s="2020"/>
      <c r="M73" s="2020"/>
      <c r="N73" s="2020"/>
      <c r="O73" s="2020"/>
      <c r="P73" s="2020"/>
      <c r="Q73" s="2020"/>
      <c r="R73" s="2021"/>
      <c r="S73" s="2021"/>
      <c r="T73" s="2022"/>
      <c r="U73" s="2022"/>
    </row>
    <row r="74" spans="1:21" ht="15" hidden="1" customHeight="1" x14ac:dyDescent="0.2">
      <c r="A74" s="2016"/>
      <c r="B74" s="2018" t="s">
        <v>2170</v>
      </c>
      <c r="C74" s="2023">
        <v>83.522999999999996</v>
      </c>
      <c r="D74" s="2018"/>
      <c r="E74" s="1945" t="s">
        <v>2171</v>
      </c>
      <c r="F74" s="1976"/>
      <c r="G74" s="2019" t="s">
        <v>1169</v>
      </c>
      <c r="H74" s="2020"/>
      <c r="I74" s="2020"/>
      <c r="J74" s="2020"/>
      <c r="K74" s="2019"/>
      <c r="L74" s="2020"/>
      <c r="M74" s="2021" t="s">
        <v>1169</v>
      </c>
      <c r="N74" s="2020"/>
      <c r="O74" s="2021" t="s">
        <v>1169</v>
      </c>
      <c r="P74" s="2020"/>
      <c r="Q74" s="2024">
        <f>SUM(O74+M74+K74)</f>
        <v>0</v>
      </c>
      <c r="R74" s="2021"/>
      <c r="S74" s="2025" t="s">
        <v>2117</v>
      </c>
      <c r="T74" s="2022"/>
      <c r="U74" s="2022"/>
    </row>
    <row r="75" spans="1:21" s="1939" customFormat="1" ht="15" hidden="1" customHeight="1" x14ac:dyDescent="0.2">
      <c r="A75" s="2016" t="s">
        <v>2172</v>
      </c>
      <c r="B75" s="1991"/>
      <c r="C75" s="2017"/>
      <c r="D75" s="2018"/>
      <c r="E75" s="2018"/>
      <c r="F75" s="1976"/>
      <c r="G75" s="2013">
        <f>SUM(G73:G74)</f>
        <v>0</v>
      </c>
      <c r="H75" s="2020"/>
      <c r="I75" s="2019"/>
      <c r="J75" s="2020"/>
      <c r="K75" s="2019">
        <f>SUM(K73:K74)</f>
        <v>0</v>
      </c>
      <c r="L75" s="2020"/>
      <c r="M75" s="2013">
        <f>SUM(M73:M74)</f>
        <v>0</v>
      </c>
      <c r="N75" s="2020"/>
      <c r="O75" s="2013">
        <f>SUM(O73:O74)</f>
        <v>0</v>
      </c>
      <c r="P75" s="2020"/>
      <c r="Q75" s="2019">
        <f>SUM(Q73:Q74)</f>
        <v>0</v>
      </c>
      <c r="R75" s="2021"/>
      <c r="S75" s="2021"/>
      <c r="T75" s="2022"/>
      <c r="U75" s="2022"/>
    </row>
    <row r="76" spans="1:21" s="1939" customFormat="1" ht="10.15" hidden="1" customHeight="1" x14ac:dyDescent="0.2">
      <c r="A76" s="1963"/>
      <c r="B76" s="1964"/>
      <c r="C76" s="1964"/>
      <c r="D76" s="1964"/>
      <c r="E76" s="1964"/>
      <c r="F76" s="1966"/>
      <c r="G76" s="1964"/>
      <c r="H76" s="1964"/>
      <c r="I76" s="1964"/>
      <c r="J76" s="1966"/>
      <c r="K76" s="1964"/>
      <c r="L76" s="1964"/>
      <c r="M76" s="1964"/>
      <c r="N76" s="1964"/>
      <c r="O76" s="1964"/>
      <c r="P76" s="1966"/>
      <c r="Q76" s="1964"/>
      <c r="R76" s="1964"/>
      <c r="S76" s="1964"/>
      <c r="T76" s="1940"/>
      <c r="U76" s="1940"/>
    </row>
    <row r="77" spans="1:21" s="1939" customFormat="1" ht="15" customHeight="1" x14ac:dyDescent="0.2">
      <c r="A77" s="1963" t="s">
        <v>2173</v>
      </c>
      <c r="B77" s="1964"/>
      <c r="C77" s="1964"/>
      <c r="D77" s="1964"/>
      <c r="E77" s="1964"/>
      <c r="F77" s="1966"/>
      <c r="G77" s="1966"/>
      <c r="H77" s="1964"/>
      <c r="I77" s="1964"/>
      <c r="J77" s="1966"/>
      <c r="K77" s="1964"/>
      <c r="L77" s="1964"/>
      <c r="M77" s="2026" t="s">
        <v>2174</v>
      </c>
      <c r="N77" s="1964"/>
      <c r="O77" s="1964" t="s">
        <v>1169</v>
      </c>
      <c r="P77" s="1966"/>
      <c r="Q77" s="1964"/>
      <c r="R77" s="1964"/>
      <c r="S77" s="1964"/>
      <c r="T77" s="1940"/>
      <c r="U77" s="1940"/>
    </row>
    <row r="78" spans="1:21" s="1939" customFormat="1" ht="15" customHeight="1" x14ac:dyDescent="0.2">
      <c r="A78" s="1963" t="s">
        <v>2112</v>
      </c>
      <c r="B78" s="1964"/>
      <c r="C78" s="1964"/>
      <c r="D78" s="1964"/>
      <c r="E78" s="1964"/>
      <c r="F78" s="1966"/>
      <c r="G78" s="1966"/>
      <c r="H78" s="1964"/>
      <c r="I78" s="1964"/>
      <c r="J78" s="1966"/>
      <c r="K78" s="1964"/>
      <c r="L78" s="1964"/>
      <c r="M78" s="2026"/>
      <c r="N78" s="1964"/>
      <c r="O78" s="1964"/>
      <c r="P78" s="1966"/>
      <c r="Q78" s="1964"/>
      <c r="R78" s="1964"/>
      <c r="S78" s="1964"/>
      <c r="T78" s="1940"/>
      <c r="U78" s="1940"/>
    </row>
    <row r="79" spans="1:21" ht="15" customHeight="1" x14ac:dyDescent="0.2">
      <c r="A79" s="1963" t="s">
        <v>2175</v>
      </c>
      <c r="B79" s="1964"/>
      <c r="C79" s="1964"/>
      <c r="D79" s="1964"/>
      <c r="E79" s="1964"/>
      <c r="F79" s="1966"/>
      <c r="G79" s="1964"/>
      <c r="H79" s="1964"/>
      <c r="I79" s="1964"/>
      <c r="J79" s="1966"/>
      <c r="K79" s="1964"/>
      <c r="L79" s="1964"/>
      <c r="M79" s="1964"/>
      <c r="N79" s="1964"/>
      <c r="O79" s="1964"/>
      <c r="P79" s="1966"/>
      <c r="Q79" s="1964"/>
      <c r="R79" s="1964"/>
      <c r="S79" s="1964"/>
      <c r="T79" s="1939"/>
      <c r="U79" s="1939"/>
    </row>
    <row r="80" spans="1:21" ht="15" customHeight="1" x14ac:dyDescent="0.2">
      <c r="A80" s="1963"/>
      <c r="B80" s="1946" t="s">
        <v>2176</v>
      </c>
      <c r="C80" s="1979">
        <v>93.778000000000006</v>
      </c>
      <c r="D80" s="1947"/>
      <c r="E80" s="1945" t="s">
        <v>2177</v>
      </c>
      <c r="F80" s="1966"/>
      <c r="G80" s="1971">
        <v>15402</v>
      </c>
      <c r="H80" s="1971"/>
      <c r="I80" s="1971">
        <v>4802</v>
      </c>
      <c r="J80" s="1971"/>
      <c r="K80" s="1971">
        <v>21046</v>
      </c>
      <c r="L80" s="1971"/>
      <c r="M80" s="1971" t="s">
        <v>1169</v>
      </c>
      <c r="N80" s="1971"/>
      <c r="O80" s="1971"/>
      <c r="P80" s="1971"/>
      <c r="Q80" s="1971">
        <f>+K80+M80+O80</f>
        <v>21046</v>
      </c>
      <c r="R80" s="1971"/>
      <c r="S80" s="1972" t="s">
        <v>2117</v>
      </c>
      <c r="T80" s="1939"/>
      <c r="U80" s="1939"/>
    </row>
    <row r="81" spans="1:21" ht="15" x14ac:dyDescent="0.2">
      <c r="A81" s="1963"/>
      <c r="B81" s="1946" t="s">
        <v>2176</v>
      </c>
      <c r="C81" s="1979">
        <v>93.778000000000006</v>
      </c>
      <c r="D81" s="1947"/>
      <c r="E81" s="1945" t="s">
        <v>2178</v>
      </c>
      <c r="F81" s="1966"/>
      <c r="G81" s="2019" t="s">
        <v>1169</v>
      </c>
      <c r="H81" s="1971"/>
      <c r="I81" s="2019">
        <v>14071</v>
      </c>
      <c r="J81" s="1971"/>
      <c r="K81" s="2019" t="s">
        <v>1169</v>
      </c>
      <c r="L81" s="1971"/>
      <c r="M81" s="2019">
        <v>19741</v>
      </c>
      <c r="N81" s="1971"/>
      <c r="O81" s="2019" t="s">
        <v>1169</v>
      </c>
      <c r="P81" s="1971"/>
      <c r="Q81" s="2019">
        <f>+K81+M81+O81</f>
        <v>19741</v>
      </c>
      <c r="R81" s="1971"/>
      <c r="S81" s="1972" t="s">
        <v>2117</v>
      </c>
      <c r="T81" s="1939"/>
      <c r="U81" s="1939"/>
    </row>
    <row r="82" spans="1:21" s="1932" customFormat="1" ht="15" customHeight="1" x14ac:dyDescent="0.2">
      <c r="A82" s="1963"/>
      <c r="B82" s="1964"/>
      <c r="C82" s="1970" t="s">
        <v>2179</v>
      </c>
      <c r="D82" s="1964"/>
      <c r="E82" s="1964"/>
      <c r="F82" s="1966"/>
      <c r="G82" s="2013">
        <f>SUM(G79:G81)</f>
        <v>15402</v>
      </c>
      <c r="H82" s="1964"/>
      <c r="I82" s="2013">
        <f>SUM(I79:I81)</f>
        <v>18873</v>
      </c>
      <c r="J82" s="1966"/>
      <c r="K82" s="2013">
        <f>SUM(K79:K81)</f>
        <v>21046</v>
      </c>
      <c r="L82" s="1964"/>
      <c r="M82" s="2013">
        <f>SUM(M79:M81)</f>
        <v>19741</v>
      </c>
      <c r="N82" s="1964"/>
      <c r="O82" s="2013">
        <f>SUM(O79:O81)</f>
        <v>0</v>
      </c>
      <c r="P82" s="1966"/>
      <c r="Q82" s="2013">
        <f>SUM(Q79:Q81)</f>
        <v>40787</v>
      </c>
      <c r="R82" s="1964"/>
      <c r="S82" s="1964"/>
      <c r="T82" s="1939"/>
      <c r="U82" s="1939"/>
    </row>
    <row r="83" spans="1:21" ht="15" customHeight="1" x14ac:dyDescent="0.2">
      <c r="A83" s="1985" t="s">
        <v>2180</v>
      </c>
      <c r="B83" s="1985"/>
      <c r="C83" s="2007"/>
      <c r="D83" s="1947"/>
      <c r="E83" s="1945"/>
      <c r="F83" s="1945"/>
      <c r="G83" s="2013">
        <f>SUM(G82:G82)</f>
        <v>15402</v>
      </c>
      <c r="H83" s="2013"/>
      <c r="I83" s="2013">
        <f>SUM(I82:I82)</f>
        <v>18873</v>
      </c>
      <c r="J83" s="2013"/>
      <c r="K83" s="2013">
        <f>SUM(K82:K82)</f>
        <v>21046</v>
      </c>
      <c r="L83" s="2013"/>
      <c r="M83" s="2013">
        <f>SUM(M82:M82)</f>
        <v>19741</v>
      </c>
      <c r="N83" s="2013"/>
      <c r="O83" s="2013">
        <f>SUM(O82:O82)</f>
        <v>0</v>
      </c>
      <c r="P83" s="2013"/>
      <c r="Q83" s="2013">
        <f>SUM(Q82:Q82)</f>
        <v>40787</v>
      </c>
      <c r="R83" s="1982"/>
      <c r="S83" s="1980"/>
      <c r="T83" s="1932"/>
      <c r="U83" s="1932"/>
    </row>
    <row r="84" spans="1:21" s="2027" customFormat="1" ht="15" customHeight="1" x14ac:dyDescent="0.2">
      <c r="A84" s="1959"/>
      <c r="B84" s="1969"/>
      <c r="C84" s="1994"/>
      <c r="D84" s="1957"/>
      <c r="E84" s="1959"/>
      <c r="F84" s="1959"/>
      <c r="G84" s="1971"/>
      <c r="H84" s="1971"/>
      <c r="I84" s="1971"/>
      <c r="J84" s="1972"/>
      <c r="K84" s="1971"/>
      <c r="L84" s="1971"/>
      <c r="M84" s="1971"/>
      <c r="N84" s="1971"/>
      <c r="O84" s="1971"/>
      <c r="P84" s="1997"/>
      <c r="Q84" s="1975"/>
      <c r="R84" s="1971"/>
      <c r="S84" s="1971"/>
      <c r="T84" s="1940"/>
      <c r="U84" s="1940"/>
    </row>
    <row r="85" spans="1:21" s="2032" customFormat="1" ht="15" customHeight="1" x14ac:dyDescent="0.2">
      <c r="A85" s="2028" t="s">
        <v>2181</v>
      </c>
      <c r="B85" s="2010"/>
      <c r="C85" s="2029"/>
      <c r="D85" s="1947"/>
      <c r="E85" s="1947"/>
      <c r="F85" s="1945"/>
      <c r="G85" s="2030">
        <f>G26+G63+G70+G75+G83</f>
        <v>848283</v>
      </c>
      <c r="H85" s="2030"/>
      <c r="I85" s="2030">
        <f>I26+I63+I70+I75+I83</f>
        <v>1139466</v>
      </c>
      <c r="J85" s="2030"/>
      <c r="K85" s="2030">
        <f>K26+K63+K70+K75+K83</f>
        <v>1053928</v>
      </c>
      <c r="L85" s="2030"/>
      <c r="M85" s="2030">
        <f>M26+M63+M70+M75+M83</f>
        <v>1136157</v>
      </c>
      <c r="N85" s="2030"/>
      <c r="O85" s="2030">
        <f>SUM(O83:O84)</f>
        <v>0</v>
      </c>
      <c r="P85" s="2030"/>
      <c r="Q85" s="2030">
        <f>Q26+Q63+Q70+Q75+Q83</f>
        <v>2209944</v>
      </c>
      <c r="R85" s="2031" t="s">
        <v>1169</v>
      </c>
      <c r="S85" s="1980"/>
      <c r="T85" s="1932"/>
      <c r="U85" s="1932"/>
    </row>
    <row r="86" spans="1:21" s="2037" customFormat="1" ht="15" customHeight="1" x14ac:dyDescent="0.2">
      <c r="A86" s="1959"/>
      <c r="B86" s="1957"/>
      <c r="C86" s="2033"/>
      <c r="D86" s="1957"/>
      <c r="E86" s="1957"/>
      <c r="F86" s="1959"/>
      <c r="G86" s="2034"/>
      <c r="H86" s="1971"/>
      <c r="I86" s="2034"/>
      <c r="J86" s="1972"/>
      <c r="K86" s="2034"/>
      <c r="L86" s="2035"/>
      <c r="M86" s="2034"/>
      <c r="N86" s="2035"/>
      <c r="O86" s="2034"/>
      <c r="P86" s="1972"/>
      <c r="Q86" s="2034"/>
      <c r="R86" s="2035"/>
      <c r="S86" s="1971"/>
      <c r="T86" s="1940"/>
      <c r="U86" s="1940"/>
    </row>
    <row r="87" spans="1:21" s="2032" customFormat="1" ht="15" customHeight="1" x14ac:dyDescent="0.2">
      <c r="A87" s="1963" t="s">
        <v>2182</v>
      </c>
      <c r="B87" s="1957"/>
      <c r="C87" s="2033"/>
      <c r="D87" s="1957"/>
      <c r="E87" s="1957"/>
      <c r="F87" s="1959"/>
      <c r="G87" s="1973">
        <f>G26+SUM(G31:G44)</f>
        <v>678952</v>
      </c>
      <c r="H87" s="1973"/>
      <c r="I87" s="1973">
        <f>I26+SUM(I31:I44)</f>
        <v>1001589</v>
      </c>
      <c r="J87" s="1973"/>
      <c r="K87" s="1973">
        <f>K26+SUM(K31:K44)</f>
        <v>876419</v>
      </c>
      <c r="L87" s="1973"/>
      <c r="M87" s="1973">
        <f>M26+SUM(M31:M44)</f>
        <v>999946</v>
      </c>
      <c r="N87" s="1973"/>
      <c r="O87" s="1973">
        <f>O26+SUM(O31:O44)</f>
        <v>19859</v>
      </c>
      <c r="P87" s="1973"/>
      <c r="Q87" s="1973">
        <f>Q26+SUM(Q31:Q44)</f>
        <v>1896224</v>
      </c>
      <c r="R87" s="2035"/>
      <c r="S87" s="1971"/>
      <c r="T87" s="1940"/>
      <c r="U87" s="1940"/>
    </row>
    <row r="88" spans="1:21" s="2037" customFormat="1" ht="13.5" customHeight="1" x14ac:dyDescent="0.2">
      <c r="A88" s="1963"/>
      <c r="B88" s="1957"/>
      <c r="C88" s="2033"/>
      <c r="D88" s="1957"/>
      <c r="E88" s="1957"/>
      <c r="F88" s="1959"/>
      <c r="G88" s="2034"/>
      <c r="H88" s="1971"/>
      <c r="I88" s="2034"/>
      <c r="J88" s="1972"/>
      <c r="K88" s="2034"/>
      <c r="L88" s="2035"/>
      <c r="M88" s="2034"/>
      <c r="N88" s="2035"/>
      <c r="O88" s="2034"/>
      <c r="P88" s="1972"/>
      <c r="Q88" s="2034"/>
      <c r="R88" s="2035"/>
      <c r="S88" s="1971"/>
      <c r="T88" s="2027"/>
      <c r="U88" s="2027"/>
    </row>
    <row r="89" spans="1:21" s="2037" customFormat="1" ht="13.5" customHeight="1" x14ac:dyDescent="0.15">
      <c r="A89" s="1985" t="s">
        <v>2183</v>
      </c>
      <c r="B89" s="1947"/>
      <c r="C89" s="2029"/>
      <c r="D89" s="1947"/>
      <c r="E89" s="1947"/>
      <c r="F89" s="1945"/>
      <c r="G89" s="2013">
        <f>SUM(G47:G58)+G70+G75+G83</f>
        <v>169331</v>
      </c>
      <c r="H89" s="2013"/>
      <c r="I89" s="2013">
        <f>SUM(I47:I58)+I70+I75+I83</f>
        <v>137877</v>
      </c>
      <c r="J89" s="2013"/>
      <c r="K89" s="2013">
        <f>SUM(K47:K58)+K70+K75+K83</f>
        <v>177509</v>
      </c>
      <c r="L89" s="2013"/>
      <c r="M89" s="2013">
        <f>SUM(M47:M58)+M70+M75+M83</f>
        <v>136211</v>
      </c>
      <c r="N89" s="2013"/>
      <c r="O89" s="2013">
        <f>SUM(O47:O58)+O70+O75+O83</f>
        <v>0</v>
      </c>
      <c r="P89" s="2013"/>
      <c r="Q89" s="2013">
        <f>SUM(Q47:Q58)+Q70+Q75+Q83</f>
        <v>313720</v>
      </c>
      <c r="R89" s="2031"/>
      <c r="S89" s="1980"/>
      <c r="T89" s="2032"/>
      <c r="U89" s="2032"/>
    </row>
    <row r="90" spans="1:21" s="2037" customFormat="1" ht="13.5" customHeight="1" x14ac:dyDescent="0.2">
      <c r="A90" s="1963"/>
      <c r="B90" s="1957"/>
      <c r="C90" s="2033"/>
      <c r="D90" s="1957"/>
      <c r="E90" s="1957"/>
      <c r="F90" s="1959"/>
      <c r="G90" s="2034"/>
      <c r="H90" s="1971"/>
      <c r="I90" s="2034"/>
      <c r="J90" s="1972"/>
      <c r="K90" s="2034"/>
      <c r="L90" s="2035"/>
      <c r="M90" s="2034"/>
      <c r="N90" s="2035"/>
      <c r="O90" s="2034"/>
      <c r="P90" s="1972"/>
      <c r="Q90" s="2034"/>
      <c r="R90" s="2035"/>
      <c r="S90" s="1971"/>
    </row>
    <row r="91" spans="1:21" s="2037" customFormat="1" ht="13.5" customHeight="1" x14ac:dyDescent="0.15">
      <c r="A91" s="1985" t="s">
        <v>2181</v>
      </c>
      <c r="B91" s="1947"/>
      <c r="C91" s="2029"/>
      <c r="D91" s="1947"/>
      <c r="E91" s="1947"/>
      <c r="F91" s="1945"/>
      <c r="G91" s="2030">
        <f>G89+G87</f>
        <v>848283</v>
      </c>
      <c r="H91" s="2038"/>
      <c r="I91" s="2030">
        <f>I89+I87</f>
        <v>1139466</v>
      </c>
      <c r="J91" s="2038"/>
      <c r="K91" s="2030">
        <f>K89+K87</f>
        <v>1053928</v>
      </c>
      <c r="L91" s="2038"/>
      <c r="M91" s="2030">
        <f>M89+M87</f>
        <v>1136157</v>
      </c>
      <c r="N91" s="2038"/>
      <c r="O91" s="2030">
        <f>O89+O87</f>
        <v>19859</v>
      </c>
      <c r="P91" s="2038"/>
      <c r="Q91" s="2030">
        <f>Q89+Q87</f>
        <v>2209944</v>
      </c>
      <c r="R91" s="2031"/>
      <c r="S91" s="1980"/>
      <c r="T91" s="2032"/>
      <c r="U91" s="2032"/>
    </row>
    <row r="92" spans="1:21" s="2037" customFormat="1" ht="13.5" customHeight="1" x14ac:dyDescent="0.2">
      <c r="A92" s="2039"/>
      <c r="B92" s="2040"/>
      <c r="C92" s="2041"/>
      <c r="D92" s="2040"/>
      <c r="E92" s="2040"/>
      <c r="F92" s="2039"/>
      <c r="G92" s="2034"/>
      <c r="H92" s="1971"/>
      <c r="I92" s="2034"/>
      <c r="J92" s="1972"/>
      <c r="K92" s="2042"/>
      <c r="L92" s="2035"/>
      <c r="M92" s="2042" t="s">
        <v>1169</v>
      </c>
      <c r="N92" s="2043"/>
      <c r="O92" s="2042"/>
      <c r="P92" s="2044"/>
      <c r="Q92" s="2042"/>
      <c r="R92" s="2043"/>
      <c r="S92" s="2045"/>
    </row>
    <row r="93" spans="1:21" s="2037" customFormat="1" ht="13.5" customHeight="1" x14ac:dyDescent="0.2">
      <c r="A93" s="2046" t="s">
        <v>2184</v>
      </c>
      <c r="B93" s="2040"/>
      <c r="C93" s="2041"/>
      <c r="D93" s="2040"/>
      <c r="E93" s="2040"/>
      <c r="F93" s="2039"/>
      <c r="G93" s="2045"/>
      <c r="H93" s="1971"/>
      <c r="I93" s="2045"/>
      <c r="J93" s="2044"/>
      <c r="K93" s="2045"/>
      <c r="L93" s="2045"/>
      <c r="M93" s="2045" t="s">
        <v>1169</v>
      </c>
      <c r="N93" s="2045"/>
      <c r="O93" s="2045"/>
      <c r="P93" s="2044"/>
      <c r="Q93" s="2045"/>
      <c r="R93" s="2045"/>
      <c r="S93" s="2045"/>
    </row>
    <row r="94" spans="1:21" s="2050" customFormat="1" ht="13.5" customHeight="1" x14ac:dyDescent="0.2">
      <c r="A94" s="2046" t="s">
        <v>2185</v>
      </c>
      <c r="B94" s="2047"/>
      <c r="C94" s="2040"/>
      <c r="D94" s="2040"/>
      <c r="E94" s="2040"/>
      <c r="F94" s="2039"/>
      <c r="G94" s="2045"/>
      <c r="H94" s="2045"/>
      <c r="I94" s="2045"/>
      <c r="J94" s="2044"/>
      <c r="K94" s="2048"/>
      <c r="L94" s="1971"/>
      <c r="M94" s="1971"/>
      <c r="N94" s="2045"/>
      <c r="O94" s="2045"/>
      <c r="P94" s="2044"/>
      <c r="Q94" s="2045"/>
      <c r="R94" s="2045"/>
      <c r="S94" s="2049"/>
      <c r="T94" s="2037"/>
      <c r="U94" s="2037"/>
    </row>
    <row r="95" spans="1:21" x14ac:dyDescent="0.2">
      <c r="A95" s="2051" t="s">
        <v>2186</v>
      </c>
      <c r="B95" s="2047"/>
      <c r="C95" s="2040"/>
      <c r="D95" s="2040"/>
      <c r="E95" s="2040"/>
      <c r="F95" s="2039"/>
      <c r="G95" s="2045"/>
      <c r="H95" s="2045"/>
      <c r="I95" s="2045"/>
      <c r="J95" s="2044"/>
      <c r="K95" s="2045"/>
      <c r="L95" s="2045"/>
      <c r="M95" s="2045"/>
      <c r="N95" s="2045"/>
      <c r="O95" s="2045"/>
      <c r="P95" s="2044"/>
      <c r="Q95" s="2045"/>
      <c r="R95" s="2045"/>
      <c r="S95" s="2045"/>
      <c r="T95" s="2037"/>
      <c r="U95" s="2037"/>
    </row>
    <row r="96" spans="1:21" x14ac:dyDescent="0.2">
      <c r="A96" s="2051" t="s">
        <v>2187</v>
      </c>
      <c r="B96" s="2052"/>
      <c r="C96" s="2053"/>
      <c r="D96" s="2037"/>
      <c r="E96" s="2037"/>
      <c r="F96" s="2037"/>
      <c r="G96" s="2037"/>
      <c r="H96" s="2037"/>
      <c r="I96" s="2037"/>
      <c r="J96" s="2037"/>
      <c r="K96" s="2037"/>
      <c r="L96" s="2037"/>
      <c r="M96" s="2037"/>
      <c r="N96" s="2037"/>
      <c r="O96" s="2037"/>
      <c r="P96" s="2037"/>
      <c r="Q96" s="2037"/>
      <c r="R96" s="2037"/>
      <c r="S96" s="2037"/>
      <c r="T96" s="2037"/>
      <c r="U96" s="2037"/>
    </row>
    <row r="97" spans="1:21" ht="15" customHeight="1" x14ac:dyDescent="0.2">
      <c r="A97" s="2054"/>
      <c r="B97" s="2055"/>
      <c r="C97" s="2053"/>
      <c r="D97" s="2037"/>
      <c r="E97" s="2037"/>
      <c r="F97" s="2037"/>
      <c r="G97" s="2037"/>
      <c r="H97" s="2037"/>
      <c r="I97" s="2037"/>
      <c r="J97" s="2037"/>
      <c r="K97" s="2037"/>
      <c r="L97" s="2037"/>
      <c r="M97" s="2037"/>
      <c r="N97" s="2037"/>
      <c r="O97" s="2037"/>
      <c r="P97" s="2037"/>
      <c r="Q97" s="2037"/>
      <c r="R97" s="2037"/>
      <c r="S97" s="2037"/>
      <c r="T97" s="2037"/>
      <c r="U97" s="2037"/>
    </row>
    <row r="98" spans="1:21" ht="15" customHeight="1" x14ac:dyDescent="0.15">
      <c r="A98" s="2050"/>
      <c r="B98" s="2050"/>
      <c r="C98" s="2056"/>
      <c r="D98" s="2050"/>
      <c r="E98" s="2050"/>
      <c r="F98" s="2057"/>
      <c r="G98" s="2057"/>
      <c r="H98" s="2057"/>
      <c r="I98" s="2057"/>
      <c r="J98" s="2058"/>
      <c r="K98" s="2050"/>
      <c r="L98" s="2050"/>
      <c r="M98" s="2050"/>
      <c r="N98" s="2050"/>
      <c r="O98" s="2050"/>
      <c r="P98" s="2050"/>
      <c r="Q98" s="2050"/>
      <c r="R98" s="2050"/>
      <c r="S98" s="2050"/>
      <c r="T98" s="2050"/>
      <c r="U98" s="2050"/>
    </row>
    <row r="100" spans="1:21" x14ac:dyDescent="0.2">
      <c r="K100" s="2059"/>
    </row>
    <row r="101" spans="1:21" x14ac:dyDescent="0.2">
      <c r="K101" s="2059"/>
    </row>
  </sheetData>
  <mergeCells count="4">
    <mergeCell ref="A1:S1"/>
    <mergeCell ref="G2:I2"/>
    <mergeCell ref="A3:S3"/>
    <mergeCell ref="A4:S4"/>
  </mergeCells>
  <printOptions gridLinesSet="0"/>
  <pageMargins left="0.5" right="0.5" top="0.5" bottom="0.5" header="0.5" footer="0.25"/>
  <pageSetup scale="70" fitToHeight="2" orientation="landscape" r:id="rId1"/>
  <headerFooter alignWithMargins="0">
    <oddFooter>&amp;L&amp;"Garamond,Regular"See the accompanying notes to the Schedule of Expenditures of Federal Awards.</oddFooter>
  </headerFooter>
  <rowBreaks count="1" manualBreakCount="1">
    <brk id="64"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20" t="s">
        <v>1168</v>
      </c>
      <c r="B2" s="2220"/>
      <c r="C2" s="2220"/>
      <c r="D2" s="2220"/>
      <c r="E2" s="2220"/>
      <c r="F2" s="2220"/>
      <c r="G2" s="2220"/>
      <c r="H2" s="2220"/>
      <c r="I2" s="2220"/>
      <c r="J2" s="222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34" t="s">
        <v>1633</v>
      </c>
      <c r="B35" s="2235"/>
      <c r="C35" s="2235"/>
      <c r="D35" s="2235"/>
      <c r="E35" s="2236"/>
      <c r="F35" s="2236"/>
      <c r="G35" s="2236"/>
      <c r="H35" s="2236"/>
      <c r="I35" s="223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34" t="s">
        <v>313</v>
      </c>
      <c r="B47" s="2237"/>
      <c r="C47" s="2237"/>
      <c r="D47" s="2237"/>
      <c r="E47" s="2238"/>
      <c r="F47" s="2238"/>
      <c r="G47" s="2238"/>
      <c r="H47" s="2238"/>
      <c r="I47" s="223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41"/>
      <c r="C57" s="2242"/>
      <c r="D57" s="2242"/>
      <c r="E57" s="2242"/>
      <c r="F57" s="2242"/>
      <c r="G57" s="2242"/>
      <c r="H57" s="2242"/>
      <c r="I57" s="2242"/>
      <c r="J57" s="2243"/>
    </row>
    <row r="58" spans="1:10" s="181" customFormat="1" x14ac:dyDescent="0.2">
      <c r="A58" s="253"/>
      <c r="B58" s="2244"/>
      <c r="C58" s="2245"/>
      <c r="D58" s="2245"/>
      <c r="E58" s="2245"/>
      <c r="F58" s="2245"/>
      <c r="G58" s="2245"/>
      <c r="H58" s="2245"/>
      <c r="I58" s="2245"/>
      <c r="J58" s="2246"/>
    </row>
    <row r="59" spans="1:10" s="181" customFormat="1" x14ac:dyDescent="0.2">
      <c r="A59" s="253"/>
      <c r="B59" s="2244"/>
      <c r="C59" s="2245"/>
      <c r="D59" s="2245"/>
      <c r="E59" s="2245"/>
      <c r="F59" s="2245"/>
      <c r="G59" s="2245"/>
      <c r="H59" s="2245"/>
      <c r="I59" s="2245"/>
      <c r="J59" s="2246"/>
    </row>
    <row r="60" spans="1:10" s="181" customFormat="1" x14ac:dyDescent="0.2">
      <c r="A60" s="253"/>
      <c r="B60" s="2244"/>
      <c r="C60" s="2245"/>
      <c r="D60" s="2245"/>
      <c r="E60" s="2245"/>
      <c r="F60" s="2245"/>
      <c r="G60" s="2245"/>
      <c r="H60" s="2245"/>
      <c r="I60" s="2245"/>
      <c r="J60" s="2246"/>
    </row>
    <row r="61" spans="1:10" s="181" customFormat="1" x14ac:dyDescent="0.2">
      <c r="A61" s="253"/>
      <c r="B61" s="2244"/>
      <c r="C61" s="2245"/>
      <c r="D61" s="2245"/>
      <c r="E61" s="2245"/>
      <c r="F61" s="2245"/>
      <c r="G61" s="2245"/>
      <c r="H61" s="2245"/>
      <c r="I61" s="2245"/>
      <c r="J61" s="2246"/>
    </row>
    <row r="62" spans="1:10" s="181" customFormat="1" x14ac:dyDescent="0.2">
      <c r="A62" s="253"/>
      <c r="B62" s="2244"/>
      <c r="C62" s="2245"/>
      <c r="D62" s="2245"/>
      <c r="E62" s="2245"/>
      <c r="F62" s="2245"/>
      <c r="G62" s="2245"/>
      <c r="H62" s="2245"/>
      <c r="I62" s="2245"/>
      <c r="J62" s="2246"/>
    </row>
    <row r="63" spans="1:10" s="181" customFormat="1" x14ac:dyDescent="0.2">
      <c r="A63" s="253"/>
      <c r="B63" s="2244"/>
      <c r="C63" s="2245"/>
      <c r="D63" s="2245"/>
      <c r="E63" s="2245"/>
      <c r="F63" s="2245"/>
      <c r="G63" s="2245"/>
      <c r="H63" s="2245"/>
      <c r="I63" s="2245"/>
      <c r="J63" s="2246"/>
    </row>
    <row r="64" spans="1:10" s="181" customFormat="1" x14ac:dyDescent="0.2">
      <c r="A64" s="253"/>
      <c r="B64" s="2244"/>
      <c r="C64" s="2245"/>
      <c r="D64" s="2245"/>
      <c r="E64" s="2245"/>
      <c r="F64" s="2245"/>
      <c r="G64" s="2245"/>
      <c r="H64" s="2245"/>
      <c r="I64" s="2245"/>
      <c r="J64" s="2246"/>
    </row>
    <row r="65" spans="1:10" s="181" customFormat="1" x14ac:dyDescent="0.2">
      <c r="A65" s="253"/>
      <c r="B65" s="2244"/>
      <c r="C65" s="2245"/>
      <c r="D65" s="2245"/>
      <c r="E65" s="2245"/>
      <c r="F65" s="2245"/>
      <c r="G65" s="2245"/>
      <c r="H65" s="2245"/>
      <c r="I65" s="2245"/>
      <c r="J65" s="2246"/>
    </row>
    <row r="66" spans="1:10" s="181" customFormat="1" x14ac:dyDescent="0.2">
      <c r="A66" s="253"/>
      <c r="B66" s="2244"/>
      <c r="C66" s="2245"/>
      <c r="D66" s="2245"/>
      <c r="E66" s="2245"/>
      <c r="F66" s="2245"/>
      <c r="G66" s="2245"/>
      <c r="H66" s="2245"/>
      <c r="I66" s="2245"/>
      <c r="J66" s="2246"/>
    </row>
    <row r="67" spans="1:10" s="181" customFormat="1" ht="9" customHeight="1" x14ac:dyDescent="0.2">
      <c r="A67" s="254"/>
      <c r="B67" s="2247"/>
      <c r="C67" s="2248"/>
      <c r="D67" s="2248"/>
      <c r="E67" s="2248"/>
      <c r="F67" s="2248"/>
      <c r="G67" s="2248"/>
      <c r="H67" s="2248"/>
      <c r="I67" s="2248"/>
      <c r="J67" s="224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34" t="s">
        <v>1323</v>
      </c>
      <c r="B70" s="2237"/>
      <c r="C70" s="2237"/>
      <c r="D70" s="2237"/>
      <c r="E70" s="2238"/>
      <c r="F70" s="2238"/>
      <c r="G70" s="2238"/>
      <c r="H70" s="2238"/>
      <c r="I70" s="223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39" t="s">
        <v>1320</v>
      </c>
      <c r="B83" s="2239"/>
      <c r="C83" s="2239"/>
      <c r="D83" s="224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221"/>
      <c r="C102" s="2222"/>
      <c r="D102" s="2222"/>
      <c r="E102" s="2222"/>
      <c r="F102" s="2222"/>
      <c r="G102" s="2222"/>
      <c r="H102" s="2222"/>
      <c r="I102" s="2223"/>
    </row>
    <row r="103" spans="1:9" s="181" customFormat="1" ht="11.25" customHeight="1" x14ac:dyDescent="0.2">
      <c r="A103" s="316"/>
      <c r="B103" s="2224"/>
      <c r="C103" s="2225"/>
      <c r="D103" s="2225"/>
      <c r="E103" s="2225"/>
      <c r="F103" s="2225"/>
      <c r="G103" s="2225"/>
      <c r="H103" s="2225"/>
      <c r="I103" s="2226"/>
    </row>
    <row r="104" spans="1:9" s="181" customFormat="1" ht="11.25" customHeight="1" x14ac:dyDescent="0.2">
      <c r="A104" s="316"/>
      <c r="B104" s="2224"/>
      <c r="C104" s="2225"/>
      <c r="D104" s="2225"/>
      <c r="E104" s="2225"/>
      <c r="F104" s="2225"/>
      <c r="G104" s="2225"/>
      <c r="H104" s="2225"/>
      <c r="I104" s="2226"/>
    </row>
    <row r="105" spans="1:9" s="181" customFormat="1" x14ac:dyDescent="0.2">
      <c r="A105" s="316"/>
      <c r="B105" s="2224"/>
      <c r="C105" s="2225"/>
      <c r="D105" s="2225"/>
      <c r="E105" s="2225"/>
      <c r="F105" s="2225"/>
      <c r="G105" s="2225"/>
      <c r="H105" s="2225"/>
      <c r="I105" s="2226"/>
    </row>
    <row r="106" spans="1:9" s="181" customFormat="1" ht="11.25" customHeight="1" x14ac:dyDescent="0.2">
      <c r="A106" s="316"/>
      <c r="B106" s="2224"/>
      <c r="C106" s="2225"/>
      <c r="D106" s="2225"/>
      <c r="E106" s="2225"/>
      <c r="F106" s="2225"/>
      <c r="G106" s="2225"/>
      <c r="H106" s="2225"/>
      <c r="I106" s="2226"/>
    </row>
    <row r="107" spans="1:9" s="181" customFormat="1" ht="11.25" customHeight="1" x14ac:dyDescent="0.2">
      <c r="A107" s="316"/>
      <c r="B107" s="2224"/>
      <c r="C107" s="2225"/>
      <c r="D107" s="2225"/>
      <c r="E107" s="2225"/>
      <c r="F107" s="2225"/>
      <c r="G107" s="2225"/>
      <c r="H107" s="2225"/>
      <c r="I107" s="2226"/>
    </row>
    <row r="108" spans="1:9" s="181" customFormat="1" ht="11.25" customHeight="1" x14ac:dyDescent="0.2">
      <c r="A108" s="316"/>
      <c r="B108" s="2224"/>
      <c r="C108" s="2225"/>
      <c r="D108" s="2225"/>
      <c r="E108" s="2225"/>
      <c r="F108" s="2225"/>
      <c r="G108" s="2225"/>
      <c r="H108" s="2225"/>
      <c r="I108" s="2226"/>
    </row>
    <row r="109" spans="1:9" s="181" customFormat="1" ht="11.25" customHeight="1" x14ac:dyDescent="0.2">
      <c r="A109" s="316"/>
      <c r="B109" s="2224"/>
      <c r="C109" s="2225"/>
      <c r="D109" s="2225"/>
      <c r="E109" s="2225"/>
      <c r="F109" s="2225"/>
      <c r="G109" s="2225"/>
      <c r="H109" s="2225"/>
      <c r="I109" s="2226"/>
    </row>
    <row r="110" spans="1:9" s="181" customFormat="1" ht="11.25" customHeight="1" x14ac:dyDescent="0.2">
      <c r="A110" s="316"/>
      <c r="B110" s="2224"/>
      <c r="C110" s="2225"/>
      <c r="D110" s="2225"/>
      <c r="E110" s="2225"/>
      <c r="F110" s="2225"/>
      <c r="G110" s="2225"/>
      <c r="H110" s="2225"/>
      <c r="I110" s="2226"/>
    </row>
    <row r="111" spans="1:9" s="181" customFormat="1" ht="11.25" customHeight="1" x14ac:dyDescent="0.2">
      <c r="A111" s="316"/>
      <c r="B111" s="2224"/>
      <c r="C111" s="2225"/>
      <c r="D111" s="2225"/>
      <c r="E111" s="2225"/>
      <c r="F111" s="2225"/>
      <c r="G111" s="2225"/>
      <c r="H111" s="2225"/>
      <c r="I111" s="2226"/>
    </row>
    <row r="112" spans="1:9" s="181" customFormat="1" ht="11.25" customHeight="1" x14ac:dyDescent="0.2">
      <c r="A112" s="316"/>
      <c r="B112" s="2227"/>
      <c r="C112" s="2228"/>
      <c r="D112" s="2228"/>
      <c r="E112" s="2228"/>
      <c r="F112" s="2228"/>
      <c r="G112" s="2228"/>
      <c r="H112" s="2228"/>
      <c r="I112" s="222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30" t="s">
        <v>2069</v>
      </c>
      <c r="D114" s="223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31" t="s">
        <v>1330</v>
      </c>
      <c r="D117" s="2232"/>
      <c r="E117" s="2233"/>
      <c r="F117" s="2233"/>
      <c r="G117" s="2233"/>
      <c r="H117" s="2233"/>
      <c r="I117" s="304"/>
    </row>
    <row r="118" spans="1:9" s="181" customFormat="1" ht="24" customHeight="1" x14ac:dyDescent="0.2">
      <c r="A118" s="316"/>
      <c r="B118" s="316"/>
      <c r="C118" s="316"/>
      <c r="D118" s="323" t="s">
        <v>2246</v>
      </c>
      <c r="E118" s="322"/>
      <c r="F118" s="324"/>
      <c r="G118" s="1837"/>
      <c r="H118" s="322"/>
      <c r="I118" s="304"/>
    </row>
    <row r="119" spans="1:9" s="181" customFormat="1" ht="11.25" customHeight="1" x14ac:dyDescent="0.2">
      <c r="A119" s="325"/>
      <c r="B119" s="325"/>
      <c r="C119" s="326"/>
      <c r="D119" s="327" t="s">
        <v>361</v>
      </c>
      <c r="E119" s="310"/>
      <c r="F119" s="1836" t="s">
        <v>1903</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1"/>
  <sheetViews>
    <sheetView showGridLines="0" zoomScaleNormal="10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614" t="str">
        <f>SEFA19!A1</f>
        <v>Streator Township High School District No. 40</v>
      </c>
      <c r="B1" s="2615"/>
      <c r="C1" s="2615"/>
      <c r="D1" s="2615"/>
      <c r="E1" s="2615"/>
      <c r="F1" s="2615"/>
    </row>
    <row r="2" spans="1:7" ht="13.5" customHeight="1" x14ac:dyDescent="0.2">
      <c r="A2" s="2600" t="str">
        <f>SEFA19!G2</f>
        <v>35-050-0400-17</v>
      </c>
      <c r="B2" s="2600"/>
      <c r="C2" s="2600"/>
      <c r="D2" s="2600"/>
      <c r="E2" s="2600"/>
      <c r="F2" s="2600"/>
      <c r="G2" s="1269"/>
    </row>
    <row r="3" spans="1:7" ht="15.95" customHeight="1" x14ac:dyDescent="0.2">
      <c r="A3" s="2616" t="s">
        <v>1271</v>
      </c>
      <c r="B3" s="2616"/>
      <c r="C3" s="2616"/>
      <c r="D3" s="2616"/>
      <c r="E3" s="2616"/>
      <c r="F3" s="2616"/>
    </row>
    <row r="4" spans="1:7" ht="13.5" customHeight="1" x14ac:dyDescent="0.2">
      <c r="A4" s="2617" t="s">
        <v>1986</v>
      </c>
      <c r="B4" s="2617"/>
      <c r="C4" s="2617"/>
      <c r="D4" s="2617"/>
      <c r="E4" s="2617"/>
      <c r="F4" s="2617"/>
    </row>
    <row r="5" spans="1:7" ht="8.25" customHeight="1" x14ac:dyDescent="0.2">
      <c r="C5" s="317"/>
      <c r="D5" s="317"/>
    </row>
    <row r="6" spans="1:7" ht="13.5" customHeight="1" x14ac:dyDescent="0.2">
      <c r="A6" s="1270" t="s">
        <v>1728</v>
      </c>
      <c r="C6" s="317"/>
      <c r="D6" s="317"/>
    </row>
    <row r="7" spans="1:7" ht="61.15" customHeight="1" x14ac:dyDescent="0.2">
      <c r="A7" s="2613" t="s">
        <v>2245</v>
      </c>
      <c r="B7" s="2613"/>
      <c r="C7" s="2613"/>
      <c r="D7" s="2613"/>
      <c r="E7" s="2613"/>
      <c r="F7" s="2613"/>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2188</v>
      </c>
      <c r="F10" s="1274" t="s">
        <v>99</v>
      </c>
      <c r="G10" s="1272"/>
    </row>
    <row r="11" spans="1:7" ht="12" customHeight="1" x14ac:dyDescent="0.2">
      <c r="A11" s="1273"/>
      <c r="B11" s="1274"/>
      <c r="C11" s="1897"/>
      <c r="D11" s="1274"/>
      <c r="E11" s="1897"/>
      <c r="F11" s="1274"/>
      <c r="G11" s="1272"/>
    </row>
    <row r="12" spans="1:7" x14ac:dyDescent="0.2">
      <c r="A12" s="1270" t="s">
        <v>1587</v>
      </c>
      <c r="C12" s="1254"/>
      <c r="D12" s="1254"/>
    </row>
    <row r="13" spans="1:7" ht="26.25" customHeight="1" x14ac:dyDescent="0.2">
      <c r="A13" s="2613" t="s">
        <v>2244</v>
      </c>
      <c r="B13" s="2613"/>
      <c r="C13" s="2613"/>
      <c r="D13" s="2613"/>
      <c r="E13" s="2613"/>
      <c r="F13" s="2613"/>
    </row>
    <row r="14" spans="1:7" ht="9.75" customHeight="1" x14ac:dyDescent="0.2">
      <c r="C14" s="1254"/>
      <c r="D14" s="1254"/>
    </row>
    <row r="15" spans="1:7" ht="13.5" customHeight="1" x14ac:dyDescent="0.2">
      <c r="C15" s="2106" t="s">
        <v>1270</v>
      </c>
      <c r="D15" s="2611" t="s">
        <v>1269</v>
      </c>
      <c r="E15" s="2611"/>
      <c r="F15" s="2611"/>
    </row>
    <row r="16" spans="1:7" ht="13.5" customHeight="1" x14ac:dyDescent="0.2">
      <c r="A16" s="1276"/>
      <c r="B16" s="1270" t="s">
        <v>1268</v>
      </c>
      <c r="C16" s="2106" t="s">
        <v>1267</v>
      </c>
      <c r="D16" s="2612" t="s">
        <v>1588</v>
      </c>
      <c r="E16" s="2612"/>
      <c r="F16" s="2612"/>
    </row>
    <row r="17" spans="1:6" ht="20.45" customHeight="1" x14ac:dyDescent="0.2">
      <c r="A17" s="1277"/>
      <c r="B17" s="1278" t="s">
        <v>2234</v>
      </c>
      <c r="C17" s="1279"/>
      <c r="D17" s="2606"/>
      <c r="E17" s="2606"/>
      <c r="F17" s="2606"/>
    </row>
    <row r="18" spans="1:6" ht="20.65" hidden="1" customHeight="1" x14ac:dyDescent="0.2">
      <c r="A18" s="1277"/>
      <c r="B18" s="1278"/>
      <c r="C18" s="1279"/>
      <c r="D18" s="2606"/>
      <c r="E18" s="2606"/>
      <c r="F18" s="2606"/>
    </row>
    <row r="19" spans="1:6" ht="20.65" hidden="1" customHeight="1" x14ac:dyDescent="0.2">
      <c r="A19" s="1277"/>
      <c r="B19" s="1278"/>
      <c r="C19" s="1279"/>
      <c r="D19" s="2606"/>
      <c r="E19" s="2606"/>
      <c r="F19" s="2606"/>
    </row>
    <row r="20" spans="1:6" ht="20.65" hidden="1" customHeight="1" x14ac:dyDescent="0.2">
      <c r="A20" s="1277"/>
      <c r="B20" s="1278"/>
      <c r="C20" s="1279"/>
      <c r="D20" s="2606"/>
      <c r="E20" s="2606"/>
      <c r="F20" s="2606"/>
    </row>
    <row r="21" spans="1:6" ht="20.65" hidden="1" customHeight="1" x14ac:dyDescent="0.2">
      <c r="A21" s="1277"/>
      <c r="B21" s="1278"/>
      <c r="C21" s="1279"/>
      <c r="D21" s="2606"/>
      <c r="E21" s="2606"/>
      <c r="F21" s="2606"/>
    </row>
    <row r="22" spans="1:6" ht="20.65" hidden="1" customHeight="1" x14ac:dyDescent="0.2">
      <c r="A22" s="1277"/>
      <c r="B22" s="1278"/>
      <c r="C22" s="1279"/>
      <c r="D22" s="2606"/>
      <c r="E22" s="2606"/>
      <c r="F22" s="2606"/>
    </row>
    <row r="23" spans="1:6" ht="20.65" hidden="1" customHeight="1" x14ac:dyDescent="0.2">
      <c r="A23" s="1277"/>
      <c r="B23" s="1278"/>
      <c r="C23" s="1279"/>
      <c r="D23" s="2606"/>
      <c r="E23" s="2606"/>
      <c r="F23" s="2606"/>
    </row>
    <row r="24" spans="1:6" ht="20.65" hidden="1" customHeight="1" x14ac:dyDescent="0.2">
      <c r="A24" s="1277"/>
      <c r="B24" s="1278"/>
      <c r="C24" s="1279"/>
      <c r="D24" s="2606"/>
      <c r="E24" s="2606"/>
      <c r="F24" s="2606"/>
    </row>
    <row r="25" spans="1:6" ht="20.65" hidden="1" customHeight="1" x14ac:dyDescent="0.2">
      <c r="A25" s="1277"/>
      <c r="B25" s="1278"/>
      <c r="C25" s="1279"/>
      <c r="D25" s="2606"/>
      <c r="E25" s="2606"/>
      <c r="F25" s="2606"/>
    </row>
    <row r="26" spans="1:6" ht="20.65" hidden="1" customHeight="1" x14ac:dyDescent="0.2">
      <c r="A26" s="1277"/>
      <c r="B26" s="1278"/>
      <c r="C26" s="1279"/>
      <c r="D26" s="2606"/>
      <c r="E26" s="2606"/>
      <c r="F26" s="2606"/>
    </row>
    <row r="27" spans="1:6" ht="20.65" hidden="1" customHeight="1" x14ac:dyDescent="0.2">
      <c r="A27" s="1277"/>
      <c r="B27" s="1278"/>
      <c r="C27" s="1279"/>
      <c r="D27" s="2606"/>
      <c r="E27" s="2606"/>
      <c r="F27" s="2606"/>
    </row>
    <row r="28" spans="1:6" ht="20.65" hidden="1" customHeight="1" x14ac:dyDescent="0.2">
      <c r="A28" s="1277"/>
      <c r="B28" s="1278"/>
      <c r="C28" s="1279"/>
      <c r="D28" s="2606"/>
      <c r="E28" s="2606"/>
      <c r="F28" s="2606"/>
    </row>
    <row r="29" spans="1:6" ht="20.65" hidden="1" customHeight="1" x14ac:dyDescent="0.2">
      <c r="A29" s="1277"/>
      <c r="B29" s="1278"/>
      <c r="C29" s="1279"/>
      <c r="D29" s="2606"/>
      <c r="E29" s="2606"/>
      <c r="F29" s="2606"/>
    </row>
    <row r="30" spans="1:6" ht="12" customHeight="1" x14ac:dyDescent="0.2">
      <c r="A30" s="328"/>
      <c r="B30" s="328"/>
      <c r="C30" s="1459"/>
      <c r="D30" s="1898"/>
      <c r="E30" s="1280"/>
    </row>
    <row r="31" spans="1:6" ht="12" customHeight="1" x14ac:dyDescent="0.2">
      <c r="A31" s="1281" t="s">
        <v>1549</v>
      </c>
      <c r="B31" s="328"/>
      <c r="C31" s="1459"/>
      <c r="D31" s="1898"/>
      <c r="E31" s="1280"/>
    </row>
    <row r="32" spans="1:6" ht="30" customHeight="1" x14ac:dyDescent="0.2">
      <c r="A32" s="2607" t="s">
        <v>2243</v>
      </c>
      <c r="B32" s="2607"/>
      <c r="C32" s="2607"/>
      <c r="D32" s="2607"/>
      <c r="E32" s="2607"/>
      <c r="F32" s="2607"/>
    </row>
    <row r="33" spans="1:6" ht="13.5" customHeight="1" x14ac:dyDescent="0.2">
      <c r="A33" s="328" t="s">
        <v>1434</v>
      </c>
      <c r="B33" s="328"/>
      <c r="C33" s="1282">
        <v>29921</v>
      </c>
      <c r="D33" s="1898"/>
      <c r="E33" s="1280"/>
    </row>
    <row r="34" spans="1:6" ht="13.5" customHeight="1" x14ac:dyDescent="0.2">
      <c r="A34" s="328" t="s">
        <v>1835</v>
      </c>
      <c r="B34" s="328"/>
      <c r="C34" s="1283">
        <v>5999</v>
      </c>
      <c r="D34" s="1898" t="s">
        <v>1589</v>
      </c>
      <c r="E34" s="2608">
        <f>+C33+C34</f>
        <v>35920</v>
      </c>
      <c r="F34" s="2609"/>
    </row>
    <row r="35" spans="1:6" ht="12" customHeight="1" x14ac:dyDescent="0.2">
      <c r="A35" s="328"/>
      <c r="B35" s="328"/>
      <c r="C35" s="1899"/>
      <c r="D35" s="1898"/>
      <c r="E35" s="1284"/>
      <c r="F35" s="1285"/>
    </row>
    <row r="36" spans="1:6" ht="13.5" customHeight="1" x14ac:dyDescent="0.2">
      <c r="A36" s="1281" t="s">
        <v>1550</v>
      </c>
      <c r="B36" s="328"/>
      <c r="C36" s="1459"/>
      <c r="D36" s="1898"/>
      <c r="E36" s="1280"/>
    </row>
    <row r="37" spans="1:6" ht="14.25" customHeight="1" x14ac:dyDescent="0.2">
      <c r="A37" s="328" t="s">
        <v>1484</v>
      </c>
      <c r="B37" s="328"/>
      <c r="C37" s="1900"/>
      <c r="D37" s="1898"/>
      <c r="E37" s="1280"/>
    </row>
    <row r="38" spans="1:6" ht="14.25" customHeight="1" x14ac:dyDescent="0.2">
      <c r="A38" s="328"/>
      <c r="B38" s="328" t="s">
        <v>1435</v>
      </c>
      <c r="C38" s="1286" t="s">
        <v>383</v>
      </c>
      <c r="D38" s="1898"/>
      <c r="E38" s="1280"/>
    </row>
    <row r="39" spans="1:6" ht="14.25" customHeight="1" x14ac:dyDescent="0.2">
      <c r="A39" s="328"/>
      <c r="B39" s="328" t="s">
        <v>1436</v>
      </c>
      <c r="C39" s="1286" t="s">
        <v>383</v>
      </c>
      <c r="D39" s="1898"/>
      <c r="E39" s="1280"/>
    </row>
    <row r="40" spans="1:6" ht="14.25" customHeight="1" x14ac:dyDescent="0.2">
      <c r="A40" s="328"/>
      <c r="B40" s="328" t="s">
        <v>1437</v>
      </c>
      <c r="C40" s="1286" t="s">
        <v>383</v>
      </c>
      <c r="D40" s="1898"/>
      <c r="E40" s="1280"/>
    </row>
    <row r="41" spans="1:6" ht="14.25" customHeight="1" x14ac:dyDescent="0.2">
      <c r="A41" s="328"/>
      <c r="B41" s="328" t="s">
        <v>1438</v>
      </c>
      <c r="C41" s="1286" t="s">
        <v>383</v>
      </c>
      <c r="D41" s="1898"/>
      <c r="E41" s="1280"/>
    </row>
    <row r="42" spans="1:6" ht="14.25" customHeight="1" x14ac:dyDescent="0.2">
      <c r="A42" s="328" t="s">
        <v>1439</v>
      </c>
      <c r="B42" s="328"/>
      <c r="C42" s="1896" t="s">
        <v>383</v>
      </c>
      <c r="D42" s="1898"/>
      <c r="E42" s="1280"/>
    </row>
    <row r="43" spans="1:6" ht="14.25" customHeight="1" x14ac:dyDescent="0.2">
      <c r="A43" s="328" t="s">
        <v>1440</v>
      </c>
      <c r="B43" s="328"/>
      <c r="C43" s="1287" t="s">
        <v>383</v>
      </c>
      <c r="D43" s="1898"/>
      <c r="E43" s="1280"/>
    </row>
    <row r="44" spans="1:6" ht="14.25" customHeight="1" x14ac:dyDescent="0.2">
      <c r="A44" s="328"/>
      <c r="B44" s="328"/>
      <c r="C44" s="1900" t="s">
        <v>1441</v>
      </c>
      <c r="D44" s="1898"/>
      <c r="E44" s="1280"/>
    </row>
    <row r="45" spans="1:6" ht="13.5" customHeight="1" x14ac:dyDescent="0.2">
      <c r="B45" s="322"/>
      <c r="C45" s="1288"/>
      <c r="D45" s="1288"/>
    </row>
    <row r="46" spans="1:6" ht="13.5" hidden="1" customHeight="1" x14ac:dyDescent="0.2">
      <c r="A46" s="1270" t="s">
        <v>2242</v>
      </c>
      <c r="B46" s="322"/>
      <c r="C46" s="1288"/>
      <c r="D46" s="1288"/>
    </row>
    <row r="47" spans="1:6" s="1276" customFormat="1" ht="13.5" hidden="1" customHeight="1" x14ac:dyDescent="0.2">
      <c r="A47" s="1276" t="s">
        <v>2241</v>
      </c>
      <c r="B47" s="328"/>
      <c r="C47" s="1281"/>
      <c r="D47" s="1281"/>
    </row>
    <row r="48" spans="1:6" s="1276" customFormat="1" ht="13.5" customHeight="1" x14ac:dyDescent="0.2">
      <c r="B48" s="328"/>
      <c r="C48" s="1281"/>
      <c r="D48" s="1281"/>
    </row>
    <row r="49" spans="1:6" s="1276" customFormat="1" ht="13.5" customHeight="1" x14ac:dyDescent="0.2">
      <c r="A49" s="1270" t="s">
        <v>2240</v>
      </c>
      <c r="B49" s="328"/>
      <c r="C49" s="1281"/>
      <c r="D49" s="1281"/>
    </row>
    <row r="50" spans="1:6" s="1276" customFormat="1" ht="13.5" customHeight="1" x14ac:dyDescent="0.2">
      <c r="A50" s="1276" t="s">
        <v>2239</v>
      </c>
      <c r="B50" s="328"/>
      <c r="C50" s="1281"/>
      <c r="D50" s="1281"/>
    </row>
    <row r="51" spans="1:6" s="1276" customFormat="1" ht="13.5" customHeight="1" x14ac:dyDescent="0.2">
      <c r="A51" s="1276" t="s">
        <v>2238</v>
      </c>
      <c r="B51" s="328"/>
      <c r="C51" s="1281"/>
      <c r="D51" s="1281"/>
    </row>
    <row r="52" spans="1:6" s="1276" customFormat="1" ht="13.5" customHeight="1" x14ac:dyDescent="0.2">
      <c r="A52" s="1276" t="s">
        <v>2237</v>
      </c>
      <c r="B52" s="328"/>
      <c r="C52" s="1281"/>
      <c r="D52" s="1281"/>
    </row>
    <row r="53" spans="1:6" s="1276" customFormat="1" ht="13.5" customHeight="1" x14ac:dyDescent="0.2">
      <c r="A53" s="1276" t="s">
        <v>2236</v>
      </c>
      <c r="B53" s="328"/>
      <c r="C53" s="1281"/>
      <c r="D53" s="1281"/>
    </row>
    <row r="54" spans="1:6" s="1276" customFormat="1" ht="13.5" customHeight="1" x14ac:dyDescent="0.2">
      <c r="B54" s="328"/>
      <c r="C54" s="1281"/>
      <c r="D54" s="1281"/>
    </row>
    <row r="55" spans="1:6" x14ac:dyDescent="0.2">
      <c r="A55" s="1289" t="s">
        <v>1730</v>
      </c>
      <c r="C55" s="317"/>
      <c r="D55" s="317"/>
    </row>
    <row r="56" spans="1:6" s="322" customFormat="1" ht="11.25" customHeight="1" x14ac:dyDescent="0.2">
      <c r="A56" s="1290"/>
      <c r="B56" s="1291"/>
      <c r="C56" s="1291"/>
      <c r="D56" s="1291"/>
      <c r="E56" s="1291"/>
      <c r="F56" s="1291"/>
    </row>
    <row r="57" spans="1:6" s="322" customFormat="1" ht="6" customHeight="1" x14ac:dyDescent="0.2">
      <c r="A57" s="1292"/>
    </row>
    <row r="58" spans="1:6" s="1294" customFormat="1" ht="23.45" customHeight="1" x14ac:dyDescent="0.2">
      <c r="A58" s="1293">
        <v>5</v>
      </c>
      <c r="B58" s="2610" t="s">
        <v>1590</v>
      </c>
      <c r="C58" s="2610"/>
      <c r="D58" s="2610"/>
      <c r="E58" s="1393"/>
    </row>
    <row r="59" spans="1:6" s="1294" customFormat="1" ht="3.75" customHeight="1" x14ac:dyDescent="0.2">
      <c r="A59" s="1293"/>
      <c r="B59" s="2105"/>
      <c r="C59" s="2105"/>
      <c r="D59" s="2105"/>
      <c r="E59" s="1393"/>
    </row>
    <row r="60" spans="1:6" s="1294" customFormat="1" ht="20.25" customHeight="1" x14ac:dyDescent="0.2">
      <c r="A60" s="1295">
        <v>6</v>
      </c>
      <c r="B60" s="2605" t="s">
        <v>1551</v>
      </c>
      <c r="C60" s="2605"/>
      <c r="D60" s="2605"/>
    </row>
    <row r="61" spans="1:6" ht="14.25" customHeight="1" x14ac:dyDescent="0.2">
      <c r="A61" s="1295"/>
      <c r="B61" s="2605"/>
      <c r="C61" s="2605"/>
      <c r="D61" s="2605"/>
    </row>
  </sheetData>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60:D60"/>
    <mergeCell ref="B61:D61"/>
    <mergeCell ref="D27:F27"/>
    <mergeCell ref="D28:F28"/>
    <mergeCell ref="D29:F29"/>
    <mergeCell ref="A32:F32"/>
    <mergeCell ref="E34:F34"/>
    <mergeCell ref="B58:D58"/>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22" t="str">
        <f>'Single Audit Cover'!A7</f>
        <v>Streator TWP HSD 40</v>
      </c>
      <c r="C1" s="2623"/>
      <c r="D1" s="2623"/>
      <c r="E1" s="2623"/>
      <c r="F1" s="2623"/>
      <c r="G1" s="2623"/>
      <c r="H1" s="2623"/>
      <c r="I1" s="2623"/>
      <c r="J1" s="1403"/>
    </row>
    <row r="2" spans="2:10" s="317" customFormat="1" ht="12.75" customHeight="1" x14ac:dyDescent="0.2">
      <c r="B2" s="2624">
        <f>'Single Audit Cover'!E7</f>
        <v>35050040017</v>
      </c>
      <c r="C2" s="2625"/>
      <c r="D2" s="2625"/>
      <c r="E2" s="2625"/>
      <c r="F2" s="2625"/>
      <c r="G2" s="2625"/>
      <c r="H2" s="2625"/>
      <c r="I2" s="2625"/>
      <c r="J2" s="1403"/>
    </row>
    <row r="3" spans="2:10" s="317" customFormat="1" ht="12.75" customHeight="1" x14ac:dyDescent="0.2">
      <c r="B3" s="2626" t="s">
        <v>1285</v>
      </c>
      <c r="C3" s="2627"/>
      <c r="D3" s="2627"/>
      <c r="E3" s="2627"/>
      <c r="F3" s="2627"/>
      <c r="G3" s="2627"/>
      <c r="H3" s="2627"/>
      <c r="I3" s="2627"/>
      <c r="J3" s="1404"/>
    </row>
    <row r="4" spans="2:10" s="317" customFormat="1" ht="12.75" customHeight="1" x14ac:dyDescent="0.2">
      <c r="B4" s="2626" t="str">
        <f>'Single Audit Cover'!A4</f>
        <v>Year Ending June 30, 2019</v>
      </c>
      <c r="C4" s="2627"/>
      <c r="D4" s="2627"/>
      <c r="E4" s="2627"/>
      <c r="F4" s="2627"/>
      <c r="G4" s="2627"/>
      <c r="H4" s="2627"/>
      <c r="I4" s="2627"/>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626" t="s">
        <v>1284</v>
      </c>
      <c r="C7" s="2627"/>
      <c r="D7" s="2627"/>
      <c r="E7" s="2627"/>
      <c r="F7" s="2627"/>
      <c r="G7" s="2627"/>
      <c r="H7" s="2627"/>
      <c r="I7" s="2627"/>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628" t="s">
        <v>1164</v>
      </c>
      <c r="D11" s="2628"/>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t="s">
        <v>2188</v>
      </c>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t="s">
        <v>2188</v>
      </c>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t="s">
        <v>2188</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t="s">
        <v>2188</v>
      </c>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t="s">
        <v>2188</v>
      </c>
      <c r="H27" s="1294" t="s">
        <v>1276</v>
      </c>
      <c r="I27" s="1294"/>
    </row>
    <row r="28" spans="2:9" s="317" customFormat="1" ht="12.75" customHeight="1" x14ac:dyDescent="0.2">
      <c r="B28" s="1362"/>
      <c r="C28" s="1276"/>
      <c r="E28" s="1252"/>
    </row>
    <row r="29" spans="2:9" s="317" customFormat="1" ht="12.75" customHeight="1" x14ac:dyDescent="0.2">
      <c r="B29" s="1362" t="s">
        <v>1275</v>
      </c>
      <c r="C29" s="1276"/>
      <c r="D29" s="2629" t="s">
        <v>2189</v>
      </c>
      <c r="E29" s="2629"/>
      <c r="F29" s="2629"/>
      <c r="G29" s="2629"/>
      <c r="H29" s="2629"/>
      <c r="I29" s="2629"/>
    </row>
    <row r="30" spans="2:9" s="317" customFormat="1" x14ac:dyDescent="0.2">
      <c r="B30" s="1362"/>
      <c r="C30" s="322"/>
      <c r="D30" s="1414" t="s">
        <v>1745</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t="s">
        <v>2188</v>
      </c>
      <c r="H33" s="1294" t="s">
        <v>99</v>
      </c>
    </row>
    <row r="35" spans="2:9" x14ac:dyDescent="0.2">
      <c r="B35" s="1422" t="s">
        <v>1746</v>
      </c>
      <c r="C35" s="1423"/>
      <c r="D35" s="1261"/>
    </row>
    <row r="36" spans="2:9" ht="6" customHeight="1" x14ac:dyDescent="0.2">
      <c r="B36" s="1422"/>
      <c r="C36" s="1423"/>
      <c r="D36" s="1261"/>
    </row>
    <row r="37" spans="2:9" ht="17.25" customHeight="1" x14ac:dyDescent="0.2">
      <c r="B37" s="1424" t="s">
        <v>1747</v>
      </c>
      <c r="C37" s="2630" t="s">
        <v>1748</v>
      </c>
      <c r="D37" s="2631"/>
      <c r="E37" s="2631"/>
      <c r="F37" s="2632"/>
      <c r="G37" s="2630" t="s">
        <v>1592</v>
      </c>
      <c r="H37" s="2631"/>
      <c r="I37" s="2632"/>
    </row>
    <row r="38" spans="2:9" ht="16.5" customHeight="1" x14ac:dyDescent="0.2">
      <c r="B38" s="1425">
        <v>84.01</v>
      </c>
      <c r="C38" s="2618" t="s">
        <v>918</v>
      </c>
      <c r="D38" s="2619"/>
      <c r="E38" s="2619"/>
      <c r="F38" s="2620"/>
      <c r="G38" s="2633">
        <f>286987+20604</f>
        <v>307591</v>
      </c>
      <c r="H38" s="2634"/>
      <c r="I38" s="2635"/>
    </row>
    <row r="39" spans="2:9" ht="16.5" customHeight="1" x14ac:dyDescent="0.2">
      <c r="B39" s="1425">
        <v>84.027000000000001</v>
      </c>
      <c r="C39" s="2618" t="s">
        <v>2200</v>
      </c>
      <c r="D39" s="2619"/>
      <c r="E39" s="2619"/>
      <c r="F39" s="2620"/>
      <c r="G39" s="2621">
        <f>36045+116033+116470</f>
        <v>268548</v>
      </c>
      <c r="H39" s="2621"/>
      <c r="I39" s="2621"/>
    </row>
    <row r="40" spans="2:9" ht="16.5" customHeight="1" x14ac:dyDescent="0.2">
      <c r="B40" s="1425"/>
      <c r="C40" s="2618"/>
      <c r="D40" s="2619"/>
      <c r="E40" s="2619"/>
      <c r="F40" s="2620"/>
      <c r="G40" s="2621"/>
      <c r="H40" s="2621"/>
      <c r="I40" s="2621"/>
    </row>
    <row r="41" spans="2:9" ht="16.5" customHeight="1" x14ac:dyDescent="0.2">
      <c r="B41" s="1425"/>
      <c r="C41" s="2618"/>
      <c r="D41" s="2619"/>
      <c r="E41" s="2619"/>
      <c r="F41" s="2620"/>
      <c r="G41" s="2621"/>
      <c r="H41" s="2621"/>
      <c r="I41" s="2621"/>
    </row>
    <row r="42" spans="2:9" ht="16.5" customHeight="1" x14ac:dyDescent="0.2">
      <c r="B42" s="1425"/>
      <c r="C42" s="2618"/>
      <c r="D42" s="2619"/>
      <c r="E42" s="2619"/>
      <c r="F42" s="2620"/>
      <c r="G42" s="2621"/>
      <c r="H42" s="2621"/>
      <c r="I42" s="2621"/>
    </row>
    <row r="43" spans="2:9" ht="16.5" customHeight="1" x14ac:dyDescent="0.2">
      <c r="B43" s="1425"/>
      <c r="C43" s="2636" t="s">
        <v>1593</v>
      </c>
      <c r="D43" s="2637"/>
      <c r="E43" s="2637"/>
      <c r="F43" s="2638"/>
      <c r="G43" s="2639">
        <f>SUM(G38:I42)</f>
        <v>576139</v>
      </c>
      <c r="H43" s="2639"/>
      <c r="I43" s="2639"/>
    </row>
    <row r="44" spans="2:9" ht="12.75" customHeight="1" x14ac:dyDescent="0.2"/>
    <row r="45" spans="2:9" ht="12.75" customHeight="1" x14ac:dyDescent="0.2">
      <c r="B45" s="1416" t="s">
        <v>1838</v>
      </c>
      <c r="D45" s="2640">
        <v>1136157</v>
      </c>
      <c r="E45" s="2641"/>
    </row>
    <row r="46" spans="2:9" ht="5.25" customHeight="1" x14ac:dyDescent="0.2">
      <c r="B46" s="1426"/>
      <c r="D46" s="1427"/>
      <c r="E46" s="1428"/>
    </row>
    <row r="47" spans="2:9" ht="12.75" customHeight="1" x14ac:dyDescent="0.2">
      <c r="B47" s="1294" t="s">
        <v>1594</v>
      </c>
      <c r="C47" s="1294"/>
      <c r="D47" s="1429">
        <f>+G43/D45</f>
        <v>0.50709453006934779</v>
      </c>
      <c r="E47" s="1430"/>
      <c r="F47" s="1431"/>
      <c r="I47" s="1432"/>
    </row>
    <row r="48" spans="2:9" ht="9.9499999999999993" customHeight="1" x14ac:dyDescent="0.2"/>
    <row r="49" spans="1:9" x14ac:dyDescent="0.2">
      <c r="B49" s="1362" t="s">
        <v>1273</v>
      </c>
      <c r="C49" s="1276"/>
      <c r="D49" s="1276"/>
      <c r="E49" s="2642">
        <v>750000</v>
      </c>
      <c r="F49" s="2642"/>
      <c r="G49" s="2642"/>
      <c r="H49" s="322"/>
    </row>
    <row r="51" spans="1:9" ht="13.5" customHeight="1" x14ac:dyDescent="0.2">
      <c r="B51" s="1362" t="s">
        <v>1272</v>
      </c>
      <c r="C51" s="1276"/>
      <c r="E51" s="1419"/>
      <c r="F51" s="1294" t="s">
        <v>885</v>
      </c>
      <c r="G51" s="1419" t="s">
        <v>2188</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1749</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1750</v>
      </c>
      <c r="C58" s="1445"/>
      <c r="D58" s="1445"/>
    </row>
    <row r="59" spans="1:9" s="1442" customFormat="1" ht="3.95" customHeight="1" x14ac:dyDescent="0.2">
      <c r="A59" s="1439"/>
      <c r="B59" s="1444"/>
      <c r="C59" s="1445"/>
      <c r="D59" s="1445"/>
    </row>
    <row r="60" spans="1:9" s="1442" customFormat="1" ht="13.5" customHeight="1" x14ac:dyDescent="0.2">
      <c r="A60" s="1439"/>
      <c r="B60" s="1444" t="s">
        <v>1751</v>
      </c>
      <c r="C60" s="1445"/>
      <c r="D60" s="1445"/>
    </row>
    <row r="61" spans="1:9" s="1442" customFormat="1" ht="3.95" customHeight="1" x14ac:dyDescent="0.2">
      <c r="A61" s="1439"/>
      <c r="B61" s="1444"/>
      <c r="C61" s="1445"/>
      <c r="D61" s="1445"/>
    </row>
    <row r="62" spans="1:9" s="1442" customFormat="1" ht="12.75" customHeight="1" x14ac:dyDescent="0.2">
      <c r="A62" s="1439"/>
      <c r="B62" s="1444" t="s">
        <v>1752</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22" t="str">
        <f>'Single Audit Cover'!A7</f>
        <v>Streator TWP HSD 40</v>
      </c>
      <c r="C1" s="2622"/>
      <c r="D1" s="2622"/>
      <c r="E1" s="2622"/>
      <c r="F1" s="2622"/>
      <c r="G1" s="2622"/>
      <c r="H1" s="2622"/>
      <c r="I1" s="2622"/>
      <c r="J1" s="2622"/>
      <c r="K1" s="2622"/>
      <c r="L1" s="1368"/>
      <c r="M1" s="1368"/>
    </row>
    <row r="2" spans="1:13" ht="12" customHeight="1" x14ac:dyDescent="0.2">
      <c r="B2" s="2624">
        <f>'Single Audit Cover'!E7</f>
        <v>35050040017</v>
      </c>
      <c r="C2" s="2624"/>
      <c r="D2" s="2624"/>
      <c r="E2" s="2624"/>
      <c r="F2" s="2624"/>
      <c r="G2" s="2624"/>
      <c r="H2" s="2624"/>
      <c r="I2" s="2624"/>
      <c r="J2" s="2624"/>
      <c r="K2" s="2624"/>
      <c r="L2" s="1369"/>
      <c r="M2" s="1370"/>
    </row>
    <row r="3" spans="1:13" ht="10.35" customHeight="1" x14ac:dyDescent="0.2">
      <c r="B3" s="2645" t="s">
        <v>1285</v>
      </c>
      <c r="C3" s="2645"/>
      <c r="D3" s="2645"/>
      <c r="E3" s="2645"/>
      <c r="F3" s="2645"/>
      <c r="G3" s="2645"/>
      <c r="H3" s="2645"/>
      <c r="I3" s="2645"/>
      <c r="J3" s="2645"/>
      <c r="K3" s="2645"/>
      <c r="L3" s="1371"/>
      <c r="M3" s="1371"/>
    </row>
    <row r="4" spans="1:13" ht="14.25" customHeight="1" x14ac:dyDescent="0.2">
      <c r="B4" s="2646" t="str">
        <f>'Single Audit Cover'!A4</f>
        <v>Year Ending June 30, 2019</v>
      </c>
      <c r="C4" s="2646"/>
      <c r="D4" s="2646"/>
      <c r="E4" s="2646"/>
      <c r="F4" s="2646"/>
      <c r="G4" s="2646"/>
      <c r="H4" s="2646"/>
      <c r="I4" s="2646"/>
      <c r="J4" s="2646"/>
      <c r="K4" s="2646"/>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646" t="s">
        <v>1296</v>
      </c>
      <c r="C7" s="2646"/>
      <c r="D7" s="2647"/>
      <c r="E7" s="2647"/>
      <c r="F7" s="2647"/>
      <c r="G7" s="2647"/>
      <c r="H7" s="2647"/>
      <c r="I7" s="2647"/>
      <c r="J7" s="2647"/>
      <c r="K7" s="2647"/>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1988</v>
      </c>
      <c r="D10" s="1380" t="s">
        <v>2234</v>
      </c>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644"/>
      <c r="C14" s="2644"/>
      <c r="D14" s="2644"/>
      <c r="E14" s="2644"/>
      <c r="F14" s="2644"/>
      <c r="G14" s="2644"/>
      <c r="H14" s="2644"/>
      <c r="I14" s="2644"/>
      <c r="J14" s="2644"/>
      <c r="K14" s="2644"/>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644"/>
      <c r="C17" s="2644"/>
      <c r="D17" s="2644"/>
      <c r="E17" s="2644"/>
      <c r="F17" s="2644"/>
      <c r="G17" s="2644"/>
      <c r="H17" s="2644"/>
      <c r="I17" s="2644"/>
      <c r="J17" s="2644"/>
      <c r="K17" s="2644"/>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648"/>
      <c r="C20" s="2648"/>
      <c r="D20" s="2644"/>
      <c r="E20" s="2644"/>
      <c r="F20" s="2644"/>
      <c r="G20" s="2644"/>
      <c r="H20" s="2644"/>
      <c r="I20" s="2644"/>
      <c r="J20" s="2644"/>
      <c r="K20" s="2644"/>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644"/>
      <c r="C23" s="2644"/>
      <c r="D23" s="2644"/>
      <c r="E23" s="2644"/>
      <c r="F23" s="2644"/>
      <c r="G23" s="2644"/>
      <c r="H23" s="2644"/>
      <c r="I23" s="2644"/>
      <c r="J23" s="2644"/>
      <c r="K23" s="2644"/>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644"/>
      <c r="C26" s="2644"/>
      <c r="D26" s="2644"/>
      <c r="E26" s="2644"/>
      <c r="F26" s="2644"/>
      <c r="G26" s="2644"/>
      <c r="H26" s="2644"/>
      <c r="I26" s="2644"/>
      <c r="J26" s="2644"/>
      <c r="K26" s="2644"/>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643"/>
      <c r="C29" s="2643"/>
      <c r="D29" s="2644"/>
      <c r="E29" s="2644"/>
      <c r="F29" s="2644"/>
      <c r="G29" s="2644"/>
      <c r="H29" s="2644"/>
      <c r="I29" s="2644"/>
      <c r="J29" s="2644"/>
      <c r="K29" s="2644"/>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643"/>
      <c r="C32" s="2643"/>
      <c r="D32" s="2644"/>
      <c r="E32" s="2644"/>
      <c r="F32" s="2644"/>
      <c r="G32" s="2644"/>
      <c r="H32" s="2644"/>
      <c r="I32" s="2644"/>
      <c r="J32" s="2644"/>
      <c r="K32" s="2644"/>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1839</v>
      </c>
      <c r="C36" s="1294"/>
      <c r="L36" s="1375"/>
    </row>
    <row r="37" spans="1:13" ht="9.6" customHeight="1" x14ac:dyDescent="0.2">
      <c r="B37" s="1294" t="s">
        <v>1840</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55" t="s">
        <v>2072</v>
      </c>
      <c r="C1" s="2655"/>
      <c r="D1" s="2655"/>
      <c r="E1" s="2655"/>
      <c r="F1" s="2655"/>
      <c r="G1" s="2655"/>
      <c r="H1" s="2655"/>
      <c r="I1" s="2655"/>
      <c r="J1" s="2655"/>
      <c r="K1" s="2655"/>
      <c r="L1" s="1446"/>
    </row>
    <row r="2" spans="1:12" ht="12.75" customHeight="1" x14ac:dyDescent="0.2">
      <c r="B2" s="2656" t="s">
        <v>2070</v>
      </c>
      <c r="C2" s="2656"/>
      <c r="D2" s="2656"/>
      <c r="E2" s="2656"/>
      <c r="F2" s="2656"/>
      <c r="G2" s="2656"/>
      <c r="H2" s="2656"/>
      <c r="I2" s="2656"/>
      <c r="J2" s="2656"/>
      <c r="K2" s="2656"/>
      <c r="L2" s="1447"/>
    </row>
    <row r="3" spans="1:12" ht="12.75" customHeight="1" x14ac:dyDescent="0.2">
      <c r="B3" s="2645" t="s">
        <v>1285</v>
      </c>
      <c r="C3" s="2645"/>
      <c r="D3" s="2645"/>
      <c r="E3" s="2645"/>
      <c r="F3" s="2645"/>
      <c r="G3" s="2645"/>
      <c r="H3" s="2645"/>
      <c r="I3" s="2645"/>
      <c r="J3" s="2645"/>
      <c r="K3" s="2645"/>
      <c r="L3" s="2063"/>
    </row>
    <row r="4" spans="1:12" ht="12.75" customHeight="1" x14ac:dyDescent="0.2">
      <c r="B4" s="2645" t="str">
        <f>+'SF&amp;QC Sec-2'!B4:K4</f>
        <v>Year Ending June 30, 2019</v>
      </c>
      <c r="C4" s="2645"/>
      <c r="D4" s="2645"/>
      <c r="E4" s="2645"/>
      <c r="F4" s="2645"/>
      <c r="G4" s="2645"/>
      <c r="H4" s="2645"/>
      <c r="I4" s="2645"/>
      <c r="J4" s="2645"/>
      <c r="K4" s="2645"/>
      <c r="L4" s="2063"/>
    </row>
    <row r="5" spans="1:12" ht="5.25" customHeight="1" x14ac:dyDescent="0.2">
      <c r="B5" s="1254" t="s">
        <v>1169</v>
      </c>
      <c r="C5" s="1254"/>
      <c r="L5" s="322"/>
    </row>
    <row r="6" spans="1:12" ht="30.75" customHeight="1" x14ac:dyDescent="0.2">
      <c r="A6" s="322"/>
      <c r="B6" s="2657" t="s">
        <v>1308</v>
      </c>
      <c r="C6" s="2657"/>
      <c r="D6" s="2657"/>
      <c r="E6" s="2657"/>
      <c r="F6" s="2657"/>
      <c r="G6" s="2657"/>
      <c r="H6" s="2657"/>
      <c r="I6" s="2657"/>
      <c r="J6" s="2657"/>
      <c r="K6" s="2657"/>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1988</v>
      </c>
      <c r="D8" s="1449" t="s">
        <v>2234</v>
      </c>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654" t="s">
        <v>918</v>
      </c>
      <c r="G12" s="2654"/>
      <c r="H12" s="2654"/>
      <c r="I12" s="2654"/>
      <c r="J12" s="2654"/>
      <c r="K12" s="2654"/>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650"/>
      <c r="E14" s="2650"/>
      <c r="F14" s="2650"/>
      <c r="H14" s="1456" t="s">
        <v>1303</v>
      </c>
      <c r="I14" s="2651"/>
      <c r="J14" s="2651"/>
      <c r="K14" s="2651"/>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652"/>
      <c r="E16" s="2652"/>
      <c r="F16" s="2652"/>
      <c r="G16" s="2652"/>
      <c r="H16" s="2652"/>
      <c r="I16" s="2652"/>
      <c r="J16" s="2652"/>
      <c r="K16" s="2652"/>
      <c r="L16" s="322"/>
    </row>
    <row r="17" spans="2:12" ht="13.5" customHeight="1" x14ac:dyDescent="0.2">
      <c r="B17" s="1381" t="s">
        <v>1301</v>
      </c>
      <c r="C17" s="1381"/>
      <c r="D17" s="2653"/>
      <c r="E17" s="2653"/>
      <c r="F17" s="2653"/>
      <c r="G17" s="2653"/>
      <c r="H17" s="2653"/>
      <c r="I17" s="2653"/>
      <c r="J17" s="2653"/>
      <c r="K17" s="2653"/>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54" customHeight="1" x14ac:dyDescent="0.2">
      <c r="B20" s="2644"/>
      <c r="C20" s="2644"/>
      <c r="D20" s="2644"/>
      <c r="E20" s="2644"/>
      <c r="F20" s="2644"/>
      <c r="G20" s="2644"/>
      <c r="H20" s="2644"/>
      <c r="I20" s="2644"/>
      <c r="J20" s="2644"/>
      <c r="K20" s="2644"/>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644"/>
      <c r="C23" s="2644"/>
      <c r="D23" s="2644"/>
      <c r="E23" s="2644"/>
      <c r="F23" s="2644"/>
      <c r="G23" s="2644"/>
      <c r="H23" s="2644"/>
      <c r="I23" s="2644"/>
      <c r="J23" s="2644"/>
      <c r="K23" s="2644"/>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24" customHeight="1" x14ac:dyDescent="0.2">
      <c r="B26" s="2644"/>
      <c r="C26" s="2644"/>
      <c r="D26" s="2644"/>
      <c r="E26" s="2644"/>
      <c r="F26" s="2644"/>
      <c r="G26" s="2644"/>
      <c r="H26" s="2644"/>
      <c r="I26" s="2644"/>
      <c r="J26" s="2644"/>
      <c r="K26" s="2644"/>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37.5" customHeight="1" x14ac:dyDescent="0.2">
      <c r="B29" s="2644"/>
      <c r="C29" s="2644"/>
      <c r="D29" s="2644"/>
      <c r="E29" s="2644"/>
      <c r="F29" s="2644"/>
      <c r="G29" s="2644"/>
      <c r="H29" s="2644"/>
      <c r="I29" s="2644"/>
      <c r="J29" s="2644"/>
      <c r="K29" s="2644"/>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644"/>
      <c r="C32" s="2644"/>
      <c r="D32" s="2644"/>
      <c r="E32" s="2644"/>
      <c r="F32" s="2644"/>
      <c r="G32" s="2644"/>
      <c r="H32" s="2644"/>
      <c r="I32" s="2644"/>
      <c r="J32" s="2644"/>
      <c r="K32" s="2644"/>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644"/>
      <c r="C35" s="2644"/>
      <c r="D35" s="2644"/>
      <c r="E35" s="2644"/>
      <c r="F35" s="2644"/>
      <c r="G35" s="2644"/>
      <c r="H35" s="2644"/>
      <c r="I35" s="2644"/>
      <c r="J35" s="2644"/>
      <c r="K35" s="2644"/>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42" customHeight="1" x14ac:dyDescent="0.2">
      <c r="B38" s="2644"/>
      <c r="C38" s="2644"/>
      <c r="D38" s="2644"/>
      <c r="E38" s="2644"/>
      <c r="F38" s="2644"/>
      <c r="G38" s="2644"/>
      <c r="H38" s="2644"/>
      <c r="I38" s="2644"/>
      <c r="J38" s="2644"/>
      <c r="K38" s="2644"/>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649"/>
      <c r="C41" s="2649"/>
      <c r="D41" s="2649"/>
      <c r="E41" s="2649"/>
      <c r="F41" s="2649"/>
      <c r="G41" s="2649"/>
      <c r="H41" s="2649"/>
      <c r="I41" s="2649"/>
      <c r="J41" s="2649"/>
      <c r="K41" s="2649"/>
    </row>
    <row r="42" spans="2:12" s="322" customFormat="1" ht="4.5" customHeight="1" x14ac:dyDescent="0.2">
      <c r="B42" s="1396"/>
      <c r="C42" s="1396"/>
      <c r="G42" s="1377"/>
      <c r="I42" s="1377"/>
    </row>
    <row r="43" spans="2:12" s="322" customFormat="1" ht="13.5" customHeight="1" x14ac:dyDescent="0.2">
      <c r="B43" s="2064" t="s">
        <v>2220</v>
      </c>
      <c r="C43" s="2065"/>
      <c r="D43" s="2066"/>
      <c r="E43" s="2066"/>
      <c r="F43" s="2066"/>
      <c r="G43" s="2067"/>
      <c r="H43" s="2066"/>
      <c r="I43" s="2067"/>
      <c r="J43" s="2066"/>
      <c r="K43" s="2068"/>
      <c r="L43" s="2069"/>
    </row>
    <row r="44" spans="2:12" s="322" customFormat="1" ht="13.5" customHeight="1" x14ac:dyDescent="0.2">
      <c r="B44" s="2070" t="s">
        <v>2221</v>
      </c>
      <c r="C44" s="2071"/>
      <c r="D44" s="2072"/>
      <c r="E44" s="2073"/>
      <c r="F44" s="2074" t="s">
        <v>2222</v>
      </c>
      <c r="G44" s="2075"/>
      <c r="H44" s="2076"/>
      <c r="I44" s="2075"/>
      <c r="J44" s="2077"/>
      <c r="K44" s="2078"/>
      <c r="L44" s="2069"/>
    </row>
    <row r="45" spans="2:12" s="322" customFormat="1" ht="13.5" customHeight="1" x14ac:dyDescent="0.2">
      <c r="B45" s="2070" t="s">
        <v>2223</v>
      </c>
      <c r="C45" s="2071"/>
      <c r="D45" s="2077"/>
      <c r="E45" s="2076"/>
      <c r="F45" s="2074" t="s">
        <v>2224</v>
      </c>
      <c r="G45" s="2075"/>
      <c r="H45" s="2076"/>
      <c r="I45" s="2075"/>
      <c r="J45" s="2077"/>
      <c r="K45" s="2078"/>
      <c r="L45" s="2069"/>
    </row>
    <row r="46" spans="2:12" s="322" customFormat="1" ht="13.5" customHeight="1" x14ac:dyDescent="0.2">
      <c r="B46" s="2079"/>
      <c r="C46" s="2080"/>
      <c r="D46" s="2080"/>
      <c r="E46" s="2080"/>
      <c r="F46" s="2080"/>
      <c r="G46" s="2081"/>
      <c r="H46" s="2080"/>
      <c r="I46" s="2081"/>
      <c r="J46" s="2080"/>
      <c r="K46" s="2082"/>
      <c r="L46" s="2069"/>
    </row>
    <row r="47" spans="2:12" ht="7.5" customHeight="1" x14ac:dyDescent="0.25">
      <c r="B47" s="1463"/>
      <c r="C47" s="1463"/>
      <c r="D47" s="1464"/>
      <c r="E47" s="1464"/>
      <c r="F47" s="1464"/>
      <c r="G47" s="1465"/>
      <c r="H47" s="1464"/>
      <c r="I47" s="1465"/>
      <c r="J47" s="1464"/>
      <c r="K47" s="1464"/>
    </row>
    <row r="48" spans="2:12" ht="13.5" customHeight="1" x14ac:dyDescent="0.2">
      <c r="B48" s="1400" t="s">
        <v>1758</v>
      </c>
      <c r="C48" s="1400"/>
      <c r="D48" s="322"/>
      <c r="E48" s="322"/>
      <c r="F48" s="322"/>
    </row>
    <row r="49" spans="2:3" s="317" customFormat="1" ht="10.5" customHeight="1" x14ac:dyDescent="0.2">
      <c r="B49" s="1401" t="s">
        <v>1759</v>
      </c>
      <c r="C49" s="1401"/>
    </row>
    <row r="50" spans="2:3" s="317" customFormat="1" ht="11.1" customHeight="1" x14ac:dyDescent="0.2">
      <c r="B50" s="1401" t="s">
        <v>1760</v>
      </c>
      <c r="C50" s="1401"/>
    </row>
    <row r="51" spans="2:3" s="317" customFormat="1" ht="11.1" customHeight="1" x14ac:dyDescent="0.2">
      <c r="B51" s="1401" t="s">
        <v>1761</v>
      </c>
      <c r="C51" s="1401"/>
    </row>
    <row r="52" spans="2:3" s="317" customFormat="1" ht="11.1" customHeight="1" x14ac:dyDescent="0.2">
      <c r="B52" s="1401" t="s">
        <v>1762</v>
      </c>
      <c r="C52" s="140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scale="96" firstPageNumber="42" fitToWidth="0"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622" t="str">
        <f>'Single Audit Cover'!A7</f>
        <v>Streator TWP HSD 40</v>
      </c>
      <c r="C1" s="2622"/>
      <c r="D1" s="2622"/>
      <c r="E1" s="1466"/>
    </row>
    <row r="2" spans="2:5" s="1276" customFormat="1" ht="12.75" customHeight="1" x14ac:dyDescent="0.2">
      <c r="B2" s="2624">
        <f>'Single Audit Cover'!E7</f>
        <v>35050040017</v>
      </c>
      <c r="C2" s="2624"/>
      <c r="D2" s="2624"/>
      <c r="E2" s="1467"/>
    </row>
    <row r="3" spans="2:5" ht="12.75" customHeight="1" x14ac:dyDescent="0.2">
      <c r="B3" s="2645" t="s">
        <v>1763</v>
      </c>
      <c r="C3" s="2645"/>
      <c r="D3" s="2645"/>
      <c r="E3" s="1268"/>
    </row>
    <row r="4" spans="2:5" s="1276" customFormat="1" ht="12.75" customHeight="1" x14ac:dyDescent="0.2">
      <c r="B4" s="2658" t="str">
        <f>'Single Audit Cover'!A4</f>
        <v>Year Ending June 30, 2019</v>
      </c>
      <c r="C4" s="2658"/>
      <c r="D4" s="2658"/>
      <c r="E4" s="1468"/>
    </row>
    <row r="5" spans="2:5" s="1276" customFormat="1" ht="40.15" customHeight="1" x14ac:dyDescent="0.2">
      <c r="B5" s="1469" t="s">
        <v>1764</v>
      </c>
      <c r="C5" s="328"/>
      <c r="D5" s="328"/>
      <c r="E5" s="328"/>
    </row>
    <row r="6" spans="2:5" s="1276" customFormat="1" ht="13.5" customHeight="1" x14ac:dyDescent="0.2">
      <c r="B6" s="1470" t="s">
        <v>1315</v>
      </c>
      <c r="C6" s="1470" t="s">
        <v>1314</v>
      </c>
      <c r="D6" s="1470" t="s">
        <v>1765</v>
      </c>
    </row>
    <row r="7" spans="2:5" ht="13.5" customHeight="1" x14ac:dyDescent="0.2">
      <c r="B7" s="1471" t="s">
        <v>2190</v>
      </c>
      <c r="C7" s="324" t="s">
        <v>2192</v>
      </c>
      <c r="D7" s="324" t="s">
        <v>2191</v>
      </c>
      <c r="E7" s="324"/>
    </row>
    <row r="8" spans="2:5" ht="13.5" customHeight="1" x14ac:dyDescent="0.2">
      <c r="B8" s="1471"/>
      <c r="C8" s="324" t="s">
        <v>2193</v>
      </c>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1766</v>
      </c>
    </row>
    <row r="46" spans="2:5" ht="12.2" customHeight="1" x14ac:dyDescent="0.2">
      <c r="B46" s="1480" t="s">
        <v>1767</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2084" customWidth="1"/>
    <col min="2" max="2" width="11.28515625" style="2084" customWidth="1"/>
    <col min="3" max="3" width="6.42578125" style="2084" customWidth="1"/>
    <col min="4" max="4" width="5.42578125" style="2084" customWidth="1"/>
    <col min="5" max="5" width="74.7109375" style="2084" customWidth="1"/>
    <col min="6" max="6" width="1.5703125" style="2084" customWidth="1"/>
    <col min="7" max="8" width="2.42578125" style="2084" customWidth="1"/>
    <col min="9" max="9" width="9.28515625" style="2084" customWidth="1"/>
    <col min="10" max="10" width="14.42578125" style="2084" customWidth="1"/>
    <col min="11" max="11" width="7.28515625" style="2084" customWidth="1"/>
    <col min="12" max="12" width="3.140625" style="2084" customWidth="1"/>
    <col min="13" max="16384" width="9.140625" style="2084"/>
  </cols>
  <sheetData>
    <row r="1" spans="2:12" ht="13.5" customHeight="1" x14ac:dyDescent="0.2">
      <c r="B1" s="2660" t="str">
        <f>+'SF&amp;QC Sec-3'!B1:K1</f>
        <v>Streator Township High School District No. 40</v>
      </c>
      <c r="C1" s="2660"/>
      <c r="D1" s="2660"/>
      <c r="E1" s="2660"/>
      <c r="F1" s="2083"/>
      <c r="G1" s="2083"/>
      <c r="H1" s="2083"/>
      <c r="I1" s="2083"/>
      <c r="J1" s="2083"/>
      <c r="K1" s="2083"/>
      <c r="L1" s="2083"/>
    </row>
    <row r="2" spans="2:12" ht="13.5" customHeight="1" x14ac:dyDescent="0.2">
      <c r="B2" s="2661">
        <f>+'SF&amp;QC Sec-2'!B2:K2</f>
        <v>35050040017</v>
      </c>
      <c r="C2" s="2661"/>
      <c r="D2" s="2661"/>
      <c r="E2" s="2661"/>
      <c r="F2" s="2085"/>
      <c r="G2" s="2085"/>
      <c r="H2" s="2085"/>
      <c r="I2" s="2085"/>
      <c r="J2" s="2085"/>
      <c r="K2" s="2085"/>
      <c r="L2" s="2085"/>
    </row>
    <row r="3" spans="2:12" ht="13.5" customHeight="1" x14ac:dyDescent="0.2">
      <c r="B3" s="2662" t="s">
        <v>2225</v>
      </c>
      <c r="C3" s="2662"/>
      <c r="D3" s="2662"/>
      <c r="E3" s="2662"/>
      <c r="F3" s="2086"/>
      <c r="G3" s="2086"/>
      <c r="H3" s="2086"/>
      <c r="I3" s="2086"/>
      <c r="J3" s="2086"/>
      <c r="K3" s="2086"/>
      <c r="L3" s="2086"/>
    </row>
    <row r="4" spans="2:12" ht="13.5" customHeight="1" x14ac:dyDescent="0.2">
      <c r="B4" s="2663" t="s">
        <v>1986</v>
      </c>
      <c r="C4" s="2663"/>
      <c r="D4" s="2663"/>
      <c r="E4" s="2663"/>
      <c r="F4" s="2087"/>
      <c r="G4" s="2087"/>
      <c r="H4" s="2087"/>
      <c r="I4" s="2087"/>
      <c r="J4" s="2087"/>
      <c r="K4" s="2087"/>
      <c r="L4" s="2087"/>
    </row>
    <row r="5" spans="2:12" ht="29.85" customHeight="1" x14ac:dyDescent="0.2"/>
    <row r="6" spans="2:12" ht="13.5" customHeight="1" x14ac:dyDescent="0.2">
      <c r="B6" s="2088" t="s">
        <v>2226</v>
      </c>
      <c r="C6" s="2088"/>
      <c r="D6" s="2089"/>
      <c r="E6" s="2090"/>
      <c r="F6" s="2090"/>
      <c r="G6" s="2091"/>
      <c r="H6" s="2091"/>
      <c r="I6" s="2091"/>
    </row>
    <row r="7" spans="2:12" ht="13.5" customHeight="1" x14ac:dyDescent="0.2">
      <c r="B7" s="2084" t="s">
        <v>1169</v>
      </c>
    </row>
    <row r="8" spans="2:12" ht="13.5" customHeight="1" x14ac:dyDescent="0.2">
      <c r="B8" s="2092" t="s">
        <v>2227</v>
      </c>
      <c r="C8" s="2093" t="s">
        <v>1988</v>
      </c>
      <c r="D8" s="2094"/>
    </row>
    <row r="9" spans="2:12" ht="13.5" customHeight="1" x14ac:dyDescent="0.2">
      <c r="B9" s="2095"/>
      <c r="C9" s="2095"/>
      <c r="D9" s="2095"/>
    </row>
    <row r="10" spans="2:12" ht="13.5" customHeight="1" x14ac:dyDescent="0.2">
      <c r="B10" s="2092" t="s">
        <v>2228</v>
      </c>
      <c r="C10" s="2092"/>
    </row>
    <row r="11" spans="2:12" ht="66.75" customHeight="1" x14ac:dyDescent="0.2">
      <c r="B11" s="2659"/>
      <c r="C11" s="2659"/>
      <c r="D11" s="2659"/>
      <c r="E11" s="2659"/>
    </row>
    <row r="12" spans="2:12" ht="13.5" customHeight="1" x14ac:dyDescent="0.2"/>
    <row r="13" spans="2:12" ht="13.5" customHeight="1" x14ac:dyDescent="0.2">
      <c r="B13" s="2092" t="s">
        <v>2229</v>
      </c>
      <c r="C13" s="2092"/>
    </row>
    <row r="14" spans="2:12" ht="76.5" customHeight="1" x14ac:dyDescent="0.2">
      <c r="B14" s="2659"/>
      <c r="C14" s="2659"/>
      <c r="D14" s="2659"/>
      <c r="E14" s="2659"/>
    </row>
    <row r="15" spans="2:12" ht="13.5" customHeight="1" x14ac:dyDescent="0.2"/>
    <row r="16" spans="2:12" ht="13.5" customHeight="1" x14ac:dyDescent="0.2">
      <c r="B16" s="2092" t="s">
        <v>2230</v>
      </c>
      <c r="C16" s="2092"/>
      <c r="E16" s="2104"/>
    </row>
    <row r="17" spans="2:5" ht="13.5" customHeight="1" x14ac:dyDescent="0.2"/>
    <row r="18" spans="2:5" ht="13.5" customHeight="1" x14ac:dyDescent="0.2">
      <c r="B18" s="2092" t="s">
        <v>2231</v>
      </c>
      <c r="C18" s="2092"/>
      <c r="E18" s="2096"/>
    </row>
    <row r="19" spans="2:5" ht="13.5" customHeight="1" x14ac:dyDescent="0.2"/>
    <row r="20" spans="2:5" ht="13.5" customHeight="1" x14ac:dyDescent="0.2">
      <c r="B20" s="2092" t="s">
        <v>2232</v>
      </c>
      <c r="C20" s="2092"/>
      <c r="E20" s="2096"/>
    </row>
    <row r="21" spans="2:5" ht="13.5" customHeight="1" x14ac:dyDescent="0.2">
      <c r="E21" s="2096"/>
    </row>
    <row r="22" spans="2:5" ht="13.5" customHeight="1" x14ac:dyDescent="0.2">
      <c r="E22" s="2096"/>
    </row>
    <row r="23" spans="2:5" ht="13.5" customHeight="1" x14ac:dyDescent="0.2"/>
    <row r="24" spans="2:5" ht="13.5" customHeight="1" x14ac:dyDescent="0.2"/>
    <row r="25" spans="2:5" ht="13.5" customHeight="1" x14ac:dyDescent="0.2">
      <c r="B25" s="2097"/>
      <c r="C25" s="2097"/>
      <c r="D25" s="2097"/>
    </row>
    <row r="26" spans="2:5" ht="13.5" customHeight="1" x14ac:dyDescent="0.2">
      <c r="B26" s="2097"/>
      <c r="C26" s="2097"/>
      <c r="D26" s="2097"/>
    </row>
    <row r="27" spans="2:5" ht="13.5" customHeight="1" x14ac:dyDescent="0.2">
      <c r="B27" s="2097"/>
      <c r="C27" s="2097"/>
      <c r="D27" s="2097"/>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98"/>
      <c r="C35" s="2098"/>
      <c r="D35" s="2098"/>
    </row>
    <row r="36" spans="2:5" ht="13.5" customHeight="1" x14ac:dyDescent="0.2"/>
    <row r="37" spans="2:5" ht="13.5" customHeight="1" x14ac:dyDescent="0.2">
      <c r="B37" s="2098"/>
      <c r="C37" s="2098"/>
      <c r="D37" s="2098"/>
    </row>
    <row r="38" spans="2:5" ht="13.5" customHeight="1" x14ac:dyDescent="0.2">
      <c r="B38" s="2098"/>
      <c r="C38" s="2098"/>
      <c r="D38" s="2098"/>
    </row>
    <row r="39" spans="2:5" ht="13.5" customHeight="1" x14ac:dyDescent="0.2">
      <c r="B39" s="2098"/>
      <c r="C39" s="2098"/>
      <c r="D39" s="2098"/>
    </row>
    <row r="40" spans="2:5" ht="13.5" customHeight="1" x14ac:dyDescent="0.2">
      <c r="B40" s="2098"/>
      <c r="C40" s="2098"/>
      <c r="D40" s="2098"/>
    </row>
    <row r="41" spans="2:5" ht="13.5" customHeight="1" x14ac:dyDescent="0.2">
      <c r="B41" s="2099"/>
      <c r="C41" s="2099"/>
      <c r="D41" s="2099"/>
      <c r="E41" s="2099"/>
    </row>
    <row r="42" spans="2:5" ht="12.2" customHeight="1" x14ac:dyDescent="0.2">
      <c r="B42" s="2100" t="s">
        <v>2233</v>
      </c>
      <c r="C42" s="2100"/>
      <c r="D42" s="2100"/>
    </row>
    <row r="43" spans="2:5" ht="12.2" customHeight="1" x14ac:dyDescent="0.2">
      <c r="B43" s="2101"/>
      <c r="C43" s="2101"/>
      <c r="D43" s="2101"/>
    </row>
    <row r="44" spans="2:5" ht="12.75" customHeight="1" x14ac:dyDescent="0.2">
      <c r="B44" s="2092"/>
      <c r="C44" s="2092"/>
      <c r="D44" s="2092"/>
    </row>
    <row r="45" spans="2:5" ht="12.75" customHeight="1" x14ac:dyDescent="0.2">
      <c r="B45" s="2092"/>
      <c r="C45" s="2092"/>
      <c r="D45" s="2092"/>
    </row>
    <row r="46" spans="2:5" x14ac:dyDescent="0.2">
      <c r="B46" s="2092"/>
      <c r="C46" s="2092"/>
      <c r="D46" s="2092"/>
    </row>
    <row r="47" spans="2:5" x14ac:dyDescent="0.2">
      <c r="B47" s="2092"/>
      <c r="C47" s="2092"/>
      <c r="D47" s="2092"/>
    </row>
    <row r="51" spans="2:4" x14ac:dyDescent="0.2">
      <c r="B51" s="2102"/>
      <c r="C51" s="2102"/>
      <c r="D51" s="2102"/>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03"/>
      <c r="C64" s="2103"/>
      <c r="D64" s="2103"/>
    </row>
    <row r="65" spans="2:4" x14ac:dyDescent="0.2">
      <c r="B65" s="2092"/>
      <c r="C65" s="2092"/>
      <c r="D65" s="2092"/>
    </row>
    <row r="66" spans="2:4" x14ac:dyDescent="0.2">
      <c r="B66" s="2092"/>
      <c r="C66" s="2092"/>
      <c r="D66" s="2092"/>
    </row>
    <row r="67" spans="2:4" x14ac:dyDescent="0.2">
      <c r="B67" s="2103"/>
      <c r="C67" s="2103"/>
      <c r="D67" s="2103"/>
    </row>
    <row r="68" spans="2:4" x14ac:dyDescent="0.2">
      <c r="B68" s="2103"/>
      <c r="C68" s="2103"/>
      <c r="D68" s="2103"/>
    </row>
    <row r="69" spans="2:4" x14ac:dyDescent="0.2">
      <c r="B69" s="2103"/>
      <c r="C69" s="2103"/>
      <c r="D69" s="2103"/>
    </row>
    <row r="70" spans="2:4" x14ac:dyDescent="0.2">
      <c r="B70" s="2092"/>
      <c r="C70" s="2092"/>
      <c r="D70" s="209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50" t="s">
        <v>386</v>
      </c>
      <c r="B1" s="2250"/>
      <c r="C1" s="2250"/>
      <c r="D1" s="2250"/>
      <c r="E1" s="2250"/>
      <c r="F1" s="2250"/>
      <c r="G1" s="2250"/>
      <c r="H1" s="2250"/>
      <c r="I1" s="2250"/>
      <c r="J1" s="2250"/>
      <c r="K1" s="2250"/>
      <c r="L1" s="2250"/>
      <c r="M1" s="225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241550466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1.6199999999999999E-2</v>
      </c>
      <c r="E10" s="356" t="s">
        <v>1005</v>
      </c>
      <c r="F10" s="355">
        <v>2.5000000000000001E-3</v>
      </c>
      <c r="G10" s="356" t="s">
        <v>1005</v>
      </c>
      <c r="H10" s="355">
        <v>1.1999999999999999E-3</v>
      </c>
      <c r="I10" s="356" t="s">
        <v>1006</v>
      </c>
      <c r="J10" s="1729">
        <f>ROUND(D10+F10+H10,5)</f>
        <v>1.9900000000000001E-2</v>
      </c>
      <c r="K10" s="222"/>
      <c r="L10" s="355">
        <v>5.0000000000000001E-4</v>
      </c>
      <c r="M10" s="222"/>
    </row>
    <row r="11" spans="1:14" ht="7.5" customHeight="1" x14ac:dyDescent="0.2">
      <c r="B11" s="222"/>
      <c r="C11" s="222"/>
      <c r="D11" s="2260" t="str">
        <f>IF(SUM(J10)&lt;=0.0999999,"","Enter the Tax Rates by moving the decimal two places to the left.")</f>
        <v/>
      </c>
      <c r="E11" s="2261"/>
      <c r="F11" s="2261"/>
      <c r="G11" s="2261"/>
      <c r="H11" s="2261"/>
      <c r="I11" s="2261"/>
      <c r="J11" s="226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11616581</v>
      </c>
      <c r="E16" s="356"/>
      <c r="F16" s="1730">
        <f>SUM('Acct Summary 7-8'!C17,'Acct Summary 7-8'!D17,'Acct Summary 7-8'!F17)</f>
        <v>10904268</v>
      </c>
      <c r="G16" s="356"/>
      <c r="H16" s="1730">
        <f>SUM(D16-F16)</f>
        <v>712313</v>
      </c>
      <c r="I16" s="222"/>
      <c r="J16" s="1730">
        <f>SUM('Acct Summary 7-8'!C81,'Acct Summary 7-8'!D81,'Acct Summary 7-8'!F81,'Acct Summary 7-8'!I81)</f>
        <v>4557034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2067</v>
      </c>
      <c r="C31" s="367" t="s">
        <v>586</v>
      </c>
      <c r="D31" s="237" t="s">
        <v>1072</v>
      </c>
      <c r="E31" s="222"/>
      <c r="F31" s="222"/>
      <c r="G31" s="363"/>
      <c r="H31" s="1732">
        <f>IF(B31="X",(J7*0.069),IF(B32="X",(J7*0.138),"Enter x in a.or b."))</f>
        <v>16666982.154000001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10277016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51"/>
      <c r="C54" s="2252"/>
      <c r="D54" s="2252"/>
      <c r="E54" s="2252"/>
      <c r="F54" s="2252"/>
      <c r="G54" s="2252"/>
      <c r="H54" s="2252"/>
      <c r="I54" s="2252"/>
      <c r="J54" s="2252"/>
      <c r="K54" s="2252"/>
      <c r="L54" s="2253"/>
      <c r="M54" s="380"/>
    </row>
    <row r="55" spans="1:13" ht="12.75" customHeight="1" x14ac:dyDescent="0.2">
      <c r="B55" s="2254"/>
      <c r="C55" s="2255"/>
      <c r="D55" s="2255"/>
      <c r="E55" s="2255"/>
      <c r="F55" s="2255"/>
      <c r="G55" s="2255"/>
      <c r="H55" s="2255"/>
      <c r="I55" s="2255"/>
      <c r="J55" s="2255"/>
      <c r="K55" s="2255"/>
      <c r="L55" s="2256"/>
      <c r="M55" s="380"/>
    </row>
    <row r="56" spans="1:13" ht="12.75" customHeight="1" x14ac:dyDescent="0.2">
      <c r="B56" s="2254"/>
      <c r="C56" s="2255"/>
      <c r="D56" s="2255"/>
      <c r="E56" s="2255"/>
      <c r="F56" s="2255"/>
      <c r="G56" s="2255"/>
      <c r="H56" s="2255"/>
      <c r="I56" s="2255"/>
      <c r="J56" s="2255"/>
      <c r="K56" s="2255"/>
      <c r="L56" s="2256"/>
      <c r="M56" s="222"/>
    </row>
    <row r="57" spans="1:13" ht="12.75" customHeight="1" x14ac:dyDescent="0.2">
      <c r="B57" s="2254"/>
      <c r="C57" s="2255"/>
      <c r="D57" s="2255"/>
      <c r="E57" s="2255"/>
      <c r="F57" s="2255"/>
      <c r="G57" s="2255"/>
      <c r="H57" s="2255"/>
      <c r="I57" s="2255"/>
      <c r="J57" s="2255"/>
      <c r="K57" s="2255"/>
      <c r="L57" s="2256"/>
      <c r="M57" s="222"/>
    </row>
    <row r="58" spans="1:13" x14ac:dyDescent="0.2">
      <c r="B58" s="2257"/>
      <c r="C58" s="2258"/>
      <c r="D58" s="2258"/>
      <c r="E58" s="2258"/>
      <c r="F58" s="2258"/>
      <c r="G58" s="2258"/>
      <c r="H58" s="2258"/>
      <c r="I58" s="2258"/>
      <c r="J58" s="2258"/>
      <c r="K58" s="2258"/>
      <c r="L58" s="225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62"/>
      <c r="D61" s="226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65"/>
      <c r="B1" s="2266"/>
      <c r="C1" s="2266"/>
      <c r="D1" s="384"/>
      <c r="E1" s="384"/>
      <c r="F1" s="384"/>
      <c r="G1" s="384"/>
      <c r="H1" s="384"/>
      <c r="I1" s="384"/>
      <c r="J1" s="384"/>
      <c r="K1" s="384"/>
      <c r="L1" s="384"/>
      <c r="M1" s="384"/>
      <c r="N1" s="384"/>
      <c r="O1" s="2265"/>
      <c r="P1" s="2266"/>
      <c r="Q1" s="2266"/>
    </row>
    <row r="2" spans="1:18" ht="15" x14ac:dyDescent="0.2">
      <c r="A2" s="2269" t="s">
        <v>556</v>
      </c>
      <c r="B2" s="2269"/>
      <c r="C2" s="2269"/>
      <c r="D2" s="2269"/>
      <c r="E2" s="2269"/>
      <c r="F2" s="2269"/>
      <c r="G2" s="2269"/>
      <c r="H2" s="2269"/>
      <c r="I2" s="2269"/>
      <c r="J2" s="2269"/>
      <c r="K2" s="2269"/>
      <c r="L2" s="2269"/>
      <c r="M2" s="2269"/>
      <c r="N2" s="2269"/>
      <c r="O2" s="2269"/>
      <c r="P2" s="2269"/>
      <c r="Q2" s="2269"/>
      <c r="R2" s="2269"/>
    </row>
    <row r="3" spans="1:18" ht="12.75" x14ac:dyDescent="0.2">
      <c r="A3" s="2270" t="s">
        <v>1413</v>
      </c>
      <c r="B3" s="2270"/>
      <c r="C3" s="2270"/>
      <c r="D3" s="2270"/>
      <c r="E3" s="2270"/>
      <c r="F3" s="2270"/>
      <c r="G3" s="2270"/>
      <c r="H3" s="2270"/>
      <c r="I3" s="2270"/>
      <c r="J3" s="2270"/>
      <c r="K3" s="2270"/>
      <c r="L3" s="2270"/>
      <c r="M3" s="2270"/>
      <c r="N3" s="2270"/>
      <c r="O3" s="2270"/>
      <c r="P3" s="2270"/>
      <c r="Q3" s="2270"/>
      <c r="R3" s="2270"/>
    </row>
    <row r="4" spans="1:18" x14ac:dyDescent="0.2">
      <c r="A4" s="2271" t="s">
        <v>1554</v>
      </c>
      <c r="B4" s="2271"/>
      <c r="C4" s="2271"/>
      <c r="D4" s="2271"/>
      <c r="E4" s="2271"/>
      <c r="F4" s="2271"/>
      <c r="G4" s="2271"/>
      <c r="H4" s="2271"/>
      <c r="I4" s="2271"/>
      <c r="J4" s="2271"/>
      <c r="K4" s="2271"/>
      <c r="L4" s="2271"/>
      <c r="M4" s="2271"/>
      <c r="N4" s="2271"/>
      <c r="O4" s="2271"/>
      <c r="P4" s="2271"/>
      <c r="Q4" s="2271"/>
      <c r="R4" s="227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Streator TWP HSD 40</v>
      </c>
      <c r="E7" s="391"/>
      <c r="G7" s="252"/>
      <c r="H7" s="387"/>
      <c r="I7" s="387"/>
      <c r="J7" s="387"/>
      <c r="K7" s="387"/>
      <c r="L7" s="329"/>
      <c r="M7" s="329"/>
      <c r="N7" s="329"/>
      <c r="O7" s="329"/>
      <c r="P7" s="329"/>
    </row>
    <row r="8" spans="1:18" ht="12.75" x14ac:dyDescent="0.2">
      <c r="A8" s="329"/>
      <c r="B8" s="329"/>
      <c r="C8" s="389" t="s">
        <v>1125</v>
      </c>
      <c r="D8" s="392">
        <f>COVER!A13</f>
        <v>35050040017</v>
      </c>
      <c r="E8" s="393"/>
      <c r="G8" s="329"/>
      <c r="H8" s="329"/>
      <c r="I8" s="329"/>
      <c r="J8" s="329"/>
      <c r="K8" s="329"/>
      <c r="L8" s="329"/>
      <c r="M8" s="329"/>
      <c r="N8" s="329"/>
      <c r="O8" s="329"/>
      <c r="P8" s="329"/>
    </row>
    <row r="9" spans="1:18" ht="12.75" x14ac:dyDescent="0.2">
      <c r="A9" s="329"/>
      <c r="B9" s="329"/>
      <c r="C9" s="389" t="s">
        <v>713</v>
      </c>
      <c r="D9" s="394" t="str">
        <f>COVER!A15</f>
        <v>LaSalle &amp; Livingston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4557034</v>
      </c>
      <c r="I12" s="404"/>
      <c r="J12" s="404"/>
      <c r="K12" s="405">
        <f>TRUNC((H12/H13*100000),5)/100000</f>
        <v>0.39492040979999998</v>
      </c>
      <c r="L12" s="406"/>
      <c r="M12" s="360" t="s">
        <v>1144</v>
      </c>
      <c r="N12" s="360"/>
      <c r="O12" s="407">
        <v>0.35</v>
      </c>
      <c r="P12" s="218"/>
      <c r="Q12" s="218"/>
    </row>
    <row r="13" spans="1:18" s="408" customFormat="1" ht="12.75" x14ac:dyDescent="0.2">
      <c r="A13" s="218"/>
      <c r="B13" s="401"/>
      <c r="C13" s="2267" t="s">
        <v>1324</v>
      </c>
      <c r="D13" s="2268"/>
      <c r="E13" s="218"/>
      <c r="F13" s="409" t="s">
        <v>793</v>
      </c>
      <c r="G13" s="402"/>
      <c r="H13" s="403">
        <f>SUM('Acct Summary 7-8'!C8+'Acct Summary 7-8'!D8+'Acct Summary 7-8'!F8+'Acct Summary 7-8'!I8)+H14</f>
        <v>11539120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-77461</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10904268</v>
      </c>
      <c r="I17" s="404"/>
      <c r="J17" s="416"/>
      <c r="K17" s="405">
        <f>TRUNC((H17/H18*100000),5)/100000</f>
        <v>0.94498263290000006</v>
      </c>
      <c r="L17" s="406"/>
      <c r="M17" s="417" t="s">
        <v>1171</v>
      </c>
      <c r="O17" s="418" t="str">
        <f>IF(AND(O16="2", J20 &gt; 2),"1",IF(AND(O16 = "1", J20 &gt; 2),"2",IF(AND(O16="1", J20 &gt;1),"1","0")))</f>
        <v>0</v>
      </c>
      <c r="P17" s="218"/>
    </row>
    <row r="18" spans="1:18" s="408" customFormat="1" ht="11.25" x14ac:dyDescent="0.2">
      <c r="A18" s="218"/>
      <c r="B18" s="401"/>
      <c r="C18" s="2267" t="s">
        <v>1317</v>
      </c>
      <c r="D18" s="2268"/>
      <c r="E18" s="218"/>
      <c r="F18" s="419" t="s">
        <v>794</v>
      </c>
      <c r="G18" s="402"/>
      <c r="H18" s="403">
        <f>SUM('Acct Summary 7-8'!C8+'Acct Summary 7-8'!D8+'Acct Summary 7-8'!F8+'Acct Summary 7-8'!I8)+H19</f>
        <v>11539120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-77461</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264" t="s">
        <v>1412</v>
      </c>
      <c r="D24" s="2264"/>
      <c r="E24" s="218"/>
      <c r="F24" s="218" t="s">
        <v>445</v>
      </c>
      <c r="G24" s="402"/>
      <c r="H24" s="403">
        <f>SUM('Assets-Liab 5-6'!C4+'Assets-Liab 5-6'!D4+'Assets-Liab 5-6'!F4+'Assets-Liab 5-6'!I4+'Assets-Liab 5-6'!C5+'Assets-Liab 5-6'!D5+'Assets-Liab 5-6'!F5+'Assets-Liab 5-6'!I5)</f>
        <v>4557034</v>
      </c>
      <c r="I24" s="422"/>
      <c r="J24" s="422"/>
      <c r="K24" s="423">
        <f>TRUNC(((H24/H25*100000)/100000),2)</f>
        <v>150.44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30289.633330000001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4085826.1323899999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10277016</v>
      </c>
      <c r="I32" s="420"/>
      <c r="J32" s="420"/>
      <c r="K32" s="423">
        <f>TRUNC(100-((((H32/H33*100))*100)/100),2)</f>
        <v>38.33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16666982.154000001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1" sqref="A41:F4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27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7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74" t="s">
        <v>973</v>
      </c>
      <c r="B3" s="2275"/>
      <c r="C3" s="1556"/>
      <c r="D3" s="1557"/>
      <c r="E3" s="1557"/>
      <c r="F3" s="1557"/>
      <c r="G3" s="1557"/>
      <c r="H3" s="1557"/>
      <c r="I3" s="1557"/>
      <c r="J3" s="1557"/>
      <c r="K3" s="1557"/>
      <c r="L3" s="1557"/>
      <c r="M3" s="1558"/>
      <c r="N3" s="1559"/>
    </row>
    <row r="4" spans="1:14" ht="13.5" customHeight="1" x14ac:dyDescent="0.2">
      <c r="A4" s="463" t="s">
        <v>1651</v>
      </c>
      <c r="B4" s="464"/>
      <c r="C4" s="465">
        <v>949743</v>
      </c>
      <c r="D4" s="465">
        <v>160765</v>
      </c>
      <c r="E4" s="465">
        <v>444</v>
      </c>
      <c r="F4" s="465">
        <v>1309</v>
      </c>
      <c r="G4" s="465">
        <v>23749</v>
      </c>
      <c r="H4" s="465">
        <v>52490</v>
      </c>
      <c r="I4" s="465">
        <v>32</v>
      </c>
      <c r="J4" s="465">
        <v>57195</v>
      </c>
      <c r="K4" s="465">
        <v>339375</v>
      </c>
      <c r="L4" s="465">
        <v>234817</v>
      </c>
      <c r="M4" s="468"/>
      <c r="N4" s="469"/>
    </row>
    <row r="5" spans="1:14" x14ac:dyDescent="0.2">
      <c r="A5" s="463" t="s">
        <v>992</v>
      </c>
      <c r="B5" s="470">
        <v>120</v>
      </c>
      <c r="C5" s="465">
        <v>2155494</v>
      </c>
      <c r="D5" s="465">
        <v>539315</v>
      </c>
      <c r="E5" s="465">
        <v>1040591</v>
      </c>
      <c r="F5" s="465">
        <v>11504</v>
      </c>
      <c r="G5" s="465">
        <v>332771</v>
      </c>
      <c r="H5" s="465">
        <v>6121117</v>
      </c>
      <c r="I5" s="465">
        <v>738872</v>
      </c>
      <c r="J5" s="465">
        <v>67</v>
      </c>
      <c r="K5" s="465">
        <v>4131814</v>
      </c>
      <c r="L5" s="465">
        <v>38859</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3105237</v>
      </c>
      <c r="D13" s="1734">
        <f t="shared" ref="D13:L13" si="0">SUM(D4:D12)</f>
        <v>700080</v>
      </c>
      <c r="E13" s="1734">
        <f t="shared" si="0"/>
        <v>1041035</v>
      </c>
      <c r="F13" s="1734">
        <f t="shared" si="0"/>
        <v>12813</v>
      </c>
      <c r="G13" s="1734">
        <f t="shared" si="0"/>
        <v>356520</v>
      </c>
      <c r="H13" s="1734">
        <f t="shared" si="0"/>
        <v>6173607</v>
      </c>
      <c r="I13" s="1734">
        <f t="shared" si="0"/>
        <v>738904</v>
      </c>
      <c r="J13" s="1734">
        <f t="shared" si="0"/>
        <v>57262</v>
      </c>
      <c r="K13" s="1734">
        <f t="shared" si="0"/>
        <v>4471189</v>
      </c>
      <c r="L13" s="1734">
        <f t="shared" si="0"/>
        <v>273676</v>
      </c>
      <c r="M13" s="468"/>
      <c r="N13" s="469"/>
    </row>
    <row r="14" spans="1:14" ht="18" customHeight="1" thickTop="1" x14ac:dyDescent="0.2">
      <c r="A14" s="2276" t="s">
        <v>147</v>
      </c>
      <c r="B14" s="2277"/>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1547158</v>
      </c>
      <c r="N16" s="482"/>
    </row>
    <row r="17" spans="1:14" s="483" customFormat="1" ht="12.75" customHeight="1" x14ac:dyDescent="0.2">
      <c r="A17" s="480" t="s">
        <v>1403</v>
      </c>
      <c r="B17" s="481">
        <v>230</v>
      </c>
      <c r="C17" s="475"/>
      <c r="D17" s="475"/>
      <c r="E17" s="475"/>
      <c r="F17" s="475"/>
      <c r="G17" s="475"/>
      <c r="H17" s="475"/>
      <c r="I17" s="475"/>
      <c r="J17" s="475"/>
      <c r="K17" s="475"/>
      <c r="L17" s="475"/>
      <c r="M17" s="465">
        <v>40224237</v>
      </c>
      <c r="N17" s="482"/>
    </row>
    <row r="18" spans="1:14" s="483" customFormat="1" ht="12.75" customHeight="1" x14ac:dyDescent="0.2">
      <c r="A18" s="480" t="s">
        <v>1404</v>
      </c>
      <c r="B18" s="481">
        <v>240</v>
      </c>
      <c r="C18" s="475"/>
      <c r="D18" s="475"/>
      <c r="E18" s="475"/>
      <c r="F18" s="475"/>
      <c r="G18" s="475"/>
      <c r="H18" s="475"/>
      <c r="I18" s="475"/>
      <c r="J18" s="475"/>
      <c r="K18" s="475"/>
      <c r="L18" s="475"/>
      <c r="M18" s="465">
        <v>1436466</v>
      </c>
      <c r="N18" s="482"/>
    </row>
    <row r="19" spans="1:14" s="483" customFormat="1" ht="12.75" customHeight="1" x14ac:dyDescent="0.2">
      <c r="A19" s="480" t="s">
        <v>1405</v>
      </c>
      <c r="B19" s="481">
        <v>250</v>
      </c>
      <c r="C19" s="475"/>
      <c r="D19" s="475"/>
      <c r="E19" s="475"/>
      <c r="F19" s="475"/>
      <c r="G19" s="475"/>
      <c r="H19" s="475"/>
      <c r="I19" s="475"/>
      <c r="J19" s="475"/>
      <c r="K19" s="475"/>
      <c r="L19" s="475"/>
      <c r="M19" s="465">
        <v>1404711</v>
      </c>
      <c r="N19" s="482"/>
    </row>
    <row r="20" spans="1:14" s="483" customFormat="1" ht="12.75" customHeight="1" x14ac:dyDescent="0.2">
      <c r="A20" s="480" t="s">
        <v>1406</v>
      </c>
      <c r="B20" s="481">
        <v>260</v>
      </c>
      <c r="C20" s="475"/>
      <c r="D20" s="475"/>
      <c r="E20" s="475"/>
      <c r="F20" s="475"/>
      <c r="G20" s="475"/>
      <c r="H20" s="475"/>
      <c r="I20" s="475"/>
      <c r="J20" s="475"/>
      <c r="K20" s="475"/>
      <c r="L20" s="475"/>
      <c r="M20" s="465">
        <v>1570710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1041035</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9235981</v>
      </c>
    </row>
    <row r="23" spans="1:14" ht="13.5" customHeight="1" thickBot="1" x14ac:dyDescent="0.25">
      <c r="A23" s="1733" t="s">
        <v>643</v>
      </c>
      <c r="B23" s="1738"/>
      <c r="C23" s="468"/>
      <c r="D23" s="468"/>
      <c r="E23" s="468"/>
      <c r="F23" s="468"/>
      <c r="G23" s="468"/>
      <c r="H23" s="468"/>
      <c r="I23" s="468"/>
      <c r="J23" s="468"/>
      <c r="K23" s="468"/>
      <c r="L23" s="468"/>
      <c r="M23" s="1685">
        <f>SUM(M15:M22)</f>
        <v>46183282</v>
      </c>
      <c r="N23" s="1685">
        <f>SUM(N21:N22)</f>
        <v>10277016</v>
      </c>
    </row>
    <row r="24" spans="1:14" ht="18" customHeight="1" thickTop="1" x14ac:dyDescent="0.2">
      <c r="A24" s="2278" t="s">
        <v>598</v>
      </c>
      <c r="B24" s="2279"/>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6104232</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142725</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6104232</v>
      </c>
      <c r="I34" s="1737">
        <f t="shared" si="1"/>
        <v>0</v>
      </c>
      <c r="J34" s="1737">
        <f t="shared" si="1"/>
        <v>0</v>
      </c>
      <c r="K34" s="1737">
        <f t="shared" si="1"/>
        <v>0</v>
      </c>
      <c r="L34" s="1718">
        <f>SUM(L33)</f>
        <v>142725</v>
      </c>
      <c r="M34" s="468"/>
      <c r="N34" s="478"/>
    </row>
    <row r="35" spans="1:14" ht="18" customHeight="1" thickTop="1" x14ac:dyDescent="0.2">
      <c r="A35" s="2280" t="s">
        <v>529</v>
      </c>
      <c r="B35" s="2281"/>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10277016</v>
      </c>
    </row>
    <row r="37" spans="1:14" ht="13.5" thickBot="1" x14ac:dyDescent="0.25">
      <c r="A37" s="1733" t="s">
        <v>653</v>
      </c>
      <c r="B37" s="1738"/>
      <c r="C37" s="475"/>
      <c r="D37" s="475"/>
      <c r="E37" s="475"/>
      <c r="F37" s="475"/>
      <c r="G37" s="475"/>
      <c r="H37" s="475"/>
      <c r="I37" s="475"/>
      <c r="J37" s="475"/>
      <c r="K37" s="475"/>
      <c r="L37" s="478"/>
      <c r="M37" s="468"/>
      <c r="N37" s="1685">
        <f>SUM(N36:N36)</f>
        <v>10277016</v>
      </c>
    </row>
    <row r="38" spans="1:14" s="329" customFormat="1" ht="13.5" customHeight="1" thickTop="1" x14ac:dyDescent="0.2">
      <c r="A38" s="493" t="s">
        <v>420</v>
      </c>
      <c r="B38" s="481">
        <v>714</v>
      </c>
      <c r="C38" s="465">
        <v>1151</v>
      </c>
      <c r="D38" s="465">
        <v>7472</v>
      </c>
      <c r="E38" s="465">
        <v>0</v>
      </c>
      <c r="F38" s="465">
        <v>0</v>
      </c>
      <c r="G38" s="465">
        <v>129222</v>
      </c>
      <c r="H38" s="465">
        <v>0</v>
      </c>
      <c r="I38" s="465">
        <v>0</v>
      </c>
      <c r="J38" s="465">
        <v>0</v>
      </c>
      <c r="K38" s="465">
        <v>0</v>
      </c>
      <c r="L38" s="465">
        <v>130951</v>
      </c>
      <c r="M38" s="494"/>
      <c r="N38" s="494"/>
    </row>
    <row r="39" spans="1:14" s="329" customFormat="1" ht="13.5" customHeight="1" x14ac:dyDescent="0.2">
      <c r="A39" s="493" t="s">
        <v>342</v>
      </c>
      <c r="B39" s="481">
        <v>730</v>
      </c>
      <c r="C39" s="465">
        <v>3104086</v>
      </c>
      <c r="D39" s="465">
        <v>692608</v>
      </c>
      <c r="E39" s="465">
        <v>1041035</v>
      </c>
      <c r="F39" s="465">
        <v>12813</v>
      </c>
      <c r="G39" s="465">
        <v>227298</v>
      </c>
      <c r="H39" s="465">
        <v>69375</v>
      </c>
      <c r="I39" s="465">
        <v>738904</v>
      </c>
      <c r="J39" s="465">
        <v>57262</v>
      </c>
      <c r="K39" s="465">
        <v>4471189</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46183282</v>
      </c>
      <c r="N40" s="494"/>
    </row>
    <row r="41" spans="1:14" ht="13.5" customHeight="1" thickBot="1" x14ac:dyDescent="0.25">
      <c r="A41" s="1733" t="s">
        <v>655</v>
      </c>
      <c r="B41" s="1703"/>
      <c r="C41" s="1685">
        <f>(SUM(C34,C37,C38,C39))</f>
        <v>3105237</v>
      </c>
      <c r="D41" s="1685">
        <f t="shared" ref="D41:L41" si="2">SUM(D34,D37,D38:D39)</f>
        <v>700080</v>
      </c>
      <c r="E41" s="1685">
        <f t="shared" si="2"/>
        <v>1041035</v>
      </c>
      <c r="F41" s="1685">
        <f t="shared" si="2"/>
        <v>12813</v>
      </c>
      <c r="G41" s="1685">
        <f t="shared" si="2"/>
        <v>356520</v>
      </c>
      <c r="H41" s="1685">
        <f t="shared" si="2"/>
        <v>6173607</v>
      </c>
      <c r="I41" s="1685">
        <f t="shared" si="2"/>
        <v>738904</v>
      </c>
      <c r="J41" s="1685">
        <f t="shared" si="2"/>
        <v>57262</v>
      </c>
      <c r="K41" s="1685">
        <f t="shared" si="2"/>
        <v>4471189</v>
      </c>
      <c r="L41" s="1685">
        <f t="shared" si="2"/>
        <v>273676</v>
      </c>
      <c r="M41" s="1685">
        <f>SUM(M40)</f>
        <v>46183282</v>
      </c>
      <c r="N41" s="1685">
        <f>SUM(N37)</f>
        <v>10277016</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A41" sqref="A41:F4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90"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91"/>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302" t="s">
        <v>1175</v>
      </c>
      <c r="B3" s="2303"/>
      <c r="C3" s="1570"/>
      <c r="D3" s="1571"/>
      <c r="E3" s="1571"/>
      <c r="F3" s="1571"/>
      <c r="G3" s="1571"/>
      <c r="H3" s="1571"/>
      <c r="I3" s="1571"/>
      <c r="J3" s="1571"/>
      <c r="K3" s="1572"/>
      <c r="L3" s="503"/>
    </row>
    <row r="4" spans="1:13" ht="15.75" customHeight="1" x14ac:dyDescent="0.2">
      <c r="A4" s="1923" t="s">
        <v>1499</v>
      </c>
      <c r="B4" s="1924">
        <v>1000</v>
      </c>
      <c r="C4" s="1739">
        <f>'Revenues 9-14'!C109</f>
        <v>3630250</v>
      </c>
      <c r="D4" s="1739">
        <f>'Revenues 9-14'!D109</f>
        <v>1092816</v>
      </c>
      <c r="E4" s="1739">
        <f>'Revenues 9-14'!E109</f>
        <v>878094</v>
      </c>
      <c r="F4" s="1739">
        <f>'Revenues 9-14'!F109</f>
        <v>229277</v>
      </c>
      <c r="G4" s="1739">
        <f>'Revenues 9-14'!G109</f>
        <v>316076</v>
      </c>
      <c r="H4" s="1739">
        <f>'Revenues 9-14'!H109</f>
        <v>111425</v>
      </c>
      <c r="I4" s="1739">
        <f>'Revenues 9-14'!I109</f>
        <v>104305</v>
      </c>
      <c r="J4" s="1739">
        <f>'Revenues 9-14'!J109</f>
        <v>700635</v>
      </c>
      <c r="K4" s="1739">
        <f>'Revenues 9-14'!K109</f>
        <v>147487</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4918394</v>
      </c>
      <c r="D6" s="1740">
        <f>'Revenues 9-14'!D170</f>
        <v>0</v>
      </c>
      <c r="E6" s="1740">
        <f>'Revenues 9-14'!E170</f>
        <v>0</v>
      </c>
      <c r="F6" s="1740">
        <f>'Revenues 9-14'!F170</f>
        <v>473021</v>
      </c>
      <c r="G6" s="1740">
        <f>'Revenues 9-14'!G170</f>
        <v>1905</v>
      </c>
      <c r="H6" s="1740">
        <f>'Revenues 9-14'!H170</f>
        <v>0</v>
      </c>
      <c r="I6" s="1740">
        <f>'Revenues 9-14'!I170</f>
        <v>0</v>
      </c>
      <c r="J6" s="1740">
        <f>'Revenues 9-14'!J170</f>
        <v>28776</v>
      </c>
      <c r="K6" s="1740">
        <f>'Revenues 9-14'!K170</f>
        <v>0</v>
      </c>
      <c r="L6" s="347"/>
      <c r="M6" s="510"/>
    </row>
    <row r="7" spans="1:13" ht="15.75" customHeight="1" x14ac:dyDescent="0.2">
      <c r="A7" s="1573" t="s">
        <v>1502</v>
      </c>
      <c r="B7" s="1575">
        <v>4000</v>
      </c>
      <c r="C7" s="1740">
        <f>'Revenues 9-14'!C267</f>
        <v>1168518</v>
      </c>
      <c r="D7" s="1740">
        <f>'Revenues 9-14'!D267</f>
        <v>0</v>
      </c>
      <c r="E7" s="1740">
        <f>'Revenues 9-14'!E267</f>
        <v>0</v>
      </c>
      <c r="F7" s="1740">
        <f>'Revenues 9-14'!F267</f>
        <v>0</v>
      </c>
      <c r="G7" s="1740">
        <f>'Revenues 9-14'!G267</f>
        <v>23339</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9717162</v>
      </c>
      <c r="D8" s="1685">
        <f t="shared" ref="D8:K8" si="0">SUM(D4:D7)</f>
        <v>1092816</v>
      </c>
      <c r="E8" s="1685">
        <f t="shared" si="0"/>
        <v>878094</v>
      </c>
      <c r="F8" s="1685">
        <f t="shared" si="0"/>
        <v>702298</v>
      </c>
      <c r="G8" s="1685">
        <f t="shared" si="0"/>
        <v>341320</v>
      </c>
      <c r="H8" s="1685">
        <f t="shared" si="0"/>
        <v>111425</v>
      </c>
      <c r="I8" s="1685">
        <f t="shared" si="0"/>
        <v>104305</v>
      </c>
      <c r="J8" s="1685">
        <f t="shared" si="0"/>
        <v>729411</v>
      </c>
      <c r="K8" s="1685">
        <f t="shared" si="0"/>
        <v>147487</v>
      </c>
      <c r="L8" s="347"/>
    </row>
    <row r="9" spans="1:13" ht="15.75" thickTop="1" x14ac:dyDescent="0.2">
      <c r="A9" s="511" t="s">
        <v>1653</v>
      </c>
      <c r="B9" s="512">
        <v>3998</v>
      </c>
      <c r="C9" s="465">
        <v>3921512</v>
      </c>
      <c r="D9" s="513"/>
      <c r="E9" s="479"/>
      <c r="F9" s="479"/>
      <c r="G9" s="514"/>
      <c r="H9" s="479"/>
      <c r="I9" s="506" t="s">
        <v>1169</v>
      </c>
      <c r="J9" s="476"/>
      <c r="K9" s="479"/>
      <c r="L9" s="347"/>
    </row>
    <row r="10" spans="1:13" s="516" customFormat="1" ht="13.5" thickBot="1" x14ac:dyDescent="0.25">
      <c r="A10" s="1733" t="s">
        <v>1173</v>
      </c>
      <c r="B10" s="1706"/>
      <c r="C10" s="1685">
        <f>SUM(C8:C9)</f>
        <v>13638674</v>
      </c>
      <c r="D10" s="1685">
        <f t="shared" ref="D10:K10" si="1">SUM(D8:D9)</f>
        <v>1092816</v>
      </c>
      <c r="E10" s="1685">
        <f t="shared" si="1"/>
        <v>878094</v>
      </c>
      <c r="F10" s="1685">
        <f t="shared" si="1"/>
        <v>702298</v>
      </c>
      <c r="G10" s="1685">
        <f t="shared" si="1"/>
        <v>341320</v>
      </c>
      <c r="H10" s="1685">
        <f t="shared" si="1"/>
        <v>111425</v>
      </c>
      <c r="I10" s="1685">
        <f t="shared" si="1"/>
        <v>104305</v>
      </c>
      <c r="J10" s="1685">
        <f t="shared" si="1"/>
        <v>729411</v>
      </c>
      <c r="K10" s="1685">
        <f t="shared" si="1"/>
        <v>147487</v>
      </c>
      <c r="L10" s="515"/>
    </row>
    <row r="11" spans="1:13" s="516" customFormat="1" ht="16.7" customHeight="1" thickTop="1" x14ac:dyDescent="0.2">
      <c r="A11" s="2276" t="s">
        <v>1176</v>
      </c>
      <c r="B11" s="2277"/>
      <c r="C11" s="1567"/>
      <c r="D11" s="1568"/>
      <c r="E11" s="1568"/>
      <c r="F11" s="1568"/>
      <c r="G11" s="1568"/>
      <c r="H11" s="1568"/>
      <c r="I11" s="1568"/>
      <c r="J11" s="1568"/>
      <c r="K11" s="1569"/>
      <c r="L11" s="515"/>
    </row>
    <row r="12" spans="1:13" ht="15.75" customHeight="1" x14ac:dyDescent="0.2">
      <c r="A12" s="1573" t="s">
        <v>456</v>
      </c>
      <c r="B12" s="1575">
        <v>1000</v>
      </c>
      <c r="C12" s="1739">
        <f>'Expenditures 15-22'!K33</f>
        <v>6962094</v>
      </c>
      <c r="D12" s="517" t="s">
        <v>1169</v>
      </c>
      <c r="E12" s="468" t="s">
        <v>1169</v>
      </c>
      <c r="F12" s="468" t="s">
        <v>1169</v>
      </c>
      <c r="G12" s="1739">
        <f>'Expenditures 15-22'!K229</f>
        <v>143658</v>
      </c>
      <c r="H12" s="518"/>
      <c r="I12" s="468" t="s">
        <v>1169</v>
      </c>
      <c r="J12" s="468" t="s">
        <v>1169</v>
      </c>
      <c r="K12" s="518" t="s">
        <v>1169</v>
      </c>
      <c r="L12" s="347"/>
    </row>
    <row r="13" spans="1:13" ht="15.75" customHeight="1" x14ac:dyDescent="0.2">
      <c r="A13" s="1573" t="s">
        <v>457</v>
      </c>
      <c r="B13" s="1575">
        <v>2000</v>
      </c>
      <c r="C13" s="1740">
        <f>'Expenditures 15-22'!K74</f>
        <v>2054073</v>
      </c>
      <c r="D13" s="1740">
        <f>'Expenditures 15-22'!K129</f>
        <v>957772</v>
      </c>
      <c r="E13" s="469" t="s">
        <v>1169</v>
      </c>
      <c r="F13" s="1740">
        <f>'Expenditures 15-22'!K184</f>
        <v>697938</v>
      </c>
      <c r="G13" s="1740">
        <f>'Expenditures 15-22'!K279</f>
        <v>139025</v>
      </c>
      <c r="H13" s="1740">
        <f>'Expenditures 15-22'!K303</f>
        <v>351832</v>
      </c>
      <c r="I13" s="468" t="s">
        <v>1169</v>
      </c>
      <c r="J13" s="1740">
        <f>'Expenditures 15-22'!K330</f>
        <v>736797</v>
      </c>
      <c r="K13" s="1744">
        <f>'Expenditures 15-22'!K352</f>
        <v>1612730</v>
      </c>
      <c r="L13" s="347"/>
    </row>
    <row r="14" spans="1:13" ht="15.75" customHeight="1" x14ac:dyDescent="0.2">
      <c r="A14" s="1573" t="s">
        <v>449</v>
      </c>
      <c r="B14" s="1575">
        <v>3000</v>
      </c>
      <c r="C14" s="1740">
        <f>'Expenditures 15-22'!K75</f>
        <v>1941</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230450</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944811</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9248558</v>
      </c>
      <c r="D17" s="1685">
        <f t="shared" si="2"/>
        <v>957772</v>
      </c>
      <c r="E17" s="1685">
        <f t="shared" si="2"/>
        <v>944811</v>
      </c>
      <c r="F17" s="1685">
        <f t="shared" si="2"/>
        <v>697938</v>
      </c>
      <c r="G17" s="1685">
        <f t="shared" si="2"/>
        <v>282683</v>
      </c>
      <c r="H17" s="1685">
        <f t="shared" si="2"/>
        <v>351832</v>
      </c>
      <c r="I17" s="468"/>
      <c r="J17" s="1685">
        <f>SUM(J12:J16)</f>
        <v>736797</v>
      </c>
      <c r="K17" s="1685">
        <f>SUM(K12:K16)</f>
        <v>1612730</v>
      </c>
      <c r="L17" s="347"/>
    </row>
    <row r="18" spans="1:12" ht="15" customHeight="1" thickTop="1" x14ac:dyDescent="0.2">
      <c r="A18" s="1741" t="s">
        <v>1654</v>
      </c>
      <c r="B18" s="1742">
        <v>4180</v>
      </c>
      <c r="C18" s="1739">
        <f t="shared" ref="C18:H18" si="3">C9</f>
        <v>3921512</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13170070</v>
      </c>
      <c r="D19" s="1685">
        <f t="shared" si="4"/>
        <v>957772</v>
      </c>
      <c r="E19" s="1685">
        <f t="shared" si="4"/>
        <v>944811</v>
      </c>
      <c r="F19" s="1685">
        <f t="shared" si="4"/>
        <v>697938</v>
      </c>
      <c r="G19" s="1685">
        <f t="shared" si="4"/>
        <v>282683</v>
      </c>
      <c r="H19" s="1685">
        <f t="shared" si="4"/>
        <v>351832</v>
      </c>
      <c r="I19" s="468"/>
      <c r="J19" s="1685">
        <f>SUM(J17:J18)</f>
        <v>736797</v>
      </c>
      <c r="K19" s="1685">
        <f>SUM(K17:K18)</f>
        <v>1612730</v>
      </c>
      <c r="L19" s="347"/>
    </row>
    <row r="20" spans="1:12" ht="16.5" thickTop="1" thickBot="1" x14ac:dyDescent="0.25">
      <c r="A20" s="2292" t="s">
        <v>1655</v>
      </c>
      <c r="B20" s="2293"/>
      <c r="C20" s="1743">
        <f>C8-C17</f>
        <v>468604</v>
      </c>
      <c r="D20" s="1743">
        <f t="shared" ref="D20:K20" si="5">D8-D17</f>
        <v>135044</v>
      </c>
      <c r="E20" s="1743">
        <f t="shared" si="5"/>
        <v>-66717</v>
      </c>
      <c r="F20" s="1743">
        <f t="shared" si="5"/>
        <v>4360</v>
      </c>
      <c r="G20" s="1743">
        <f t="shared" si="5"/>
        <v>58637</v>
      </c>
      <c r="H20" s="1743">
        <f t="shared" si="5"/>
        <v>-240407</v>
      </c>
      <c r="I20" s="1743">
        <f t="shared" si="5"/>
        <v>104305</v>
      </c>
      <c r="J20" s="1743">
        <f t="shared" si="5"/>
        <v>-7386</v>
      </c>
      <c r="K20" s="1743">
        <f t="shared" si="5"/>
        <v>-1465243</v>
      </c>
      <c r="L20" s="347"/>
    </row>
    <row r="21" spans="1:12" ht="16.7" customHeight="1" thickTop="1" x14ac:dyDescent="0.2">
      <c r="A21" s="2304" t="s">
        <v>595</v>
      </c>
      <c r="B21" s="2305"/>
      <c r="C21" s="1567"/>
      <c r="D21" s="1568"/>
      <c r="E21" s="1568"/>
      <c r="F21" s="1568"/>
      <c r="G21" s="1568"/>
      <c r="H21" s="1568"/>
      <c r="I21" s="1568"/>
      <c r="J21" s="1568"/>
      <c r="K21" s="1569"/>
      <c r="L21" s="521"/>
    </row>
    <row r="22" spans="1:12" ht="15.75" customHeight="1" collapsed="1" x14ac:dyDescent="0.2">
      <c r="A22" s="2300" t="s">
        <v>596</v>
      </c>
      <c r="B22" s="2301"/>
      <c r="C22" s="475"/>
      <c r="D22" s="475"/>
      <c r="E22" s="475"/>
      <c r="F22" s="475"/>
      <c r="G22" s="475"/>
      <c r="H22" s="475"/>
      <c r="I22" s="475"/>
      <c r="J22" s="475"/>
      <c r="K22" s="475"/>
      <c r="L22" s="347"/>
    </row>
    <row r="23" spans="1:12" s="483" customFormat="1" ht="15.75" customHeight="1" x14ac:dyDescent="0.2">
      <c r="A23" s="2296" t="s">
        <v>293</v>
      </c>
      <c r="B23" s="2297"/>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1791</v>
      </c>
      <c r="B30" s="524">
        <v>7160</v>
      </c>
      <c r="C30" s="475"/>
      <c r="D30" s="467">
        <v>0</v>
      </c>
      <c r="E30" s="475"/>
      <c r="F30" s="475"/>
      <c r="G30" s="475"/>
      <c r="H30" s="475"/>
      <c r="I30" s="475"/>
      <c r="J30" s="475"/>
      <c r="K30" s="475"/>
      <c r="L30" s="521"/>
    </row>
    <row r="31" spans="1:12" s="483" customFormat="1" ht="26.25" x14ac:dyDescent="0.2">
      <c r="A31" s="1486" t="s">
        <v>1795</v>
      </c>
      <c r="B31" s="524">
        <v>7170</v>
      </c>
      <c r="C31" s="475"/>
      <c r="D31" s="475"/>
      <c r="E31" s="473">
        <v>0</v>
      </c>
      <c r="F31" s="475"/>
      <c r="G31" s="475"/>
      <c r="H31" s="475"/>
      <c r="I31" s="475"/>
      <c r="J31" s="475"/>
      <c r="K31" s="475"/>
      <c r="L31" s="521"/>
    </row>
    <row r="32" spans="1:12" s="483" customFormat="1" ht="15.75" customHeight="1" x14ac:dyDescent="0.2">
      <c r="A32" s="2298" t="s">
        <v>981</v>
      </c>
      <c r="B32" s="2299"/>
      <c r="C32" s="475"/>
      <c r="D32" s="475"/>
      <c r="E32" s="474"/>
      <c r="F32" s="475"/>
      <c r="G32" s="475"/>
      <c r="H32" s="475"/>
      <c r="I32" s="475"/>
      <c r="J32" s="475"/>
      <c r="K32" s="475"/>
      <c r="L32" s="521"/>
    </row>
    <row r="33" spans="1:12" s="483" customFormat="1" x14ac:dyDescent="0.2">
      <c r="A33" s="1486" t="s">
        <v>412</v>
      </c>
      <c r="B33" s="522">
        <v>7210</v>
      </c>
      <c r="C33" s="465">
        <v>0</v>
      </c>
      <c r="D33" s="467">
        <v>0</v>
      </c>
      <c r="E33" s="467">
        <v>769336</v>
      </c>
      <c r="F33" s="467">
        <v>0</v>
      </c>
      <c r="G33" s="475"/>
      <c r="H33" s="467">
        <v>0</v>
      </c>
      <c r="I33" s="467">
        <v>0</v>
      </c>
      <c r="J33" s="467">
        <v>0</v>
      </c>
      <c r="K33" s="467">
        <v>5875664</v>
      </c>
      <c r="L33" s="521"/>
    </row>
    <row r="34" spans="1:12" s="483" customFormat="1" x14ac:dyDescent="0.2">
      <c r="A34" s="1486" t="s">
        <v>1001</v>
      </c>
      <c r="B34" s="522">
        <v>7220</v>
      </c>
      <c r="C34" s="465">
        <v>0</v>
      </c>
      <c r="D34" s="467">
        <v>0</v>
      </c>
      <c r="E34" s="467">
        <v>2410</v>
      </c>
      <c r="F34" s="467">
        <v>0</v>
      </c>
      <c r="G34" s="475"/>
      <c r="H34" s="476">
        <v>0</v>
      </c>
      <c r="I34" s="476">
        <v>0</v>
      </c>
      <c r="J34" s="476">
        <v>0</v>
      </c>
      <c r="K34" s="476">
        <v>56518</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6669</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71939</v>
      </c>
      <c r="F37" s="474"/>
      <c r="G37" s="474"/>
      <c r="H37" s="474"/>
      <c r="I37" s="475"/>
      <c r="J37" s="474"/>
      <c r="K37" s="474"/>
      <c r="L37" s="521"/>
    </row>
    <row r="38" spans="1:12" s="483" customFormat="1" x14ac:dyDescent="0.2">
      <c r="A38" s="1486" t="s">
        <v>442</v>
      </c>
      <c r="B38" s="522">
        <v>7500</v>
      </c>
      <c r="C38" s="475"/>
      <c r="D38" s="475"/>
      <c r="E38" s="1740">
        <f>SUM(C58:D61,H58:H61)</f>
        <v>5522</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44320</v>
      </c>
      <c r="D43" s="467">
        <v>0</v>
      </c>
      <c r="E43" s="467">
        <v>0</v>
      </c>
      <c r="F43" s="467">
        <v>0</v>
      </c>
      <c r="G43" s="467">
        <v>0</v>
      </c>
      <c r="H43" s="467">
        <v>0</v>
      </c>
      <c r="I43" s="467">
        <v>0</v>
      </c>
      <c r="J43" s="467">
        <v>0</v>
      </c>
      <c r="K43" s="467">
        <v>0</v>
      </c>
      <c r="L43" s="521"/>
    </row>
    <row r="44" spans="1:12" s="483" customFormat="1" ht="13.5" customHeight="1" thickBot="1" x14ac:dyDescent="0.25">
      <c r="A44" s="2306" t="s">
        <v>374</v>
      </c>
      <c r="B44" s="2307"/>
      <c r="C44" s="1700">
        <f>SUM(C24:C43)</f>
        <v>50989</v>
      </c>
      <c r="D44" s="1700">
        <f t="shared" ref="D44:K44" si="6">SUM(D24:D43)</f>
        <v>0</v>
      </c>
      <c r="E44" s="1700">
        <f t="shared" si="6"/>
        <v>849207</v>
      </c>
      <c r="F44" s="1700">
        <f t="shared" si="6"/>
        <v>0</v>
      </c>
      <c r="G44" s="1700">
        <f t="shared" si="6"/>
        <v>0</v>
      </c>
      <c r="H44" s="1700">
        <f t="shared" si="6"/>
        <v>0</v>
      </c>
      <c r="I44" s="1700">
        <f t="shared" si="6"/>
        <v>0</v>
      </c>
      <c r="J44" s="1700">
        <f t="shared" si="6"/>
        <v>0</v>
      </c>
      <c r="K44" s="1700">
        <f t="shared" si="6"/>
        <v>5932182</v>
      </c>
      <c r="L44" s="521"/>
    </row>
    <row r="45" spans="1:12" ht="15.75" customHeight="1" thickTop="1" x14ac:dyDescent="0.2">
      <c r="A45" s="2300" t="s">
        <v>108</v>
      </c>
      <c r="B45" s="2301"/>
      <c r="C45" s="525"/>
      <c r="D45" s="525"/>
      <c r="E45" s="525"/>
      <c r="F45" s="525"/>
      <c r="G45" s="525"/>
      <c r="H45" s="525"/>
      <c r="I45" s="525"/>
      <c r="J45" s="525"/>
      <c r="K45" s="525"/>
      <c r="L45" s="347"/>
    </row>
    <row r="46" spans="1:12" s="483" customFormat="1" ht="15.75" customHeight="1" x14ac:dyDescent="0.2">
      <c r="A46" s="2308" t="s">
        <v>109</v>
      </c>
      <c r="B46" s="2309"/>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1794</v>
      </c>
      <c r="B52" s="481">
        <v>8160</v>
      </c>
      <c r="C52" s="475"/>
      <c r="D52" s="475"/>
      <c r="E52" s="475"/>
      <c r="F52" s="475"/>
      <c r="G52" s="475"/>
      <c r="H52" s="475"/>
      <c r="I52" s="475"/>
      <c r="J52" s="475"/>
      <c r="K52" s="1740">
        <f>D30</f>
        <v>0</v>
      </c>
      <c r="L52" s="521"/>
    </row>
    <row r="53" spans="1:12" s="483" customFormat="1" ht="26.25" x14ac:dyDescent="0.2">
      <c r="A53" s="1487" t="s">
        <v>1793</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49227</v>
      </c>
      <c r="D54" s="527">
        <v>22712</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3137</v>
      </c>
      <c r="D58" s="528">
        <v>2385</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282" t="s">
        <v>440</v>
      </c>
      <c r="B76" s="2283"/>
      <c r="C76" s="1700">
        <f t="shared" ref="C76:K76" si="7">SUM(C47:C75)</f>
        <v>52364</v>
      </c>
      <c r="D76" s="1700">
        <f t="shared" si="7"/>
        <v>25097</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284" t="s">
        <v>1177</v>
      </c>
      <c r="B77" s="2285"/>
      <c r="C77" s="1700">
        <f t="shared" ref="C77:K77" si="8">C44-C76</f>
        <v>-1375</v>
      </c>
      <c r="D77" s="1700">
        <f t="shared" si="8"/>
        <v>-25097</v>
      </c>
      <c r="E77" s="1700">
        <f t="shared" si="8"/>
        <v>849207</v>
      </c>
      <c r="F77" s="1700">
        <f t="shared" si="8"/>
        <v>0</v>
      </c>
      <c r="G77" s="1700">
        <f t="shared" si="8"/>
        <v>0</v>
      </c>
      <c r="H77" s="1700">
        <f t="shared" si="8"/>
        <v>0</v>
      </c>
      <c r="I77" s="1700">
        <f t="shared" si="8"/>
        <v>0</v>
      </c>
      <c r="J77" s="1700">
        <f t="shared" si="8"/>
        <v>0</v>
      </c>
      <c r="K77" s="1700">
        <f t="shared" si="8"/>
        <v>5932182</v>
      </c>
      <c r="L77" s="347"/>
    </row>
    <row r="78" spans="1:12" ht="21.75" customHeight="1" thickTop="1" thickBot="1" x14ac:dyDescent="0.25">
      <c r="A78" s="2288" t="s">
        <v>597</v>
      </c>
      <c r="B78" s="2289"/>
      <c r="C78" s="1699">
        <f t="shared" ref="C78:K78" si="9">C20+C77</f>
        <v>467229</v>
      </c>
      <c r="D78" s="1699">
        <f t="shared" si="9"/>
        <v>109947</v>
      </c>
      <c r="E78" s="1699">
        <f t="shared" si="9"/>
        <v>782490</v>
      </c>
      <c r="F78" s="1699">
        <f t="shared" si="9"/>
        <v>4360</v>
      </c>
      <c r="G78" s="1699">
        <f t="shared" si="9"/>
        <v>58637</v>
      </c>
      <c r="H78" s="1699">
        <f t="shared" si="9"/>
        <v>-240407</v>
      </c>
      <c r="I78" s="1699">
        <f t="shared" si="9"/>
        <v>104305</v>
      </c>
      <c r="J78" s="1699">
        <f t="shared" si="9"/>
        <v>-7386</v>
      </c>
      <c r="K78" s="1699">
        <f t="shared" si="9"/>
        <v>4466939</v>
      </c>
      <c r="L78" s="530"/>
    </row>
    <row r="79" spans="1:12" ht="13.5" thickTop="1" x14ac:dyDescent="0.2">
      <c r="A79" s="1491" t="s">
        <v>1946</v>
      </c>
      <c r="B79" s="531"/>
      <c r="C79" s="476">
        <v>2638008</v>
      </c>
      <c r="D79" s="476">
        <v>590133</v>
      </c>
      <c r="E79" s="476">
        <v>258545</v>
      </c>
      <c r="F79" s="476">
        <v>8453</v>
      </c>
      <c r="G79" s="476">
        <v>297883</v>
      </c>
      <c r="H79" s="476">
        <v>309782</v>
      </c>
      <c r="I79" s="476">
        <v>634599</v>
      </c>
      <c r="J79" s="476">
        <v>64648</v>
      </c>
      <c r="K79" s="476">
        <v>4250</v>
      </c>
      <c r="L79" s="347"/>
    </row>
    <row r="80" spans="1:12" x14ac:dyDescent="0.2">
      <c r="A80" s="2294" t="s">
        <v>1792</v>
      </c>
      <c r="B80" s="2295"/>
      <c r="C80" s="467">
        <v>0</v>
      </c>
      <c r="D80" s="467">
        <v>0</v>
      </c>
      <c r="E80" s="467">
        <v>0</v>
      </c>
      <c r="F80" s="467">
        <v>0</v>
      </c>
      <c r="G80" s="467">
        <v>0</v>
      </c>
      <c r="H80" s="467">
        <v>0</v>
      </c>
      <c r="I80" s="467">
        <v>0</v>
      </c>
      <c r="J80" s="467">
        <v>0</v>
      </c>
      <c r="K80" s="467">
        <v>0</v>
      </c>
      <c r="L80" s="347"/>
    </row>
    <row r="81" spans="1:12" ht="13.5" thickBot="1" x14ac:dyDescent="0.25">
      <c r="A81" s="2286" t="s">
        <v>1947</v>
      </c>
      <c r="B81" s="2287"/>
      <c r="C81" s="1685">
        <f>(SUM(C78:C80))</f>
        <v>3105237</v>
      </c>
      <c r="D81" s="1685">
        <f>SUM(D78:D80)</f>
        <v>700080</v>
      </c>
      <c r="E81" s="1685">
        <f t="shared" ref="E81:K81" si="10">SUM(E78:E80)</f>
        <v>1041035</v>
      </c>
      <c r="F81" s="1685">
        <f t="shared" si="10"/>
        <v>12813</v>
      </c>
      <c r="G81" s="1685">
        <f t="shared" si="10"/>
        <v>356520</v>
      </c>
      <c r="H81" s="1685">
        <f t="shared" si="10"/>
        <v>69375</v>
      </c>
      <c r="I81" s="1685">
        <f t="shared" si="10"/>
        <v>738904</v>
      </c>
      <c r="J81" s="1685">
        <f t="shared" si="10"/>
        <v>57262</v>
      </c>
      <c r="K81" s="1685">
        <f t="shared" si="10"/>
        <v>4471189</v>
      </c>
      <c r="L81" s="347"/>
    </row>
    <row r="82" spans="1:12" ht="0.75" customHeight="1" thickTop="1" thickBot="1" x14ac:dyDescent="0.25">
      <c r="A82" s="533" t="s">
        <v>343</v>
      </c>
      <c r="B82" s="534"/>
      <c r="C82" s="535">
        <f>(C81-C79)</f>
        <v>467229</v>
      </c>
      <c r="D82" s="535">
        <f t="shared" ref="D82:K82" si="11">(D81-D79)</f>
        <v>109947</v>
      </c>
      <c r="E82" s="535">
        <f t="shared" si="11"/>
        <v>782490</v>
      </c>
      <c r="F82" s="535">
        <f t="shared" si="11"/>
        <v>4360</v>
      </c>
      <c r="G82" s="535">
        <f t="shared" si="11"/>
        <v>58637</v>
      </c>
      <c r="H82" s="535">
        <f t="shared" si="11"/>
        <v>-240407</v>
      </c>
      <c r="I82" s="535">
        <f t="shared" si="11"/>
        <v>104305</v>
      </c>
      <c r="J82" s="535">
        <f t="shared" si="11"/>
        <v>-7386</v>
      </c>
      <c r="K82" s="535">
        <f t="shared" si="11"/>
        <v>4466939</v>
      </c>
    </row>
    <row r="83" spans="1:12" ht="14.25" hidden="1" thickTop="1" thickBot="1" x14ac:dyDescent="0.25">
      <c r="A83" s="536" t="s">
        <v>344</v>
      </c>
      <c r="B83" s="464"/>
      <c r="C83" s="537">
        <f>C82/C81</f>
        <v>0.15046484374622612</v>
      </c>
      <c r="D83" s="537">
        <f t="shared" ref="D83:K83" si="12">D82/D81</f>
        <v>0.15704919437778539</v>
      </c>
      <c r="E83" s="537">
        <f t="shared" si="12"/>
        <v>0.75164619825462164</v>
      </c>
      <c r="F83" s="537">
        <f t="shared" si="12"/>
        <v>0.34027940373058613</v>
      </c>
      <c r="G83" s="537">
        <f t="shared" si="12"/>
        <v>0.16447043644115336</v>
      </c>
      <c r="H83" s="537">
        <f t="shared" si="12"/>
        <v>-3.4653261261261261</v>
      </c>
      <c r="I83" s="537">
        <f t="shared" si="12"/>
        <v>0.14116177473663696</v>
      </c>
      <c r="J83" s="537">
        <f t="shared" si="12"/>
        <v>-0.12898606405644231</v>
      </c>
      <c r="K83" s="537">
        <f t="shared" si="12"/>
        <v>0.999049469839007</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A41" sqref="A41:F41"/>
      <selection pane="bottomLeft" activeCell="E16" sqref="E16"/>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90" t="s">
        <v>1799</v>
      </c>
      <c r="B1" s="452"/>
      <c r="C1" s="453" t="s">
        <v>425</v>
      </c>
      <c r="D1" s="453" t="s">
        <v>426</v>
      </c>
      <c r="E1" s="453" t="s">
        <v>427</v>
      </c>
      <c r="F1" s="453" t="s">
        <v>428</v>
      </c>
      <c r="G1" s="453" t="s">
        <v>429</v>
      </c>
      <c r="H1" s="453" t="s">
        <v>430</v>
      </c>
      <c r="I1" s="453" t="s">
        <v>431</v>
      </c>
      <c r="J1" s="453" t="s">
        <v>432</v>
      </c>
      <c r="K1" s="453" t="s">
        <v>756</v>
      </c>
    </row>
    <row r="2" spans="1:12" ht="36" x14ac:dyDescent="0.2">
      <c r="A2" s="2291"/>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3085369</v>
      </c>
      <c r="D5" s="479">
        <v>476137</v>
      </c>
      <c r="E5" s="466">
        <v>861214</v>
      </c>
      <c r="F5" s="545">
        <v>228546</v>
      </c>
      <c r="G5" s="466">
        <v>109303</v>
      </c>
      <c r="H5" s="466">
        <v>0</v>
      </c>
      <c r="I5" s="466">
        <v>95228</v>
      </c>
      <c r="J5" s="467">
        <v>695447</v>
      </c>
      <c r="K5" s="466">
        <v>95228</v>
      </c>
    </row>
    <row r="6" spans="1:12" ht="15" x14ac:dyDescent="0.2">
      <c r="A6" s="463" t="s">
        <v>1662</v>
      </c>
      <c r="B6" s="470">
        <v>1130</v>
      </c>
      <c r="C6" s="466">
        <v>29978</v>
      </c>
      <c r="D6" s="466">
        <v>65250</v>
      </c>
      <c r="E6" s="474"/>
      <c r="F6" s="474"/>
      <c r="G6" s="468"/>
      <c r="H6" s="468"/>
      <c r="I6" s="468"/>
      <c r="J6" s="468"/>
      <c r="K6" s="468"/>
    </row>
    <row r="7" spans="1:12" x14ac:dyDescent="0.2">
      <c r="A7" s="463" t="s">
        <v>110</v>
      </c>
      <c r="B7" s="546">
        <v>1140</v>
      </c>
      <c r="C7" s="466">
        <v>38091</v>
      </c>
      <c r="D7" s="466">
        <v>0</v>
      </c>
      <c r="E7" s="468"/>
      <c r="F7" s="467">
        <v>0</v>
      </c>
      <c r="G7" s="467">
        <v>0</v>
      </c>
      <c r="H7" s="467">
        <v>0</v>
      </c>
      <c r="I7" s="468"/>
      <c r="J7" s="468"/>
      <c r="K7" s="468"/>
    </row>
    <row r="8" spans="1:12" x14ac:dyDescent="0.2">
      <c r="A8" s="463" t="s">
        <v>413</v>
      </c>
      <c r="B8" s="470">
        <v>1150</v>
      </c>
      <c r="C8" s="474"/>
      <c r="D8" s="474"/>
      <c r="E8" s="475"/>
      <c r="F8" s="475"/>
      <c r="G8" s="479">
        <v>173866</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3153438</v>
      </c>
      <c r="D12" s="1704">
        <f t="shared" si="0"/>
        <v>541387</v>
      </c>
      <c r="E12" s="1704">
        <f t="shared" si="0"/>
        <v>861214</v>
      </c>
      <c r="F12" s="1704">
        <f t="shared" si="0"/>
        <v>228546</v>
      </c>
      <c r="G12" s="1704">
        <f t="shared" si="0"/>
        <v>283169</v>
      </c>
      <c r="H12" s="1704">
        <f t="shared" si="0"/>
        <v>0</v>
      </c>
      <c r="I12" s="1704">
        <f t="shared" si="0"/>
        <v>95228</v>
      </c>
      <c r="J12" s="1704">
        <f t="shared" si="0"/>
        <v>695447</v>
      </c>
      <c r="K12" s="1685">
        <f t="shared" si="0"/>
        <v>95228</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648</v>
      </c>
      <c r="D14" s="466">
        <v>96</v>
      </c>
      <c r="E14" s="466">
        <v>173</v>
      </c>
      <c r="F14" s="466">
        <v>46</v>
      </c>
      <c r="G14" s="466">
        <v>57</v>
      </c>
      <c r="H14" s="466">
        <v>0</v>
      </c>
      <c r="I14" s="466">
        <v>19</v>
      </c>
      <c r="J14" s="467">
        <v>140</v>
      </c>
      <c r="K14" s="466">
        <v>19</v>
      </c>
    </row>
    <row r="15" spans="1:12" ht="12.75" customHeight="1" x14ac:dyDescent="0.2">
      <c r="A15" s="463" t="s">
        <v>95</v>
      </c>
      <c r="B15" s="470">
        <v>1220</v>
      </c>
      <c r="C15" s="548">
        <v>1734</v>
      </c>
      <c r="D15" s="466">
        <v>257</v>
      </c>
      <c r="E15" s="466">
        <v>464</v>
      </c>
      <c r="F15" s="466">
        <v>123</v>
      </c>
      <c r="G15" s="466">
        <v>153</v>
      </c>
      <c r="H15" s="466">
        <v>0</v>
      </c>
      <c r="I15" s="466">
        <v>51</v>
      </c>
      <c r="J15" s="467">
        <v>375</v>
      </c>
      <c r="K15" s="466">
        <v>51</v>
      </c>
    </row>
    <row r="16" spans="1:12" ht="15" customHeight="1" x14ac:dyDescent="0.2">
      <c r="A16" s="463" t="s">
        <v>1663</v>
      </c>
      <c r="B16" s="546">
        <v>1230</v>
      </c>
      <c r="C16" s="548">
        <v>0</v>
      </c>
      <c r="D16" s="466">
        <v>495003</v>
      </c>
      <c r="E16" s="466">
        <v>0</v>
      </c>
      <c r="F16" s="466">
        <v>0</v>
      </c>
      <c r="G16" s="466">
        <v>26000</v>
      </c>
      <c r="H16" s="466">
        <v>0</v>
      </c>
      <c r="I16" s="466">
        <v>0</v>
      </c>
      <c r="J16" s="467">
        <v>0</v>
      </c>
      <c r="K16" s="466">
        <v>0</v>
      </c>
    </row>
    <row r="17" spans="1:11" ht="12.75" customHeight="1" x14ac:dyDescent="0.2">
      <c r="A17" s="463" t="s">
        <v>807</v>
      </c>
      <c r="B17" s="470">
        <v>1290</v>
      </c>
      <c r="C17" s="548">
        <v>81310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83692</v>
      </c>
      <c r="D18" s="1707">
        <f t="shared" ref="D18:K18" si="1">SUM(D14:D17)</f>
        <v>495356</v>
      </c>
      <c r="E18" s="1707">
        <f t="shared" si="1"/>
        <v>637</v>
      </c>
      <c r="F18" s="1707">
        <f t="shared" si="1"/>
        <v>169</v>
      </c>
      <c r="G18" s="1707">
        <f t="shared" si="1"/>
        <v>26210</v>
      </c>
      <c r="H18" s="1707">
        <f t="shared" si="1"/>
        <v>0</v>
      </c>
      <c r="I18" s="1707">
        <f t="shared" si="1"/>
        <v>70</v>
      </c>
      <c r="J18" s="1707">
        <f t="shared" si="1"/>
        <v>515</v>
      </c>
      <c r="K18" s="1708">
        <f t="shared" si="1"/>
        <v>70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29612</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29612</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46526</v>
      </c>
      <c r="D65" s="466">
        <v>11053</v>
      </c>
      <c r="E65" s="466">
        <v>15572</v>
      </c>
      <c r="F65" s="467">
        <v>556</v>
      </c>
      <c r="G65" s="466">
        <v>6468</v>
      </c>
      <c r="H65" s="466">
        <v>17070</v>
      </c>
      <c r="I65" s="466">
        <v>8877</v>
      </c>
      <c r="J65" s="467">
        <v>4445</v>
      </c>
      <c r="K65" s="466">
        <v>48767</v>
      </c>
    </row>
    <row r="66" spans="1:11" ht="12.75" customHeight="1" x14ac:dyDescent="0.2">
      <c r="A66" s="463" t="s">
        <v>679</v>
      </c>
      <c r="B66" s="470">
        <v>1520</v>
      </c>
      <c r="C66" s="466">
        <v>1390</v>
      </c>
      <c r="D66" s="466">
        <v>368</v>
      </c>
      <c r="E66" s="466">
        <v>671</v>
      </c>
      <c r="F66" s="466">
        <v>6</v>
      </c>
      <c r="G66" s="466">
        <v>229</v>
      </c>
      <c r="H66" s="466">
        <v>0</v>
      </c>
      <c r="I66" s="466">
        <v>130</v>
      </c>
      <c r="J66" s="467">
        <v>136</v>
      </c>
      <c r="K66" s="466">
        <v>3422</v>
      </c>
    </row>
    <row r="67" spans="1:11" ht="12.75" customHeight="1" thickBot="1" x14ac:dyDescent="0.25">
      <c r="A67" s="1705" t="s">
        <v>486</v>
      </c>
      <c r="B67" s="1706"/>
      <c r="C67" s="1685">
        <f>SUM(C65:C66)</f>
        <v>47916</v>
      </c>
      <c r="D67" s="1685">
        <f t="shared" ref="D67:K67" si="2">SUM(D65:D66)</f>
        <v>11421</v>
      </c>
      <c r="E67" s="1685">
        <f t="shared" si="2"/>
        <v>16243</v>
      </c>
      <c r="F67" s="1685">
        <f t="shared" si="2"/>
        <v>562</v>
      </c>
      <c r="G67" s="1685">
        <f t="shared" si="2"/>
        <v>6697</v>
      </c>
      <c r="H67" s="1685">
        <f t="shared" si="2"/>
        <v>17070</v>
      </c>
      <c r="I67" s="1685">
        <f t="shared" si="2"/>
        <v>9007</v>
      </c>
      <c r="J67" s="1685">
        <f t="shared" si="2"/>
        <v>4581</v>
      </c>
      <c r="K67" s="1685">
        <f t="shared" si="2"/>
        <v>52189</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46776</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46776</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31357</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75886</v>
      </c>
      <c r="D79" s="466">
        <v>0</v>
      </c>
      <c r="E79" s="468"/>
      <c r="F79" s="468"/>
      <c r="G79" s="468"/>
      <c r="H79" s="468"/>
      <c r="I79" s="468"/>
      <c r="J79" s="468"/>
      <c r="K79" s="468"/>
    </row>
    <row r="80" spans="1:11" ht="12.75" customHeight="1" x14ac:dyDescent="0.2">
      <c r="A80" s="463" t="s">
        <v>551</v>
      </c>
      <c r="B80" s="470">
        <v>1730</v>
      </c>
      <c r="C80" s="548">
        <v>10244</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117487</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545</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545</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1634</v>
      </c>
      <c r="E95" s="518"/>
      <c r="F95" s="518"/>
      <c r="G95" s="518"/>
      <c r="H95" s="518"/>
      <c r="I95" s="518"/>
      <c r="J95" s="518"/>
      <c r="K95" s="518"/>
    </row>
    <row r="96" spans="1:11" ht="12.75" customHeight="1" x14ac:dyDescent="0.2">
      <c r="A96" s="463" t="s">
        <v>391</v>
      </c>
      <c r="B96" s="470">
        <v>1920</v>
      </c>
      <c r="C96" s="548">
        <v>61287</v>
      </c>
      <c r="D96" s="548">
        <v>20000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49385</v>
      </c>
      <c r="D98" s="466">
        <v>0</v>
      </c>
      <c r="E98" s="509"/>
      <c r="F98" s="466">
        <v>0</v>
      </c>
      <c r="G98" s="509"/>
      <c r="H98" s="509"/>
      <c r="I98" s="507"/>
      <c r="J98" s="509"/>
      <c r="K98" s="509"/>
    </row>
    <row r="99" spans="1:12" ht="12.75" customHeight="1" x14ac:dyDescent="0.2">
      <c r="A99" s="463" t="s">
        <v>821</v>
      </c>
      <c r="B99" s="470">
        <v>1950</v>
      </c>
      <c r="C99" s="486">
        <v>5390</v>
      </c>
      <c r="D99" s="466">
        <v>0</v>
      </c>
      <c r="E99" s="466">
        <v>0</v>
      </c>
      <c r="F99" s="466">
        <v>0</v>
      </c>
      <c r="G99" s="466">
        <v>0</v>
      </c>
      <c r="H99" s="466">
        <v>0</v>
      </c>
      <c r="I99" s="468"/>
      <c r="J99" s="467">
        <v>92</v>
      </c>
      <c r="K99" s="466">
        <v>0</v>
      </c>
    </row>
    <row r="100" spans="1:12" ht="12.75" customHeight="1" x14ac:dyDescent="0.2">
      <c r="A100" s="463" t="s">
        <v>245</v>
      </c>
      <c r="B100" s="470">
        <v>1960</v>
      </c>
      <c r="C100" s="486">
        <v>0</v>
      </c>
      <c r="D100" s="486">
        <v>0</v>
      </c>
      <c r="E100" s="486">
        <v>0</v>
      </c>
      <c r="F100" s="486">
        <v>0</v>
      </c>
      <c r="G100" s="486">
        <v>0</v>
      </c>
      <c r="H100" s="486">
        <v>93522</v>
      </c>
      <c r="I100" s="467">
        <v>0</v>
      </c>
      <c r="J100" s="486">
        <v>0</v>
      </c>
      <c r="K100" s="467">
        <v>0</v>
      </c>
    </row>
    <row r="101" spans="1:12" ht="12.75" customHeight="1" x14ac:dyDescent="0.2">
      <c r="A101" s="463" t="s">
        <v>246</v>
      </c>
      <c r="B101" s="470">
        <v>1970</v>
      </c>
      <c r="C101" s="486">
        <v>25152</v>
      </c>
      <c r="D101" s="523"/>
      <c r="E101" s="478"/>
      <c r="F101" s="523"/>
      <c r="G101" s="474"/>
      <c r="H101" s="523"/>
      <c r="I101" s="468"/>
      <c r="J101" s="474"/>
      <c r="K101" s="474"/>
    </row>
    <row r="102" spans="1:12" ht="12.75" customHeight="1" x14ac:dyDescent="0.2">
      <c r="A102" s="463" t="s">
        <v>247</v>
      </c>
      <c r="B102" s="470">
        <v>1980</v>
      </c>
      <c r="C102" s="486">
        <v>152</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833</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500</v>
      </c>
      <c r="D106" s="486">
        <v>0</v>
      </c>
      <c r="E106" s="467">
        <v>0</v>
      </c>
      <c r="F106" s="467">
        <v>0</v>
      </c>
      <c r="G106" s="467">
        <v>0</v>
      </c>
      <c r="H106" s="467">
        <v>0</v>
      </c>
      <c r="I106" s="518"/>
      <c r="J106" s="467">
        <v>0</v>
      </c>
      <c r="K106" s="467">
        <v>0</v>
      </c>
    </row>
    <row r="107" spans="1:12" ht="12.75" customHeight="1" x14ac:dyDescent="0.2">
      <c r="A107" s="463" t="s">
        <v>78</v>
      </c>
      <c r="B107" s="470">
        <v>1999</v>
      </c>
      <c r="C107" s="548">
        <v>8918</v>
      </c>
      <c r="D107" s="466">
        <v>23018</v>
      </c>
      <c r="E107" s="466">
        <v>0</v>
      </c>
      <c r="F107" s="466">
        <v>0</v>
      </c>
      <c r="G107" s="466">
        <v>0</v>
      </c>
      <c r="H107" s="466">
        <v>0</v>
      </c>
      <c r="I107" s="466">
        <v>0</v>
      </c>
      <c r="J107" s="467">
        <v>0</v>
      </c>
      <c r="K107" s="466">
        <v>0</v>
      </c>
    </row>
    <row r="108" spans="1:12" ht="12.75" customHeight="1" thickBot="1" x14ac:dyDescent="0.25">
      <c r="A108" s="1705" t="s">
        <v>487</v>
      </c>
      <c r="B108" s="1709"/>
      <c r="C108" s="1704">
        <f>SUM(C95:C107)</f>
        <v>150784</v>
      </c>
      <c r="D108" s="1704">
        <f t="shared" ref="D108:K108" si="3">SUM(D95:D107)</f>
        <v>44652</v>
      </c>
      <c r="E108" s="1704">
        <f t="shared" si="3"/>
        <v>0</v>
      </c>
      <c r="F108" s="1704">
        <f t="shared" si="3"/>
        <v>0</v>
      </c>
      <c r="G108" s="1704">
        <f t="shared" si="3"/>
        <v>0</v>
      </c>
      <c r="H108" s="1704">
        <f t="shared" si="3"/>
        <v>94355</v>
      </c>
      <c r="I108" s="1704">
        <f t="shared" si="3"/>
        <v>0</v>
      </c>
      <c r="J108" s="1704">
        <f t="shared" si="3"/>
        <v>92</v>
      </c>
      <c r="K108" s="1685">
        <f t="shared" si="3"/>
        <v>0</v>
      </c>
    </row>
    <row r="109" spans="1:12" ht="14.25" thickTop="1" thickBot="1" x14ac:dyDescent="0.25">
      <c r="A109" s="1710" t="s">
        <v>248</v>
      </c>
      <c r="B109" s="1711" t="s">
        <v>570</v>
      </c>
      <c r="C109" s="1712">
        <f t="shared" ref="C109:K109" si="4">SUM(C12,C18,C40,C63,C67,C75,C82,C93,C108,)</f>
        <v>3630250</v>
      </c>
      <c r="D109" s="1712">
        <f t="shared" si="4"/>
        <v>1092816</v>
      </c>
      <c r="E109" s="1712">
        <f t="shared" si="4"/>
        <v>878094</v>
      </c>
      <c r="F109" s="1712">
        <f t="shared" si="4"/>
        <v>229277</v>
      </c>
      <c r="G109" s="1712">
        <f t="shared" si="4"/>
        <v>316076</v>
      </c>
      <c r="H109" s="1712">
        <f t="shared" si="4"/>
        <v>111425</v>
      </c>
      <c r="I109" s="1712">
        <f t="shared" si="4"/>
        <v>104305</v>
      </c>
      <c r="J109" s="1712">
        <f t="shared" si="4"/>
        <v>700635</v>
      </c>
      <c r="K109" s="1699">
        <f t="shared" si="4"/>
        <v>147487</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4568260</v>
      </c>
      <c r="D117" s="479">
        <v>0</v>
      </c>
      <c r="E117" s="466">
        <v>0</v>
      </c>
      <c r="F117" s="479">
        <v>209000</v>
      </c>
      <c r="G117" s="479">
        <v>0</v>
      </c>
      <c r="H117" s="466">
        <v>0</v>
      </c>
      <c r="I117" s="468"/>
      <c r="J117" s="467">
        <v>0</v>
      </c>
      <c r="K117" s="466">
        <v>0</v>
      </c>
    </row>
    <row r="118" spans="1:11" ht="12.75" customHeight="1" x14ac:dyDescent="0.2">
      <c r="A118" s="463" t="s">
        <v>1796</v>
      </c>
      <c r="B118" s="559">
        <v>3002</v>
      </c>
      <c r="C118" s="548"/>
      <c r="D118" s="466"/>
      <c r="E118" s="466"/>
      <c r="F118" s="466"/>
      <c r="G118" s="466"/>
      <c r="H118" s="466"/>
      <c r="I118" s="468"/>
      <c r="J118" s="467"/>
      <c r="K118" s="466"/>
    </row>
    <row r="119" spans="1:11" ht="12.75" customHeight="1" x14ac:dyDescent="0.2">
      <c r="A119" s="463" t="s">
        <v>1797</v>
      </c>
      <c r="B119" s="559">
        <v>3005</v>
      </c>
      <c r="C119" s="548">
        <v>0</v>
      </c>
      <c r="D119" s="466">
        <v>0</v>
      </c>
      <c r="E119" s="466">
        <v>0</v>
      </c>
      <c r="F119" s="466">
        <v>0</v>
      </c>
      <c r="G119" s="479">
        <v>0</v>
      </c>
      <c r="H119" s="466">
        <v>0</v>
      </c>
      <c r="I119" s="468"/>
      <c r="J119" s="467">
        <v>0</v>
      </c>
      <c r="K119" s="466">
        <v>0</v>
      </c>
    </row>
    <row r="120" spans="1:11" ht="12.75" customHeight="1" x14ac:dyDescent="0.2">
      <c r="A120" s="1925" t="s">
        <v>1933</v>
      </c>
      <c r="B120" s="559">
        <v>3030</v>
      </c>
      <c r="C120" s="548">
        <v>0</v>
      </c>
      <c r="D120" s="466">
        <v>0</v>
      </c>
      <c r="E120" s="466">
        <v>0</v>
      </c>
      <c r="F120" s="466">
        <v>0</v>
      </c>
      <c r="G120" s="466">
        <v>0</v>
      </c>
      <c r="H120" s="466">
        <v>0</v>
      </c>
      <c r="I120" s="468"/>
      <c r="J120" s="467">
        <v>0</v>
      </c>
      <c r="K120" s="466">
        <v>0</v>
      </c>
    </row>
    <row r="121" spans="1:11" x14ac:dyDescent="0.2">
      <c r="A121" s="1493" t="s">
        <v>1798</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4568260</v>
      </c>
      <c r="D122" s="1704">
        <f t="shared" si="5"/>
        <v>0</v>
      </c>
      <c r="E122" s="1704">
        <f t="shared" si="5"/>
        <v>0</v>
      </c>
      <c r="F122" s="1704">
        <f t="shared" si="5"/>
        <v>209000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185411</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185411</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75872</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9653</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85525</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8382</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38784</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26000</v>
      </c>
      <c r="G152" s="467">
        <v>0</v>
      </c>
      <c r="H152" s="468"/>
      <c r="I152" s="468"/>
      <c r="J152" s="468"/>
      <c r="K152" s="468"/>
    </row>
    <row r="153" spans="1:11" ht="12.75" customHeight="1" x14ac:dyDescent="0.2">
      <c r="A153" s="463" t="s">
        <v>1057</v>
      </c>
      <c r="B153" s="559">
        <v>3510</v>
      </c>
      <c r="C153" s="548">
        <v>0</v>
      </c>
      <c r="D153" s="466">
        <v>0</v>
      </c>
      <c r="E153" s="558"/>
      <c r="F153" s="466">
        <v>238021</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264021</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26479</v>
      </c>
      <c r="D158" s="468"/>
      <c r="E158" s="558"/>
      <c r="F158" s="573">
        <v>0</v>
      </c>
      <c r="G158" s="573">
        <v>1905</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5553</v>
      </c>
      <c r="D168" s="577">
        <v>0</v>
      </c>
      <c r="E168" s="577">
        <v>0</v>
      </c>
      <c r="F168" s="577">
        <v>0</v>
      </c>
      <c r="G168" s="578">
        <v>0</v>
      </c>
      <c r="H168" s="579">
        <v>0</v>
      </c>
      <c r="I168" s="578">
        <v>0</v>
      </c>
      <c r="J168" s="578">
        <v>28776</v>
      </c>
      <c r="K168" s="579">
        <v>0</v>
      </c>
    </row>
    <row r="169" spans="1:11" ht="12.75" customHeight="1" thickTop="1" thickBot="1" x14ac:dyDescent="0.25">
      <c r="A169" s="2310" t="s">
        <v>398</v>
      </c>
      <c r="B169" s="2311"/>
      <c r="C169" s="1719">
        <f t="shared" ref="C169:K169" si="6">SUM(C132,C141,C145,C146:C150,C155,C156:C167,C168)</f>
        <v>350134</v>
      </c>
      <c r="D169" s="1719">
        <f t="shared" si="6"/>
        <v>0</v>
      </c>
      <c r="E169" s="1719">
        <f t="shared" si="6"/>
        <v>0</v>
      </c>
      <c r="F169" s="1719">
        <f t="shared" si="6"/>
        <v>264021</v>
      </c>
      <c r="G169" s="1719">
        <f t="shared" si="6"/>
        <v>1905</v>
      </c>
      <c r="H169" s="1719">
        <f t="shared" si="6"/>
        <v>0</v>
      </c>
      <c r="I169" s="1719">
        <f t="shared" si="6"/>
        <v>0</v>
      </c>
      <c r="J169" s="1719">
        <f t="shared" si="6"/>
        <v>28776</v>
      </c>
      <c r="K169" s="1700">
        <f t="shared" si="6"/>
        <v>0</v>
      </c>
    </row>
    <row r="170" spans="1:11" ht="12.75" customHeight="1" thickTop="1" thickBot="1" x14ac:dyDescent="0.25">
      <c r="A170" s="1705" t="s">
        <v>399</v>
      </c>
      <c r="B170" s="1711" t="s">
        <v>575</v>
      </c>
      <c r="C170" s="1712">
        <f t="shared" ref="C170:K170" si="7">SUM(C122,C169)</f>
        <v>4918394</v>
      </c>
      <c r="D170" s="1712">
        <f t="shared" si="7"/>
        <v>0</v>
      </c>
      <c r="E170" s="1712">
        <f t="shared" si="7"/>
        <v>0</v>
      </c>
      <c r="F170" s="1712">
        <f t="shared" si="7"/>
        <v>473021</v>
      </c>
      <c r="G170" s="1712">
        <f t="shared" si="7"/>
        <v>1905</v>
      </c>
      <c r="H170" s="1712">
        <f t="shared" si="7"/>
        <v>0</v>
      </c>
      <c r="I170" s="1712">
        <f t="shared" si="7"/>
        <v>0</v>
      </c>
      <c r="J170" s="1712">
        <f t="shared" si="7"/>
        <v>28776</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312" t="s">
        <v>1492</v>
      </c>
      <c r="B172" s="2313"/>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316" t="s">
        <v>1665</v>
      </c>
      <c r="B175" s="231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320" t="s">
        <v>1664</v>
      </c>
      <c r="B176" s="2321"/>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318" t="s">
        <v>785</v>
      </c>
      <c r="B181" s="231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314" t="s">
        <v>1800</v>
      </c>
      <c r="B182" s="2315"/>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12578</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12578</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322702</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105394</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428096</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303887</v>
      </c>
      <c r="D200" s="466">
        <v>0</v>
      </c>
      <c r="E200" s="468"/>
      <c r="F200" s="466">
        <v>0</v>
      </c>
      <c r="G200" s="466">
        <v>7807</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303887</v>
      </c>
      <c r="D204" s="1704">
        <f>SUM(D200:D203)</f>
        <v>0</v>
      </c>
      <c r="E204" s="468"/>
      <c r="F204" s="1704">
        <f>SUM(F200:F203)</f>
        <v>0</v>
      </c>
      <c r="G204" s="1704">
        <f>SUM(G200:G203)</f>
        <v>7807</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33652</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33652</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101426</v>
      </c>
      <c r="D213" s="466">
        <v>0</v>
      </c>
      <c r="E213" s="468"/>
      <c r="F213" s="466">
        <v>0</v>
      </c>
      <c r="G213" s="466">
        <v>15044</v>
      </c>
      <c r="H213" s="468"/>
      <c r="I213" s="468"/>
      <c r="J213" s="468"/>
      <c r="K213" s="468"/>
    </row>
    <row r="214" spans="1:11" ht="12.75" customHeight="1" x14ac:dyDescent="0.2">
      <c r="A214" s="463" t="s">
        <v>1054</v>
      </c>
      <c r="B214" s="470">
        <v>4625</v>
      </c>
      <c r="C214" s="548">
        <v>171925</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273351</v>
      </c>
      <c r="D217" s="1704">
        <f>SUM(D211:D216)</f>
        <v>0</v>
      </c>
      <c r="E217" s="468"/>
      <c r="F217" s="1704">
        <f>SUM(F211:F216)</f>
        <v>0</v>
      </c>
      <c r="G217" s="1704">
        <f>SUM(G211:G216)</f>
        <v>15044</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43188</v>
      </c>
      <c r="D259" s="573">
        <v>0</v>
      </c>
      <c r="E259" s="468"/>
      <c r="F259" s="573">
        <v>0</v>
      </c>
      <c r="G259" s="573">
        <v>456</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5" t="s">
        <v>1934</v>
      </c>
      <c r="B261" s="470">
        <v>4981</v>
      </c>
      <c r="C261" s="572">
        <v>0</v>
      </c>
      <c r="D261" s="573">
        <v>0</v>
      </c>
      <c r="E261" s="468"/>
      <c r="F261" s="573">
        <v>0</v>
      </c>
      <c r="G261" s="573">
        <v>0</v>
      </c>
      <c r="H261" s="468"/>
      <c r="I261" s="468"/>
      <c r="J261" s="468"/>
      <c r="K261" s="468"/>
    </row>
    <row r="262" spans="1:11" ht="12.75" customHeight="1" thickTop="1" thickBot="1" x14ac:dyDescent="0.25">
      <c r="A262" s="1926" t="s">
        <v>1935</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18873</v>
      </c>
      <c r="D263" s="573">
        <v>0</v>
      </c>
      <c r="E263" s="468"/>
      <c r="F263" s="573">
        <v>0</v>
      </c>
      <c r="G263" s="573">
        <v>0</v>
      </c>
      <c r="H263" s="468"/>
      <c r="I263" s="468"/>
      <c r="J263" s="468"/>
      <c r="K263" s="468"/>
    </row>
    <row r="264" spans="1:11" ht="12.75" customHeight="1" thickTop="1" thickBot="1" x14ac:dyDescent="0.25">
      <c r="A264" s="463" t="s">
        <v>377</v>
      </c>
      <c r="B264" s="470">
        <v>4992</v>
      </c>
      <c r="C264" s="572">
        <v>52391</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2502</v>
      </c>
      <c r="D265" s="573">
        <v>0</v>
      </c>
      <c r="E265" s="468"/>
      <c r="F265" s="573">
        <v>0</v>
      </c>
      <c r="G265" s="573">
        <v>32</v>
      </c>
      <c r="H265" s="527">
        <v>0</v>
      </c>
      <c r="I265" s="468"/>
      <c r="J265" s="468"/>
      <c r="K265" s="527">
        <v>0</v>
      </c>
    </row>
    <row r="266" spans="1:11" ht="14.25" thickTop="1" thickBot="1" x14ac:dyDescent="0.25">
      <c r="A266" s="1705" t="s">
        <v>1666</v>
      </c>
      <c r="B266" s="1724"/>
      <c r="C266" s="1712">
        <f t="shared" ref="C266:H266" si="10">SUM(C188,C198,C204,C209,C217,C221,C222,C252:C265)</f>
        <v>1168518</v>
      </c>
      <c r="D266" s="1712">
        <f t="shared" si="10"/>
        <v>0</v>
      </c>
      <c r="E266" s="1712">
        <f t="shared" si="10"/>
        <v>0</v>
      </c>
      <c r="F266" s="1712">
        <f t="shared" si="10"/>
        <v>0</v>
      </c>
      <c r="G266" s="1712">
        <f t="shared" si="10"/>
        <v>23339</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1168518</v>
      </c>
      <c r="D267" s="1712">
        <f>SUM(D175,D181,D266)</f>
        <v>0</v>
      </c>
      <c r="E267" s="1712">
        <f>SUM(E175,E266)</f>
        <v>0</v>
      </c>
      <c r="F267" s="1712">
        <f t="shared" ref="F267:K267" si="11">SUM(F175,F181,F266)</f>
        <v>0</v>
      </c>
      <c r="G267" s="1712">
        <f t="shared" si="11"/>
        <v>23339</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9717162</v>
      </c>
      <c r="D268" s="1712">
        <f t="shared" si="12"/>
        <v>1092816</v>
      </c>
      <c r="E268" s="1712">
        <f t="shared" si="12"/>
        <v>878094</v>
      </c>
      <c r="F268" s="1712">
        <f t="shared" si="12"/>
        <v>702298</v>
      </c>
      <c r="G268" s="1712">
        <f t="shared" si="12"/>
        <v>341320</v>
      </c>
      <c r="H268" s="1712">
        <f t="shared" si="12"/>
        <v>111425</v>
      </c>
      <c r="I268" s="1712">
        <f t="shared" si="12"/>
        <v>104305</v>
      </c>
      <c r="J268" s="1712">
        <f t="shared" si="12"/>
        <v>729411</v>
      </c>
      <c r="K268" s="1699">
        <f t="shared" si="12"/>
        <v>147487</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1" sqref="A41:F4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90" t="s">
        <v>1799</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324"/>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330" t="s">
        <v>297</v>
      </c>
      <c r="B3" s="2331"/>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2605366</v>
      </c>
      <c r="D5" s="466">
        <v>554759</v>
      </c>
      <c r="E5" s="466">
        <v>24740</v>
      </c>
      <c r="F5" s="466">
        <v>146777</v>
      </c>
      <c r="G5" s="466">
        <v>24477</v>
      </c>
      <c r="H5" s="466">
        <v>4015</v>
      </c>
      <c r="I5" s="467">
        <v>6118</v>
      </c>
      <c r="J5" s="467">
        <v>0</v>
      </c>
      <c r="K5" s="1668">
        <f>SUM(C5:J5)</f>
        <v>3366252</v>
      </c>
      <c r="L5" s="471">
        <v>3411743</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1077217</v>
      </c>
      <c r="D8" s="466">
        <v>146042</v>
      </c>
      <c r="E8" s="466">
        <v>5519</v>
      </c>
      <c r="F8" s="466">
        <v>9346</v>
      </c>
      <c r="G8" s="466">
        <v>0</v>
      </c>
      <c r="H8" s="466">
        <v>0</v>
      </c>
      <c r="I8" s="467">
        <v>0</v>
      </c>
      <c r="J8" s="467">
        <v>0</v>
      </c>
      <c r="K8" s="1668">
        <f t="shared" si="0"/>
        <v>1238124</v>
      </c>
      <c r="L8" s="471">
        <v>1377972</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612640</v>
      </c>
      <c r="D13" s="466">
        <v>91534</v>
      </c>
      <c r="E13" s="466">
        <v>235</v>
      </c>
      <c r="F13" s="466">
        <v>54731</v>
      </c>
      <c r="G13" s="466">
        <v>42660</v>
      </c>
      <c r="H13" s="466">
        <v>661</v>
      </c>
      <c r="I13" s="467">
        <v>510</v>
      </c>
      <c r="J13" s="467">
        <v>0</v>
      </c>
      <c r="K13" s="1668">
        <f t="shared" si="0"/>
        <v>802971</v>
      </c>
      <c r="L13" s="471">
        <v>815202</v>
      </c>
    </row>
    <row r="14" spans="1:14" x14ac:dyDescent="0.2">
      <c r="A14" s="1501" t="s">
        <v>963</v>
      </c>
      <c r="B14" s="611">
        <v>1500</v>
      </c>
      <c r="C14" s="466">
        <v>400602</v>
      </c>
      <c r="D14" s="466">
        <v>14709</v>
      </c>
      <c r="E14" s="466">
        <v>71058</v>
      </c>
      <c r="F14" s="466">
        <v>85368</v>
      </c>
      <c r="G14" s="466">
        <v>51293</v>
      </c>
      <c r="H14" s="466">
        <v>41672</v>
      </c>
      <c r="I14" s="467">
        <v>2056</v>
      </c>
      <c r="J14" s="467">
        <v>0</v>
      </c>
      <c r="K14" s="1668">
        <f t="shared" si="0"/>
        <v>666758</v>
      </c>
      <c r="L14" s="471">
        <v>687961</v>
      </c>
    </row>
    <row r="15" spans="1:14" x14ac:dyDescent="0.2">
      <c r="A15" s="1501" t="s">
        <v>964</v>
      </c>
      <c r="B15" s="611">
        <v>1600</v>
      </c>
      <c r="C15" s="467">
        <v>4621</v>
      </c>
      <c r="D15" s="466">
        <v>566</v>
      </c>
      <c r="E15" s="466">
        <v>0</v>
      </c>
      <c r="F15" s="466">
        <v>0</v>
      </c>
      <c r="G15" s="466">
        <v>0</v>
      </c>
      <c r="H15" s="466">
        <v>0</v>
      </c>
      <c r="I15" s="467">
        <v>0</v>
      </c>
      <c r="J15" s="467">
        <v>0</v>
      </c>
      <c r="K15" s="1668">
        <f t="shared" si="0"/>
        <v>5187</v>
      </c>
      <c r="L15" s="471">
        <v>5549</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80941</v>
      </c>
      <c r="D17" s="467">
        <v>15496</v>
      </c>
      <c r="E17" s="467">
        <v>7354</v>
      </c>
      <c r="F17" s="467">
        <v>1382</v>
      </c>
      <c r="G17" s="467">
        <v>0</v>
      </c>
      <c r="H17" s="467">
        <v>0</v>
      </c>
      <c r="I17" s="467">
        <v>0</v>
      </c>
      <c r="J17" s="467">
        <v>0</v>
      </c>
      <c r="K17" s="1668">
        <f t="shared" si="0"/>
        <v>105173</v>
      </c>
      <c r="L17" s="471">
        <v>110600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70676</v>
      </c>
      <c r="D19" s="466">
        <v>18119</v>
      </c>
      <c r="E19" s="466">
        <v>0</v>
      </c>
      <c r="F19" s="466">
        <v>505</v>
      </c>
      <c r="G19" s="466">
        <v>0</v>
      </c>
      <c r="H19" s="466">
        <v>0</v>
      </c>
      <c r="I19" s="467">
        <v>0</v>
      </c>
      <c r="J19" s="467">
        <v>0</v>
      </c>
      <c r="K19" s="1668">
        <f t="shared" si="0"/>
        <v>89300</v>
      </c>
      <c r="L19" s="471">
        <v>101363</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688329</v>
      </c>
      <c r="I22" s="613"/>
      <c r="J22" s="475"/>
      <c r="K22" s="1668">
        <f t="shared" si="0"/>
        <v>688329</v>
      </c>
      <c r="L22" s="471">
        <v>690085</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4852063</v>
      </c>
      <c r="D33" s="1667">
        <f t="shared" ref="D33:L33" si="1">SUM(D5:D32)</f>
        <v>841225</v>
      </c>
      <c r="E33" s="1667">
        <f t="shared" si="1"/>
        <v>108906</v>
      </c>
      <c r="F33" s="1667">
        <f t="shared" si="1"/>
        <v>298109</v>
      </c>
      <c r="G33" s="1667">
        <f t="shared" si="1"/>
        <v>118430</v>
      </c>
      <c r="H33" s="1667">
        <f t="shared" si="1"/>
        <v>734677</v>
      </c>
      <c r="I33" s="1667">
        <f t="shared" si="1"/>
        <v>8684</v>
      </c>
      <c r="J33" s="1667">
        <f t="shared" si="1"/>
        <v>0</v>
      </c>
      <c r="K33" s="1667">
        <f t="shared" si="1"/>
        <v>6962094</v>
      </c>
      <c r="L33" s="1667">
        <f t="shared" si="1"/>
        <v>7200475</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183653</v>
      </c>
      <c r="D36" s="479">
        <v>15980</v>
      </c>
      <c r="E36" s="479">
        <v>0</v>
      </c>
      <c r="F36" s="479">
        <v>0</v>
      </c>
      <c r="G36" s="479">
        <v>0</v>
      </c>
      <c r="H36" s="479">
        <v>0</v>
      </c>
      <c r="I36" s="467">
        <v>0</v>
      </c>
      <c r="J36" s="467">
        <v>0</v>
      </c>
      <c r="K36" s="1668">
        <f t="shared" ref="K36:K41" si="2">SUM(C36:J36)</f>
        <v>199633</v>
      </c>
      <c r="L36" s="466">
        <v>200482</v>
      </c>
    </row>
    <row r="37" spans="1:14" x14ac:dyDescent="0.2">
      <c r="A37" s="1501" t="s">
        <v>1090</v>
      </c>
      <c r="B37" s="611">
        <v>2120</v>
      </c>
      <c r="C37" s="466">
        <v>238886</v>
      </c>
      <c r="D37" s="466">
        <v>30646</v>
      </c>
      <c r="E37" s="466">
        <v>2601</v>
      </c>
      <c r="F37" s="466">
        <v>4345</v>
      </c>
      <c r="G37" s="466">
        <v>0</v>
      </c>
      <c r="H37" s="466">
        <v>14</v>
      </c>
      <c r="I37" s="467">
        <v>0</v>
      </c>
      <c r="J37" s="467">
        <v>0</v>
      </c>
      <c r="K37" s="1668">
        <f t="shared" si="2"/>
        <v>276492</v>
      </c>
      <c r="L37" s="466">
        <v>283893</v>
      </c>
    </row>
    <row r="38" spans="1:14" x14ac:dyDescent="0.2">
      <c r="A38" s="1501" t="s">
        <v>198</v>
      </c>
      <c r="B38" s="611">
        <v>2130</v>
      </c>
      <c r="C38" s="466">
        <v>16003</v>
      </c>
      <c r="D38" s="466">
        <v>8579</v>
      </c>
      <c r="E38" s="466">
        <v>112</v>
      </c>
      <c r="F38" s="466">
        <v>1457</v>
      </c>
      <c r="G38" s="466">
        <v>0</v>
      </c>
      <c r="H38" s="466">
        <v>0</v>
      </c>
      <c r="I38" s="467">
        <v>0</v>
      </c>
      <c r="J38" s="467">
        <v>0</v>
      </c>
      <c r="K38" s="1668">
        <f t="shared" si="2"/>
        <v>26151</v>
      </c>
      <c r="L38" s="466">
        <v>25649</v>
      </c>
    </row>
    <row r="39" spans="1:14" x14ac:dyDescent="0.2">
      <c r="A39" s="1501" t="s">
        <v>199</v>
      </c>
      <c r="B39" s="611">
        <v>2140</v>
      </c>
      <c r="C39" s="466">
        <v>42088</v>
      </c>
      <c r="D39" s="466">
        <v>0</v>
      </c>
      <c r="E39" s="466">
        <v>0</v>
      </c>
      <c r="F39" s="466">
        <v>0</v>
      </c>
      <c r="G39" s="466">
        <v>0</v>
      </c>
      <c r="H39" s="466">
        <v>0</v>
      </c>
      <c r="I39" s="467">
        <v>0</v>
      </c>
      <c r="J39" s="467">
        <v>0</v>
      </c>
      <c r="K39" s="1668">
        <f t="shared" si="2"/>
        <v>42088</v>
      </c>
      <c r="L39" s="466">
        <v>48100</v>
      </c>
    </row>
    <row r="40" spans="1:14" x14ac:dyDescent="0.2">
      <c r="A40" s="1501" t="s">
        <v>200</v>
      </c>
      <c r="B40" s="611">
        <v>2150</v>
      </c>
      <c r="C40" s="466">
        <v>49817</v>
      </c>
      <c r="D40" s="466">
        <v>1174</v>
      </c>
      <c r="E40" s="466">
        <v>0</v>
      </c>
      <c r="F40" s="466">
        <v>0</v>
      </c>
      <c r="G40" s="466">
        <v>0</v>
      </c>
      <c r="H40" s="466">
        <v>0</v>
      </c>
      <c r="I40" s="467">
        <v>0</v>
      </c>
      <c r="J40" s="467">
        <v>0</v>
      </c>
      <c r="K40" s="1668">
        <f t="shared" si="2"/>
        <v>50991</v>
      </c>
      <c r="L40" s="466">
        <v>51017</v>
      </c>
    </row>
    <row r="41" spans="1:14" x14ac:dyDescent="0.2">
      <c r="A41" s="1501" t="s">
        <v>1669</v>
      </c>
      <c r="B41" s="611">
        <v>2190</v>
      </c>
      <c r="C41" s="466">
        <v>40085</v>
      </c>
      <c r="D41" s="466">
        <v>3753</v>
      </c>
      <c r="E41" s="466">
        <v>0</v>
      </c>
      <c r="F41" s="466">
        <v>0</v>
      </c>
      <c r="G41" s="466">
        <v>0</v>
      </c>
      <c r="H41" s="466">
        <v>0</v>
      </c>
      <c r="I41" s="467">
        <v>0</v>
      </c>
      <c r="J41" s="467">
        <v>0</v>
      </c>
      <c r="K41" s="1668">
        <f t="shared" si="2"/>
        <v>43838</v>
      </c>
      <c r="L41" s="466">
        <v>43927</v>
      </c>
    </row>
    <row r="42" spans="1:14" ht="12.75" customHeight="1" thickBot="1" x14ac:dyDescent="0.25">
      <c r="A42" s="1665" t="s">
        <v>560</v>
      </c>
      <c r="B42" s="1666" t="s">
        <v>716</v>
      </c>
      <c r="C42" s="1667">
        <f>SUM(C36:C41)</f>
        <v>570532</v>
      </c>
      <c r="D42" s="1667">
        <f t="shared" ref="D42:L42" si="3">SUM(D36:D41)</f>
        <v>60132</v>
      </c>
      <c r="E42" s="1667">
        <f t="shared" si="3"/>
        <v>2713</v>
      </c>
      <c r="F42" s="1667">
        <f t="shared" si="3"/>
        <v>5802</v>
      </c>
      <c r="G42" s="1667">
        <f t="shared" si="3"/>
        <v>0</v>
      </c>
      <c r="H42" s="1667">
        <f t="shared" si="3"/>
        <v>14</v>
      </c>
      <c r="I42" s="1667">
        <f t="shared" si="3"/>
        <v>0</v>
      </c>
      <c r="J42" s="1667">
        <f t="shared" si="3"/>
        <v>0</v>
      </c>
      <c r="K42" s="1667">
        <f t="shared" si="3"/>
        <v>639193</v>
      </c>
      <c r="L42" s="1667">
        <f t="shared" si="3"/>
        <v>653068</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14418</v>
      </c>
      <c r="D44" s="479">
        <v>1529</v>
      </c>
      <c r="E44" s="479">
        <v>37403</v>
      </c>
      <c r="F44" s="479">
        <v>0</v>
      </c>
      <c r="G44" s="479">
        <v>0</v>
      </c>
      <c r="H44" s="479">
        <v>0</v>
      </c>
      <c r="I44" s="467">
        <v>0</v>
      </c>
      <c r="J44" s="467">
        <v>0</v>
      </c>
      <c r="K44" s="1669">
        <f>SUM(C44:J44)</f>
        <v>53350</v>
      </c>
      <c r="L44" s="479">
        <v>66673</v>
      </c>
    </row>
    <row r="45" spans="1:14" x14ac:dyDescent="0.2">
      <c r="A45" s="1501" t="s">
        <v>815</v>
      </c>
      <c r="B45" s="611">
        <v>2220</v>
      </c>
      <c r="C45" s="466">
        <v>151233</v>
      </c>
      <c r="D45" s="466">
        <v>15960</v>
      </c>
      <c r="E45" s="466">
        <v>6018</v>
      </c>
      <c r="F45" s="466">
        <v>99463</v>
      </c>
      <c r="G45" s="466">
        <v>6652</v>
      </c>
      <c r="H45" s="466">
        <v>58812</v>
      </c>
      <c r="I45" s="467">
        <v>14576</v>
      </c>
      <c r="J45" s="467">
        <v>0</v>
      </c>
      <c r="K45" s="1669">
        <f>SUM(C45:J45)</f>
        <v>352714</v>
      </c>
      <c r="L45" s="466">
        <v>434643</v>
      </c>
    </row>
    <row r="46" spans="1:14" x14ac:dyDescent="0.2">
      <c r="A46" s="1501" t="s">
        <v>816</v>
      </c>
      <c r="B46" s="611">
        <v>2230</v>
      </c>
      <c r="C46" s="466">
        <v>0</v>
      </c>
      <c r="D46" s="466">
        <v>0</v>
      </c>
      <c r="E46" s="466">
        <v>3455</v>
      </c>
      <c r="F46" s="466">
        <v>728</v>
      </c>
      <c r="G46" s="466">
        <v>0</v>
      </c>
      <c r="H46" s="466">
        <v>0</v>
      </c>
      <c r="I46" s="467">
        <v>0</v>
      </c>
      <c r="J46" s="467">
        <v>0</v>
      </c>
      <c r="K46" s="1669">
        <f>SUM(C46:J46)</f>
        <v>4183</v>
      </c>
      <c r="L46" s="466">
        <v>5105</v>
      </c>
    </row>
    <row r="47" spans="1:14" ht="12.75" customHeight="1" thickBot="1" x14ac:dyDescent="0.25">
      <c r="A47" s="1665" t="s">
        <v>561</v>
      </c>
      <c r="B47" s="1666" t="s">
        <v>32</v>
      </c>
      <c r="C47" s="1667">
        <f>SUM(C44:C46)</f>
        <v>165651</v>
      </c>
      <c r="D47" s="1667">
        <f t="shared" ref="D47:K47" si="4">SUM(D44:D46)</f>
        <v>17489</v>
      </c>
      <c r="E47" s="1667">
        <f t="shared" si="4"/>
        <v>46876</v>
      </c>
      <c r="F47" s="1667">
        <f t="shared" si="4"/>
        <v>100191</v>
      </c>
      <c r="G47" s="1667">
        <f t="shared" si="4"/>
        <v>6652</v>
      </c>
      <c r="H47" s="1667">
        <f t="shared" si="4"/>
        <v>58812</v>
      </c>
      <c r="I47" s="1667">
        <f t="shared" si="4"/>
        <v>14576</v>
      </c>
      <c r="J47" s="1667">
        <f t="shared" si="4"/>
        <v>0</v>
      </c>
      <c r="K47" s="1667">
        <f t="shared" si="4"/>
        <v>410247</v>
      </c>
      <c r="L47" s="1667">
        <f>SUM(L44:L46)</f>
        <v>506421</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41822</v>
      </c>
      <c r="F49" s="479">
        <v>223</v>
      </c>
      <c r="G49" s="479">
        <v>0</v>
      </c>
      <c r="H49" s="479">
        <v>11330</v>
      </c>
      <c r="I49" s="467">
        <v>0</v>
      </c>
      <c r="J49" s="467">
        <v>0</v>
      </c>
      <c r="K49" s="1669">
        <f>SUM(C49:J49)</f>
        <v>53375</v>
      </c>
      <c r="L49" s="479">
        <v>55877</v>
      </c>
    </row>
    <row r="50" spans="1:14" x14ac:dyDescent="0.2">
      <c r="A50" s="1501" t="s">
        <v>818</v>
      </c>
      <c r="B50" s="611">
        <v>2320</v>
      </c>
      <c r="C50" s="467">
        <v>167145</v>
      </c>
      <c r="D50" s="466">
        <v>26025</v>
      </c>
      <c r="E50" s="466">
        <v>23</v>
      </c>
      <c r="F50" s="466">
        <v>0</v>
      </c>
      <c r="G50" s="466">
        <v>0</v>
      </c>
      <c r="H50" s="466">
        <v>3590</v>
      </c>
      <c r="I50" s="467">
        <v>0</v>
      </c>
      <c r="J50" s="467">
        <v>0</v>
      </c>
      <c r="K50" s="1669">
        <f>SUM(C50:J50)</f>
        <v>196783</v>
      </c>
      <c r="L50" s="466">
        <v>197238</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167145</v>
      </c>
      <c r="D53" s="1667">
        <f t="shared" ref="D53:L53" si="5">SUM(D49:D52)</f>
        <v>26025</v>
      </c>
      <c r="E53" s="1667">
        <f t="shared" si="5"/>
        <v>41845</v>
      </c>
      <c r="F53" s="1667">
        <f t="shared" si="5"/>
        <v>223</v>
      </c>
      <c r="G53" s="1667">
        <f t="shared" si="5"/>
        <v>0</v>
      </c>
      <c r="H53" s="1667">
        <f t="shared" si="5"/>
        <v>14920</v>
      </c>
      <c r="I53" s="1667">
        <f t="shared" si="5"/>
        <v>0</v>
      </c>
      <c r="J53" s="1667">
        <f t="shared" si="5"/>
        <v>0</v>
      </c>
      <c r="K53" s="1667">
        <f t="shared" si="5"/>
        <v>250158</v>
      </c>
      <c r="L53" s="1667">
        <f t="shared" si="5"/>
        <v>253115</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193893</v>
      </c>
      <c r="D55" s="479">
        <v>47585</v>
      </c>
      <c r="E55" s="479">
        <v>0</v>
      </c>
      <c r="F55" s="479">
        <v>1249</v>
      </c>
      <c r="G55" s="479">
        <v>0</v>
      </c>
      <c r="H55" s="479">
        <v>1040</v>
      </c>
      <c r="I55" s="467">
        <v>0</v>
      </c>
      <c r="J55" s="467">
        <v>0</v>
      </c>
      <c r="K55" s="1669">
        <f>SUM(C55:J55)</f>
        <v>243767</v>
      </c>
      <c r="L55" s="479">
        <v>244257</v>
      </c>
    </row>
    <row r="56" spans="1:14" ht="12.75" customHeight="1" x14ac:dyDescent="0.2">
      <c r="A56" s="1505" t="s">
        <v>376</v>
      </c>
      <c r="B56" s="625">
        <v>2490</v>
      </c>
      <c r="C56" s="466">
        <v>0</v>
      </c>
      <c r="D56" s="466">
        <v>0</v>
      </c>
      <c r="E56" s="466">
        <v>1350</v>
      </c>
      <c r="F56" s="466">
        <v>546</v>
      </c>
      <c r="G56" s="466">
        <v>0</v>
      </c>
      <c r="H56" s="466">
        <v>0</v>
      </c>
      <c r="I56" s="467">
        <v>0</v>
      </c>
      <c r="J56" s="467">
        <v>0</v>
      </c>
      <c r="K56" s="1669">
        <f>SUM(C56:J56)</f>
        <v>1896</v>
      </c>
      <c r="L56" s="466">
        <v>3195</v>
      </c>
    </row>
    <row r="57" spans="1:14" s="343" customFormat="1" ht="12.75" customHeight="1" thickBot="1" x14ac:dyDescent="0.25">
      <c r="A57" s="1665" t="s">
        <v>263</v>
      </c>
      <c r="B57" s="1670" t="s">
        <v>34</v>
      </c>
      <c r="C57" s="1671">
        <f>SUM(C55:C56)</f>
        <v>193893</v>
      </c>
      <c r="D57" s="1671">
        <f t="shared" ref="D57:K57" si="6">SUM(D55:D56)</f>
        <v>47585</v>
      </c>
      <c r="E57" s="1671">
        <f t="shared" si="6"/>
        <v>1350</v>
      </c>
      <c r="F57" s="1671">
        <f t="shared" si="6"/>
        <v>1795</v>
      </c>
      <c r="G57" s="1671">
        <f t="shared" si="6"/>
        <v>0</v>
      </c>
      <c r="H57" s="1671">
        <f t="shared" si="6"/>
        <v>1040</v>
      </c>
      <c r="I57" s="1671">
        <f t="shared" si="6"/>
        <v>0</v>
      </c>
      <c r="J57" s="1671">
        <f t="shared" si="6"/>
        <v>0</v>
      </c>
      <c r="K57" s="1671">
        <f t="shared" si="6"/>
        <v>245663</v>
      </c>
      <c r="L57" s="1667">
        <f>SUM(L55:L56)</f>
        <v>247452</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100693</v>
      </c>
      <c r="D60" s="466">
        <v>15031</v>
      </c>
      <c r="E60" s="466">
        <v>16575</v>
      </c>
      <c r="F60" s="466">
        <v>75</v>
      </c>
      <c r="G60" s="466">
        <v>0</v>
      </c>
      <c r="H60" s="466">
        <v>0</v>
      </c>
      <c r="I60" s="467">
        <v>0</v>
      </c>
      <c r="J60" s="467">
        <v>0</v>
      </c>
      <c r="K60" s="1669">
        <f t="shared" si="7"/>
        <v>132374</v>
      </c>
      <c r="L60" s="466">
        <v>134969</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0</v>
      </c>
      <c r="D63" s="466">
        <v>0</v>
      </c>
      <c r="E63" s="466">
        <v>365460</v>
      </c>
      <c r="F63" s="466">
        <v>0</v>
      </c>
      <c r="G63" s="466">
        <v>0</v>
      </c>
      <c r="H63" s="466">
        <v>0</v>
      </c>
      <c r="I63" s="467">
        <v>0</v>
      </c>
      <c r="J63" s="467">
        <v>0</v>
      </c>
      <c r="K63" s="1669">
        <f t="shared" si="7"/>
        <v>365460</v>
      </c>
      <c r="L63" s="466">
        <v>380250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100693</v>
      </c>
      <c r="D65" s="1667">
        <f t="shared" ref="D65:L65" si="8">SUM(D59:D64)</f>
        <v>15031</v>
      </c>
      <c r="E65" s="1667">
        <f t="shared" si="8"/>
        <v>382035</v>
      </c>
      <c r="F65" s="1667">
        <f t="shared" si="8"/>
        <v>75</v>
      </c>
      <c r="G65" s="1667">
        <f t="shared" si="8"/>
        <v>0</v>
      </c>
      <c r="H65" s="1667">
        <f t="shared" si="8"/>
        <v>0</v>
      </c>
      <c r="I65" s="1667">
        <f t="shared" si="8"/>
        <v>0</v>
      </c>
      <c r="J65" s="1667">
        <f t="shared" si="8"/>
        <v>0</v>
      </c>
      <c r="K65" s="1667">
        <f t="shared" si="8"/>
        <v>497834</v>
      </c>
      <c r="L65" s="1667">
        <f t="shared" si="8"/>
        <v>515219</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10978</v>
      </c>
      <c r="D73" s="467">
        <v>0</v>
      </c>
      <c r="E73" s="467">
        <v>0</v>
      </c>
      <c r="F73" s="467">
        <v>0</v>
      </c>
      <c r="G73" s="467">
        <v>0</v>
      </c>
      <c r="H73" s="467">
        <v>0</v>
      </c>
      <c r="I73" s="467">
        <v>0</v>
      </c>
      <c r="J73" s="467">
        <v>0</v>
      </c>
      <c r="K73" s="1667">
        <f>SUM(C73:J73)</f>
        <v>10978</v>
      </c>
      <c r="L73" s="573">
        <v>12000</v>
      </c>
      <c r="M73" s="606"/>
      <c r="N73" s="606"/>
    </row>
    <row r="74" spans="1:14" ht="12.75" customHeight="1" thickTop="1" thickBot="1" x14ac:dyDescent="0.25">
      <c r="A74" s="1665" t="s">
        <v>811</v>
      </c>
      <c r="B74" s="1673">
        <v>2000</v>
      </c>
      <c r="C74" s="1674">
        <f>SUM(C42,C47,C53,C57,C65,C72,C73)</f>
        <v>1208892</v>
      </c>
      <c r="D74" s="1674">
        <f t="shared" ref="D74:K74" si="10">SUM(D42,D47,D53,D57,D65,D72,D73)</f>
        <v>166262</v>
      </c>
      <c r="E74" s="1674">
        <f t="shared" si="10"/>
        <v>474819</v>
      </c>
      <c r="F74" s="1674">
        <f t="shared" si="10"/>
        <v>108086</v>
      </c>
      <c r="G74" s="1674">
        <f t="shared" si="10"/>
        <v>6652</v>
      </c>
      <c r="H74" s="1674">
        <f t="shared" si="10"/>
        <v>74786</v>
      </c>
      <c r="I74" s="1674">
        <f t="shared" si="10"/>
        <v>14576</v>
      </c>
      <c r="J74" s="1674">
        <f t="shared" si="10"/>
        <v>0</v>
      </c>
      <c r="K74" s="1674">
        <f t="shared" si="10"/>
        <v>2054073</v>
      </c>
      <c r="L74" s="1674">
        <f>SUM(L42,L47,L53,L57,L65,L72,L73)</f>
        <v>2187275</v>
      </c>
    </row>
    <row r="75" spans="1:14" s="259" customFormat="1" ht="15.75" customHeight="1" thickTop="1" thickBot="1" x14ac:dyDescent="0.25">
      <c r="A75" s="1607" t="s">
        <v>47</v>
      </c>
      <c r="B75" s="1608" t="s">
        <v>575</v>
      </c>
      <c r="C75" s="467">
        <v>0</v>
      </c>
      <c r="D75" s="467">
        <v>0</v>
      </c>
      <c r="E75" s="467">
        <v>0</v>
      </c>
      <c r="F75" s="467">
        <v>1941</v>
      </c>
      <c r="G75" s="467">
        <v>0</v>
      </c>
      <c r="H75" s="467">
        <v>0</v>
      </c>
      <c r="I75" s="467">
        <v>0</v>
      </c>
      <c r="J75" s="467">
        <v>0</v>
      </c>
      <c r="K75" s="1667">
        <f>SUM(C75:J75)</f>
        <v>1941</v>
      </c>
      <c r="L75" s="573">
        <v>5000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45664</v>
      </c>
      <c r="F79" s="613"/>
      <c r="G79" s="613"/>
      <c r="H79" s="466">
        <v>0</v>
      </c>
      <c r="I79" s="475"/>
      <c r="J79" s="475"/>
      <c r="K79" s="1668">
        <f t="shared" si="11"/>
        <v>45664</v>
      </c>
      <c r="L79" s="466">
        <v>45800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335</v>
      </c>
      <c r="I83" s="475"/>
      <c r="J83" s="475"/>
      <c r="K83" s="1668">
        <f t="shared" si="11"/>
        <v>335</v>
      </c>
      <c r="L83" s="466">
        <v>335</v>
      </c>
    </row>
    <row r="84" spans="1:12" ht="13.5" thickBot="1" x14ac:dyDescent="0.25">
      <c r="A84" s="1665" t="s">
        <v>1485</v>
      </c>
      <c r="B84" s="1675">
        <v>4100</v>
      </c>
      <c r="C84" s="613"/>
      <c r="D84" s="613"/>
      <c r="E84" s="1667">
        <f>SUM(E78:E83)</f>
        <v>45664</v>
      </c>
      <c r="F84" s="613"/>
      <c r="G84" s="613"/>
      <c r="H84" s="1667">
        <f>SUM(H78:H83)</f>
        <v>335</v>
      </c>
      <c r="I84" s="475"/>
      <c r="J84" s="475"/>
      <c r="K84" s="1667">
        <f>SUM(K78:K83)</f>
        <v>45999</v>
      </c>
      <c r="L84" s="1667">
        <f>SUM(L78:L83)</f>
        <v>46135</v>
      </c>
    </row>
    <row r="85" spans="1:12" ht="12.75" customHeight="1" thickTop="1" thickBot="1" x14ac:dyDescent="0.25">
      <c r="A85" s="1508" t="s">
        <v>255</v>
      </c>
      <c r="B85" s="632">
        <v>4210</v>
      </c>
      <c r="C85" s="613"/>
      <c r="D85" s="613"/>
      <c r="E85" s="633"/>
      <c r="F85" s="613"/>
      <c r="G85" s="613"/>
      <c r="H85" s="532">
        <v>21299</v>
      </c>
      <c r="I85" s="475"/>
      <c r="J85" s="475"/>
      <c r="K85" s="1674">
        <f>H85</f>
        <v>21299</v>
      </c>
      <c r="L85" s="527">
        <v>21500</v>
      </c>
    </row>
    <row r="86" spans="1:12" ht="12.75" customHeight="1" thickTop="1" thickBot="1" x14ac:dyDescent="0.25">
      <c r="A86" s="1509" t="s">
        <v>699</v>
      </c>
      <c r="B86" s="634">
        <v>4220</v>
      </c>
      <c r="C86" s="613"/>
      <c r="D86" s="613"/>
      <c r="E86" s="635"/>
      <c r="F86" s="613"/>
      <c r="G86" s="613"/>
      <c r="H86" s="467">
        <v>163152</v>
      </c>
      <c r="I86" s="475"/>
      <c r="J86" s="475"/>
      <c r="K86" s="1674">
        <f t="shared" ref="K86:K98" si="12">H86</f>
        <v>163152</v>
      </c>
      <c r="L86" s="527">
        <v>133650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184451</v>
      </c>
      <c r="I92" s="475"/>
      <c r="J92" s="475"/>
      <c r="K92" s="1674">
        <f t="shared" si="12"/>
        <v>184451</v>
      </c>
      <c r="L92" s="1667">
        <f>SUM(L85:L91)</f>
        <v>155150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45664</v>
      </c>
      <c r="F102" s="613"/>
      <c r="G102" s="613"/>
      <c r="H102" s="1674">
        <f>SUM(H84,H92,H100,H101)</f>
        <v>184786</v>
      </c>
      <c r="I102" s="475"/>
      <c r="J102" s="475"/>
      <c r="K102" s="1674">
        <f>SUM(K84,K92,K100,K101)</f>
        <v>230450</v>
      </c>
      <c r="L102" s="1674">
        <f>SUM(L84,L92,L100,L101)</f>
        <v>201285</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6060955</v>
      </c>
      <c r="D114" s="1667">
        <f t="shared" ref="D114:K114" si="13">SUM(D33,D74,D75,D102,D112,D113)</f>
        <v>1007487</v>
      </c>
      <c r="E114" s="1667">
        <f t="shared" si="13"/>
        <v>629389</v>
      </c>
      <c r="F114" s="1667">
        <f t="shared" si="13"/>
        <v>408136</v>
      </c>
      <c r="G114" s="1667">
        <f t="shared" si="13"/>
        <v>125082</v>
      </c>
      <c r="H114" s="1667">
        <f>SUM(H33,H74,H75,H102,H112,H113)</f>
        <v>994249</v>
      </c>
      <c r="I114" s="1667">
        <f t="shared" si="13"/>
        <v>23260</v>
      </c>
      <c r="J114" s="1667">
        <f t="shared" si="13"/>
        <v>0</v>
      </c>
      <c r="K114" s="1667">
        <f t="shared" si="13"/>
        <v>9248558</v>
      </c>
      <c r="L114" s="1667">
        <f>SUM(L33,L74,L75,L102,L112,L113)</f>
        <v>9594035</v>
      </c>
    </row>
    <row r="115" spans="1:14" ht="13.5" thickTop="1" x14ac:dyDescent="0.2">
      <c r="A115" s="2322" t="s">
        <v>996</v>
      </c>
      <c r="B115" s="2323"/>
      <c r="C115" s="615"/>
      <c r="D115" s="615"/>
      <c r="E115" s="615"/>
      <c r="F115" s="615"/>
      <c r="G115" s="615"/>
      <c r="H115" s="615"/>
      <c r="I115" s="615"/>
      <c r="J115" s="615"/>
      <c r="K115" s="1681">
        <f>'Revenues 9-14'!C268-'Expenditures 15-22'!K114</f>
        <v>468604</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327" t="s">
        <v>296</v>
      </c>
      <c r="B117" s="2328"/>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2057</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18663</v>
      </c>
      <c r="H123" s="466">
        <v>0</v>
      </c>
      <c r="I123" s="467">
        <v>0</v>
      </c>
      <c r="J123" s="467">
        <v>0</v>
      </c>
      <c r="K123" s="1667">
        <f>SUM(C123:J123)</f>
        <v>18663</v>
      </c>
      <c r="L123" s="466">
        <v>18750</v>
      </c>
    </row>
    <row r="124" spans="1:14" ht="14.25" thickTop="1" thickBot="1" x14ac:dyDescent="0.25">
      <c r="A124" s="1501" t="s">
        <v>197</v>
      </c>
      <c r="B124" s="611">
        <v>2540</v>
      </c>
      <c r="C124" s="466">
        <v>357819</v>
      </c>
      <c r="D124" s="466">
        <v>48543</v>
      </c>
      <c r="E124" s="466">
        <v>245371</v>
      </c>
      <c r="F124" s="466">
        <v>234343</v>
      </c>
      <c r="G124" s="466">
        <v>51403</v>
      </c>
      <c r="H124" s="466">
        <v>0</v>
      </c>
      <c r="I124" s="467">
        <v>1630</v>
      </c>
      <c r="J124" s="467">
        <v>0</v>
      </c>
      <c r="K124" s="1667">
        <f>SUM(C124:J124)</f>
        <v>939109</v>
      </c>
      <c r="L124" s="466">
        <v>968445</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357819</v>
      </c>
      <c r="D127" s="1667">
        <f t="shared" ref="D127:L127" si="14">SUM(D122:D126)</f>
        <v>48543</v>
      </c>
      <c r="E127" s="1667">
        <f t="shared" si="14"/>
        <v>245371</v>
      </c>
      <c r="F127" s="1667">
        <f t="shared" si="14"/>
        <v>234343</v>
      </c>
      <c r="G127" s="1667">
        <f t="shared" si="14"/>
        <v>70066</v>
      </c>
      <c r="H127" s="1667">
        <f t="shared" si="14"/>
        <v>0</v>
      </c>
      <c r="I127" s="1667">
        <f t="shared" si="14"/>
        <v>1630</v>
      </c>
      <c r="J127" s="1667">
        <f t="shared" si="14"/>
        <v>0</v>
      </c>
      <c r="K127" s="1667">
        <f t="shared" si="14"/>
        <v>957772</v>
      </c>
      <c r="L127" s="1667">
        <f t="shared" si="14"/>
        <v>987195</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357819</v>
      </c>
      <c r="D129" s="1674">
        <f t="shared" ref="D129:L129" si="15">SUM(D120,D127,D128)</f>
        <v>48543</v>
      </c>
      <c r="E129" s="1674">
        <f t="shared" si="15"/>
        <v>245371</v>
      </c>
      <c r="F129" s="1674">
        <f t="shared" si="15"/>
        <v>234343</v>
      </c>
      <c r="G129" s="1674">
        <f t="shared" si="15"/>
        <v>70066</v>
      </c>
      <c r="H129" s="1674">
        <f t="shared" si="15"/>
        <v>0</v>
      </c>
      <c r="I129" s="1674">
        <f t="shared" si="15"/>
        <v>1630</v>
      </c>
      <c r="J129" s="1674">
        <f t="shared" si="15"/>
        <v>0</v>
      </c>
      <c r="K129" s="1674">
        <f t="shared" si="15"/>
        <v>957772</v>
      </c>
      <c r="L129" s="1674">
        <f t="shared" si="15"/>
        <v>987195</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1842</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339" t="s">
        <v>620</v>
      </c>
      <c r="B151" s="2319"/>
      <c r="C151" s="1667">
        <f>SUM(C129,C130,C139,C149,C150)</f>
        <v>357819</v>
      </c>
      <c r="D151" s="1667">
        <f t="shared" ref="D151:K151" si="16">SUM(D129,D130,D139,D149,D150)</f>
        <v>48543</v>
      </c>
      <c r="E151" s="1667">
        <f t="shared" si="16"/>
        <v>245371</v>
      </c>
      <c r="F151" s="1667">
        <f t="shared" si="16"/>
        <v>234343</v>
      </c>
      <c r="G151" s="1667">
        <f t="shared" si="16"/>
        <v>70066</v>
      </c>
      <c r="H151" s="1667">
        <f t="shared" si="16"/>
        <v>0</v>
      </c>
      <c r="I151" s="1667">
        <f t="shared" si="16"/>
        <v>1630</v>
      </c>
      <c r="J151" s="1667">
        <f t="shared" si="16"/>
        <v>0</v>
      </c>
      <c r="K151" s="1667">
        <f t="shared" si="16"/>
        <v>957772</v>
      </c>
      <c r="L151" s="1667">
        <f>SUM(L129,L130,L139,L149,L150)</f>
        <v>987195</v>
      </c>
    </row>
    <row r="152" spans="1:14" ht="12.75" customHeight="1" thickTop="1" x14ac:dyDescent="0.2">
      <c r="A152" s="2342" t="s">
        <v>1178</v>
      </c>
      <c r="B152" s="2343"/>
      <c r="C152" s="615"/>
      <c r="D152" s="615"/>
      <c r="E152" s="615"/>
      <c r="F152" s="615"/>
      <c r="G152" s="615"/>
      <c r="H152" s="615"/>
      <c r="I152" s="615"/>
      <c r="J152" s="613"/>
      <c r="K152" s="1681">
        <f>'Revenues 9-14'!D268-'Expenditures 15-22'!K151</f>
        <v>135044</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327" t="s">
        <v>621</v>
      </c>
      <c r="B154" s="2329"/>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1843</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1842</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1844</v>
      </c>
      <c r="C158" s="613"/>
      <c r="D158" s="613"/>
      <c r="E158" s="613"/>
      <c r="F158" s="613"/>
      <c r="G158" s="613"/>
      <c r="H158" s="467">
        <v>0</v>
      </c>
      <c r="I158" s="613"/>
      <c r="J158" s="613"/>
      <c r="K158" s="1668">
        <f>H158</f>
        <v>0</v>
      </c>
      <c r="L158" s="467">
        <v>0</v>
      </c>
      <c r="M158" s="616"/>
      <c r="N158" s="616"/>
    </row>
    <row r="159" spans="1:14" s="617" customFormat="1" ht="12" x14ac:dyDescent="0.2">
      <c r="A159" s="1823" t="s">
        <v>1845</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1846</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102372</v>
      </c>
      <c r="I169" s="613"/>
      <c r="J169" s="613"/>
      <c r="K169" s="1668">
        <f>SUM(C169:H169)</f>
        <v>102372</v>
      </c>
      <c r="L169" s="653">
        <v>101190</v>
      </c>
    </row>
    <row r="170" spans="1:14" ht="33.75" customHeight="1" x14ac:dyDescent="0.2">
      <c r="A170" s="666" t="s">
        <v>1670</v>
      </c>
      <c r="B170" s="668" t="s">
        <v>31</v>
      </c>
      <c r="C170" s="613"/>
      <c r="D170" s="613"/>
      <c r="E170" s="613"/>
      <c r="F170" s="613"/>
      <c r="G170" s="613"/>
      <c r="H170" s="566">
        <v>841939</v>
      </c>
      <c r="I170" s="613"/>
      <c r="J170" s="613"/>
      <c r="K170" s="1668">
        <f>SUM(C170:J170)</f>
        <v>841939</v>
      </c>
      <c r="L170" s="566">
        <v>843482</v>
      </c>
    </row>
    <row r="171" spans="1:14" ht="15.75" customHeight="1" x14ac:dyDescent="0.2">
      <c r="A171" s="618" t="s">
        <v>766</v>
      </c>
      <c r="B171" s="669" t="s">
        <v>84</v>
      </c>
      <c r="C171" s="613"/>
      <c r="D171" s="613"/>
      <c r="E171" s="466">
        <v>0</v>
      </c>
      <c r="F171" s="613"/>
      <c r="G171" s="613"/>
      <c r="H171" s="566">
        <v>500</v>
      </c>
      <c r="I171" s="475"/>
      <c r="J171" s="613"/>
      <c r="K171" s="1668">
        <f>SUM(C171:J171)</f>
        <v>500</v>
      </c>
      <c r="L171" s="566">
        <v>500</v>
      </c>
    </row>
    <row r="172" spans="1:14" ht="12.75" customHeight="1" thickBot="1" x14ac:dyDescent="0.25">
      <c r="A172" s="1665" t="s">
        <v>638</v>
      </c>
      <c r="B172" s="1666" t="s">
        <v>492</v>
      </c>
      <c r="C172" s="613"/>
      <c r="D172" s="613"/>
      <c r="E172" s="1674">
        <f>SUM(E168,E169,E170,E171)</f>
        <v>0</v>
      </c>
      <c r="F172" s="613"/>
      <c r="G172" s="613"/>
      <c r="H172" s="1674">
        <f>SUM(H168,H169,H170,H171)</f>
        <v>944811</v>
      </c>
      <c r="I172" s="635"/>
      <c r="J172" s="613"/>
      <c r="K172" s="1674">
        <f>SUM(K168,K169,K170,K171)</f>
        <v>944811</v>
      </c>
      <c r="L172" s="1674">
        <f>SUM(L168,L169,L170,L171)</f>
        <v>945172</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944811</v>
      </c>
      <c r="I174" s="635"/>
      <c r="J174" s="613"/>
      <c r="K174" s="1674">
        <f>SUM(K160,K172,K173)</f>
        <v>944811</v>
      </c>
      <c r="L174" s="1674">
        <f>SUM(L160,L172,L173)</f>
        <v>945172</v>
      </c>
    </row>
    <row r="175" spans="1:14" ht="13.5" thickTop="1" x14ac:dyDescent="0.2">
      <c r="A175" s="2322" t="s">
        <v>996</v>
      </c>
      <c r="B175" s="2323"/>
      <c r="C175" s="613"/>
      <c r="D175" s="613"/>
      <c r="E175" s="613"/>
      <c r="F175" s="613"/>
      <c r="G175" s="613"/>
      <c r="H175" s="615"/>
      <c r="I175" s="613"/>
      <c r="J175" s="613"/>
      <c r="K175" s="1681">
        <f>'Revenues 9-14'!E268-'Expenditures 15-22'!K174</f>
        <v>-66717</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2057</v>
      </c>
      <c r="B180" s="611" t="s">
        <v>716</v>
      </c>
      <c r="C180" s="466">
        <v>0</v>
      </c>
      <c r="D180" s="466">
        <v>0</v>
      </c>
      <c r="E180" s="466">
        <v>0</v>
      </c>
      <c r="F180" s="466">
        <v>79</v>
      </c>
      <c r="G180" s="466">
        <v>0</v>
      </c>
      <c r="H180" s="466">
        <v>0</v>
      </c>
      <c r="I180" s="467">
        <v>0</v>
      </c>
      <c r="J180" s="467">
        <v>0</v>
      </c>
      <c r="K180" s="1668">
        <f>SUM(C180:J180)</f>
        <v>79</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14690</v>
      </c>
      <c r="D182" s="466">
        <v>164</v>
      </c>
      <c r="E182" s="466">
        <v>579698</v>
      </c>
      <c r="F182" s="466">
        <v>50745</v>
      </c>
      <c r="G182" s="466">
        <v>52562</v>
      </c>
      <c r="H182" s="466">
        <v>0</v>
      </c>
      <c r="I182" s="467">
        <v>0</v>
      </c>
      <c r="J182" s="467">
        <v>0</v>
      </c>
      <c r="K182" s="1668">
        <f>SUM(C182:J182)</f>
        <v>697859</v>
      </c>
      <c r="L182" s="466">
        <v>700968</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14690</v>
      </c>
      <c r="D184" s="1674">
        <f t="shared" ref="D184:J184" si="17">SUM(D180,D182,D183)</f>
        <v>164</v>
      </c>
      <c r="E184" s="1674">
        <f t="shared" si="17"/>
        <v>579698</v>
      </c>
      <c r="F184" s="1674">
        <f t="shared" si="17"/>
        <v>50824</v>
      </c>
      <c r="G184" s="1674">
        <f t="shared" si="17"/>
        <v>52562</v>
      </c>
      <c r="H184" s="1674">
        <f t="shared" si="17"/>
        <v>0</v>
      </c>
      <c r="I184" s="1674">
        <f t="shared" si="17"/>
        <v>0</v>
      </c>
      <c r="J184" s="1674">
        <f t="shared" si="17"/>
        <v>0</v>
      </c>
      <c r="K184" s="1674">
        <f>SUM(K180,K182,K183)</f>
        <v>697938</v>
      </c>
      <c r="L184" s="1674">
        <f>SUM(L180, L182:L183)</f>
        <v>700968</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14690</v>
      </c>
      <c r="D210" s="1667">
        <f>SUM(D184,D185)</f>
        <v>164</v>
      </c>
      <c r="E210" s="1667">
        <f>SUM(E184,E185,E196)</f>
        <v>579698</v>
      </c>
      <c r="F210" s="1667">
        <f>SUM(F184,F185)</f>
        <v>50824</v>
      </c>
      <c r="G210" s="1667">
        <f>SUM(G184,G185)</f>
        <v>52562</v>
      </c>
      <c r="H210" s="1667">
        <f>SUM(H184,H185,H196,H208,H209)</f>
        <v>0</v>
      </c>
      <c r="I210" s="1667">
        <f>SUM(I184,I185)</f>
        <v>0</v>
      </c>
      <c r="J210" s="1667">
        <f>SUM(J184,J185)</f>
        <v>0</v>
      </c>
      <c r="K210" s="1668">
        <f>SUM(K184,K185,K196,K208,K209)</f>
        <v>697938</v>
      </c>
      <c r="L210" s="1667">
        <f>SUM(L184,L185,L196,L208,L209)</f>
        <v>700968</v>
      </c>
    </row>
    <row r="211" spans="1:14" ht="13.5" thickTop="1" x14ac:dyDescent="0.2">
      <c r="A211" s="2322" t="s">
        <v>996</v>
      </c>
      <c r="B211" s="2323"/>
      <c r="C211" s="615"/>
      <c r="D211" s="615"/>
      <c r="E211" s="615"/>
      <c r="F211" s="615"/>
      <c r="G211" s="615"/>
      <c r="H211" s="615"/>
      <c r="I211" s="613"/>
      <c r="J211" s="613"/>
      <c r="K211" s="1681">
        <f>'Revenues 9-14'!F268-'Expenditures 15-22'!K210</f>
        <v>4360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344" t="s">
        <v>965</v>
      </c>
      <c r="B213" s="2345"/>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49700</v>
      </c>
      <c r="E215" s="613"/>
      <c r="F215" s="613"/>
      <c r="G215" s="613"/>
      <c r="H215" s="613"/>
      <c r="I215" s="613"/>
      <c r="J215" s="613"/>
      <c r="K215" s="1668">
        <f>D215</f>
        <v>49700</v>
      </c>
      <c r="L215" s="466">
        <v>50634</v>
      </c>
    </row>
    <row r="216" spans="1:14" x14ac:dyDescent="0.2">
      <c r="A216" s="1501" t="s">
        <v>163</v>
      </c>
      <c r="B216" s="611" t="s">
        <v>967</v>
      </c>
      <c r="C216" s="613"/>
      <c r="D216" s="467">
        <v>0</v>
      </c>
      <c r="E216" s="613"/>
      <c r="F216" s="613"/>
      <c r="G216" s="613"/>
      <c r="H216" s="613"/>
      <c r="I216" s="613"/>
      <c r="J216" s="613"/>
      <c r="K216" s="1668">
        <f t="shared" ref="K216:K228" si="19">D216</f>
        <v>0</v>
      </c>
      <c r="L216" s="466">
        <v>3750</v>
      </c>
    </row>
    <row r="217" spans="1:14" x14ac:dyDescent="0.2">
      <c r="A217" s="1501" t="s">
        <v>164</v>
      </c>
      <c r="B217" s="611">
        <v>1200</v>
      </c>
      <c r="C217" s="613"/>
      <c r="D217" s="466">
        <v>61836</v>
      </c>
      <c r="E217" s="613"/>
      <c r="F217" s="613"/>
      <c r="G217" s="613"/>
      <c r="H217" s="613"/>
      <c r="I217" s="613"/>
      <c r="J217" s="613"/>
      <c r="K217" s="1668">
        <f t="shared" si="19"/>
        <v>61836</v>
      </c>
      <c r="L217" s="466">
        <v>70652</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8505</v>
      </c>
      <c r="E222" s="613"/>
      <c r="F222" s="613"/>
      <c r="G222" s="613"/>
      <c r="H222" s="613"/>
      <c r="I222" s="613"/>
      <c r="J222" s="613"/>
      <c r="K222" s="1668">
        <f t="shared" si="19"/>
        <v>8505</v>
      </c>
      <c r="L222" s="466">
        <v>8890</v>
      </c>
    </row>
    <row r="223" spans="1:14" x14ac:dyDescent="0.2">
      <c r="A223" s="1501" t="s">
        <v>963</v>
      </c>
      <c r="B223" s="611">
        <v>1500</v>
      </c>
      <c r="C223" s="613"/>
      <c r="D223" s="466">
        <v>14963</v>
      </c>
      <c r="E223" s="613"/>
      <c r="F223" s="613"/>
      <c r="G223" s="613"/>
      <c r="H223" s="613"/>
      <c r="I223" s="613"/>
      <c r="J223" s="613"/>
      <c r="K223" s="1668">
        <f t="shared" si="19"/>
        <v>14963</v>
      </c>
      <c r="L223" s="466">
        <v>15216</v>
      </c>
    </row>
    <row r="224" spans="1:14" x14ac:dyDescent="0.2">
      <c r="A224" s="1501" t="s">
        <v>964</v>
      </c>
      <c r="B224" s="611">
        <v>1600</v>
      </c>
      <c r="C224" s="613"/>
      <c r="D224" s="466">
        <v>67</v>
      </c>
      <c r="E224" s="613"/>
      <c r="F224" s="613"/>
      <c r="G224" s="613"/>
      <c r="H224" s="613"/>
      <c r="I224" s="613"/>
      <c r="J224" s="613"/>
      <c r="K224" s="1668">
        <f t="shared" si="19"/>
        <v>67</v>
      </c>
      <c r="L224" s="466">
        <v>65</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2007</v>
      </c>
      <c r="E226" s="613"/>
      <c r="F226" s="613"/>
      <c r="G226" s="613"/>
      <c r="H226" s="613"/>
      <c r="I226" s="613"/>
      <c r="J226" s="613"/>
      <c r="K226" s="1668">
        <f t="shared" si="19"/>
        <v>2007</v>
      </c>
      <c r="L226" s="466">
        <v>2000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6580</v>
      </c>
      <c r="E228" s="613"/>
      <c r="F228" s="613"/>
      <c r="G228" s="613"/>
      <c r="H228" s="613"/>
      <c r="I228" s="613"/>
      <c r="J228" s="613"/>
      <c r="K228" s="1668">
        <f t="shared" si="19"/>
        <v>6580</v>
      </c>
      <c r="L228" s="466">
        <v>7914</v>
      </c>
    </row>
    <row r="229" spans="1:12" ht="12.75" customHeight="1" thickBot="1" x14ac:dyDescent="0.25">
      <c r="A229" s="1665" t="s">
        <v>715</v>
      </c>
      <c r="B229" s="1672" t="s">
        <v>570</v>
      </c>
      <c r="C229" s="613"/>
      <c r="D229" s="1667">
        <f>SUM(D215:D228)</f>
        <v>143658</v>
      </c>
      <c r="E229" s="613"/>
      <c r="F229" s="613"/>
      <c r="G229" s="613"/>
      <c r="H229" s="613"/>
      <c r="I229" s="613"/>
      <c r="J229" s="613"/>
      <c r="K229" s="1667">
        <f>SUM(K215:K228)</f>
        <v>143658</v>
      </c>
      <c r="L229" s="1667">
        <f>SUM(L215:L228)</f>
        <v>159121</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8440</v>
      </c>
      <c r="E232" s="613"/>
      <c r="F232" s="613"/>
      <c r="G232" s="613"/>
      <c r="H232" s="613"/>
      <c r="I232" s="613"/>
      <c r="J232" s="613"/>
      <c r="K232" s="1668">
        <f t="shared" ref="K232:K237" si="20">D232</f>
        <v>8440</v>
      </c>
      <c r="L232" s="466">
        <v>8515</v>
      </c>
    </row>
    <row r="233" spans="1:12" x14ac:dyDescent="0.2">
      <c r="A233" s="1501" t="s">
        <v>1090</v>
      </c>
      <c r="B233" s="611">
        <v>2120</v>
      </c>
      <c r="C233" s="613"/>
      <c r="D233" s="466">
        <v>8303</v>
      </c>
      <c r="E233" s="613"/>
      <c r="F233" s="613"/>
      <c r="G233" s="613"/>
      <c r="H233" s="613"/>
      <c r="I233" s="613"/>
      <c r="J233" s="613"/>
      <c r="K233" s="1668">
        <f t="shared" si="20"/>
        <v>8303</v>
      </c>
      <c r="L233" s="466">
        <v>8510</v>
      </c>
    </row>
    <row r="234" spans="1:12" x14ac:dyDescent="0.2">
      <c r="A234" s="1501" t="s">
        <v>198</v>
      </c>
      <c r="B234" s="611">
        <v>2130</v>
      </c>
      <c r="C234" s="613"/>
      <c r="D234" s="466">
        <v>6147</v>
      </c>
      <c r="E234" s="613"/>
      <c r="F234" s="613"/>
      <c r="G234" s="613"/>
      <c r="H234" s="613"/>
      <c r="I234" s="613"/>
      <c r="J234" s="613"/>
      <c r="K234" s="1668">
        <f t="shared" si="20"/>
        <v>6147</v>
      </c>
      <c r="L234" s="466">
        <v>6178</v>
      </c>
    </row>
    <row r="235" spans="1:12" x14ac:dyDescent="0.2">
      <c r="A235" s="1501" t="s">
        <v>199</v>
      </c>
      <c r="B235" s="611">
        <v>2140</v>
      </c>
      <c r="C235" s="613"/>
      <c r="D235" s="466">
        <v>610</v>
      </c>
      <c r="E235" s="613"/>
      <c r="F235" s="613"/>
      <c r="G235" s="613"/>
      <c r="H235" s="613"/>
      <c r="I235" s="613"/>
      <c r="J235" s="613"/>
      <c r="K235" s="1668">
        <f t="shared" si="20"/>
        <v>610</v>
      </c>
      <c r="L235" s="466">
        <v>700</v>
      </c>
    </row>
    <row r="236" spans="1:12" x14ac:dyDescent="0.2">
      <c r="A236" s="1501" t="s">
        <v>200</v>
      </c>
      <c r="B236" s="611">
        <v>2150</v>
      </c>
      <c r="C236" s="613"/>
      <c r="D236" s="466">
        <v>720</v>
      </c>
      <c r="E236" s="613"/>
      <c r="F236" s="613"/>
      <c r="G236" s="613"/>
      <c r="H236" s="613"/>
      <c r="I236" s="613"/>
      <c r="J236" s="613"/>
      <c r="K236" s="1668">
        <f t="shared" si="20"/>
        <v>720</v>
      </c>
      <c r="L236" s="466">
        <v>723</v>
      </c>
    </row>
    <row r="237" spans="1:12" x14ac:dyDescent="0.2">
      <c r="A237" s="1501" t="s">
        <v>165</v>
      </c>
      <c r="B237" s="611">
        <v>2190</v>
      </c>
      <c r="C237" s="613"/>
      <c r="D237" s="466">
        <v>577</v>
      </c>
      <c r="E237" s="613"/>
      <c r="F237" s="613"/>
      <c r="G237" s="613"/>
      <c r="H237" s="613"/>
      <c r="I237" s="613"/>
      <c r="J237" s="613"/>
      <c r="K237" s="1668">
        <f t="shared" si="20"/>
        <v>577</v>
      </c>
      <c r="L237" s="466">
        <v>583</v>
      </c>
    </row>
    <row r="238" spans="1:12" ht="12.75" customHeight="1" thickBot="1" x14ac:dyDescent="0.25">
      <c r="A238" s="1665" t="s">
        <v>560</v>
      </c>
      <c r="B238" s="1672" t="s">
        <v>716</v>
      </c>
      <c r="C238" s="613"/>
      <c r="D238" s="1667">
        <f>SUM(D232:D237)</f>
        <v>24797</v>
      </c>
      <c r="E238" s="613"/>
      <c r="F238" s="613"/>
      <c r="G238" s="613"/>
      <c r="H238" s="613"/>
      <c r="I238" s="613"/>
      <c r="J238" s="613"/>
      <c r="K238" s="1667">
        <f>SUM(K232:K237)</f>
        <v>24797</v>
      </c>
      <c r="L238" s="1667">
        <f>SUM(L232:L237)</f>
        <v>25209</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201</v>
      </c>
      <c r="E240" s="613"/>
      <c r="F240" s="613"/>
      <c r="G240" s="613"/>
      <c r="H240" s="613"/>
      <c r="I240" s="613"/>
      <c r="J240" s="613"/>
      <c r="K240" s="1669">
        <f>D240</f>
        <v>201</v>
      </c>
      <c r="L240" s="479">
        <v>176</v>
      </c>
    </row>
    <row r="241" spans="1:12" x14ac:dyDescent="0.2">
      <c r="A241" s="1501" t="s">
        <v>815</v>
      </c>
      <c r="B241" s="611">
        <v>2220</v>
      </c>
      <c r="C241" s="613"/>
      <c r="D241" s="466">
        <v>8674</v>
      </c>
      <c r="E241" s="613"/>
      <c r="F241" s="613"/>
      <c r="G241" s="613"/>
      <c r="H241" s="613"/>
      <c r="I241" s="613"/>
      <c r="J241" s="613"/>
      <c r="K241" s="1669">
        <f>D241</f>
        <v>8674</v>
      </c>
      <c r="L241" s="466">
        <v>8795</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8875</v>
      </c>
      <c r="E243" s="613"/>
      <c r="F243" s="613"/>
      <c r="G243" s="613"/>
      <c r="H243" s="613"/>
      <c r="I243" s="613"/>
      <c r="J243" s="613"/>
      <c r="K243" s="1667">
        <f>SUM(K240:K242)</f>
        <v>8875</v>
      </c>
      <c r="L243" s="1667">
        <f>SUM(L240:L242)</f>
        <v>8971</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9436</v>
      </c>
      <c r="E246" s="613"/>
      <c r="F246" s="613"/>
      <c r="G246" s="613"/>
      <c r="H246" s="613"/>
      <c r="I246" s="613"/>
      <c r="J246" s="613"/>
      <c r="K246" s="1669">
        <f t="shared" ref="K246:K256" si="21">D246</f>
        <v>9436</v>
      </c>
      <c r="L246" s="466">
        <v>9624</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1802</v>
      </c>
      <c r="B249" s="680" t="s">
        <v>282</v>
      </c>
      <c r="C249" s="613"/>
      <c r="D249" s="473">
        <v>0</v>
      </c>
      <c r="E249" s="613"/>
      <c r="F249" s="613"/>
      <c r="G249" s="613"/>
      <c r="H249" s="613"/>
      <c r="I249" s="613"/>
      <c r="J249" s="613"/>
      <c r="K249" s="1669">
        <f t="shared" si="21"/>
        <v>0</v>
      </c>
      <c r="L249" s="466">
        <v>0</v>
      </c>
    </row>
    <row r="250" spans="1:12" x14ac:dyDescent="0.2">
      <c r="A250" s="1502" t="s">
        <v>1803</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459</v>
      </c>
      <c r="E254" s="613"/>
      <c r="F254" s="613"/>
      <c r="G254" s="613"/>
      <c r="H254" s="613"/>
      <c r="I254" s="613"/>
      <c r="J254" s="613"/>
      <c r="K254" s="1669">
        <f t="shared" si="21"/>
        <v>459</v>
      </c>
      <c r="L254" s="466">
        <v>470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9895</v>
      </c>
      <c r="E257" s="613"/>
      <c r="F257" s="613"/>
      <c r="G257" s="613"/>
      <c r="H257" s="613"/>
      <c r="I257" s="613"/>
      <c r="J257" s="613"/>
      <c r="K257" s="1667">
        <f>SUM(K245:K256)</f>
        <v>9895</v>
      </c>
      <c r="L257" s="1667">
        <f>SUM(L245:L256)</f>
        <v>10094</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7344</v>
      </c>
      <c r="E259" s="613"/>
      <c r="F259" s="613"/>
      <c r="G259" s="613"/>
      <c r="H259" s="613"/>
      <c r="I259" s="613"/>
      <c r="J259" s="613"/>
      <c r="K259" s="1669">
        <f>D259</f>
        <v>7344</v>
      </c>
      <c r="L259" s="479">
        <v>7722</v>
      </c>
    </row>
    <row r="260" spans="1:14" s="594" customFormat="1" x14ac:dyDescent="0.2">
      <c r="A260" s="1519" t="s">
        <v>1801</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7344</v>
      </c>
      <c r="E261" s="613"/>
      <c r="F261" s="613"/>
      <c r="G261" s="613"/>
      <c r="H261" s="613"/>
      <c r="I261" s="613"/>
      <c r="J261" s="613"/>
      <c r="K261" s="1667">
        <f>SUM(K259:K260)</f>
        <v>7344</v>
      </c>
      <c r="L261" s="1667">
        <f>SUM(L259:L260)</f>
        <v>7722</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15159</v>
      </c>
      <c r="E264" s="613"/>
      <c r="F264" s="613"/>
      <c r="G264" s="613"/>
      <c r="H264" s="613"/>
      <c r="I264" s="613"/>
      <c r="J264" s="613"/>
      <c r="K264" s="1669">
        <f t="shared" ref="K264:K269" si="22">D264</f>
        <v>15159</v>
      </c>
      <c r="L264" s="466">
        <v>15800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69805</v>
      </c>
      <c r="E266" s="613"/>
      <c r="F266" s="613"/>
      <c r="G266" s="613"/>
      <c r="H266" s="613"/>
      <c r="I266" s="613"/>
      <c r="J266" s="613"/>
      <c r="K266" s="1669">
        <f t="shared" si="22"/>
        <v>69805</v>
      </c>
      <c r="L266" s="466">
        <v>72420</v>
      </c>
    </row>
    <row r="267" spans="1:14" x14ac:dyDescent="0.2">
      <c r="A267" s="1501" t="s">
        <v>953</v>
      </c>
      <c r="B267" s="611">
        <v>2550</v>
      </c>
      <c r="C267" s="613"/>
      <c r="D267" s="466">
        <v>1436</v>
      </c>
      <c r="E267" s="613"/>
      <c r="F267" s="613"/>
      <c r="G267" s="613"/>
      <c r="H267" s="613"/>
      <c r="I267" s="613"/>
      <c r="J267" s="613"/>
      <c r="K267" s="1669">
        <f t="shared" si="22"/>
        <v>1436</v>
      </c>
      <c r="L267" s="466">
        <v>1905</v>
      </c>
    </row>
    <row r="268" spans="1:14" x14ac:dyDescent="0.2">
      <c r="A268" s="1501" t="s">
        <v>100</v>
      </c>
      <c r="B268" s="611">
        <v>2560</v>
      </c>
      <c r="C268" s="613"/>
      <c r="D268" s="466">
        <v>0</v>
      </c>
      <c r="E268" s="613"/>
      <c r="F268" s="613"/>
      <c r="G268" s="613"/>
      <c r="H268" s="613"/>
      <c r="I268" s="613"/>
      <c r="J268" s="613"/>
      <c r="K268" s="1669">
        <f t="shared" si="22"/>
        <v>0</v>
      </c>
      <c r="L268" s="466">
        <v>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86400</v>
      </c>
      <c r="E270" s="613"/>
      <c r="F270" s="613"/>
      <c r="G270" s="613"/>
      <c r="H270" s="613"/>
      <c r="I270" s="613"/>
      <c r="J270" s="613"/>
      <c r="K270" s="1667">
        <f>SUM(K263:K269)</f>
        <v>86400</v>
      </c>
      <c r="L270" s="1667">
        <f>SUM(L263:L269)</f>
        <v>90125</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1714</v>
      </c>
      <c r="E278" s="613"/>
      <c r="F278" s="613"/>
      <c r="G278" s="613"/>
      <c r="H278" s="613"/>
      <c r="I278" s="613"/>
      <c r="J278" s="613"/>
      <c r="K278" s="1682">
        <f>D278</f>
        <v>1714</v>
      </c>
      <c r="L278" s="653">
        <v>1884</v>
      </c>
    </row>
    <row r="279" spans="1:12" ht="12.75" customHeight="1" thickBot="1" x14ac:dyDescent="0.25">
      <c r="A279" s="1695" t="s">
        <v>811</v>
      </c>
      <c r="B279" s="1678">
        <v>2000</v>
      </c>
      <c r="C279" s="613"/>
      <c r="D279" s="1674">
        <f>SUM(D238,D243,D257,D261,D270,D277,D278)</f>
        <v>139025</v>
      </c>
      <c r="E279" s="613"/>
      <c r="F279" s="613"/>
      <c r="G279" s="613"/>
      <c r="H279" s="613"/>
      <c r="I279" s="613"/>
      <c r="J279" s="613"/>
      <c r="K279" s="1674">
        <f>SUM(K238,K243,K257,K261,K270,K277,K278)</f>
        <v>139025</v>
      </c>
      <c r="L279" s="1674">
        <f>SUM(L238,L243,L257,L261,L270,L277,L278)</f>
        <v>144005</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1842</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340" t="s">
        <v>505</v>
      </c>
      <c r="B295" s="2341"/>
      <c r="C295" s="613"/>
      <c r="D295" s="1667">
        <f>SUM(D229,D279,D280,D285)</f>
        <v>282683</v>
      </c>
      <c r="E295" s="613"/>
      <c r="F295" s="613"/>
      <c r="G295" s="613"/>
      <c r="H295" s="1667">
        <f>H293</f>
        <v>0</v>
      </c>
      <c r="I295" s="613"/>
      <c r="J295" s="613"/>
      <c r="K295" s="1667">
        <f>SUM(K229,K279,K280,K285,K293,K294)</f>
        <v>282683</v>
      </c>
      <c r="L295" s="1667">
        <f>SUM(L229,L279,L280,L285,L293,L294)</f>
        <v>303126</v>
      </c>
    </row>
    <row r="296" spans="1:14" ht="13.5" thickTop="1" x14ac:dyDescent="0.2">
      <c r="A296" s="2322" t="s">
        <v>996</v>
      </c>
      <c r="B296" s="2323"/>
      <c r="C296" s="613"/>
      <c r="D296" s="615"/>
      <c r="E296" s="613"/>
      <c r="F296" s="613"/>
      <c r="G296" s="613"/>
      <c r="H296" s="684"/>
      <c r="I296" s="613"/>
      <c r="J296" s="613"/>
      <c r="K296" s="1681">
        <f>'Revenues 9-14'!G268-'Expenditures 15-22'!K295</f>
        <v>58637</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332" t="s">
        <v>143</v>
      </c>
      <c r="B298" s="2326"/>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3760</v>
      </c>
      <c r="F301" s="466">
        <v>0</v>
      </c>
      <c r="G301" s="466">
        <v>348072</v>
      </c>
      <c r="H301" s="466">
        <v>0</v>
      </c>
      <c r="I301" s="467">
        <v>0</v>
      </c>
      <c r="J301" s="467">
        <v>0</v>
      </c>
      <c r="K301" s="1668">
        <f>SUM(C301:J301)</f>
        <v>351832</v>
      </c>
      <c r="L301" s="467">
        <v>354375</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3760</v>
      </c>
      <c r="F303" s="1674">
        <f t="shared" si="23"/>
        <v>0</v>
      </c>
      <c r="G303" s="1674">
        <f t="shared" si="23"/>
        <v>348072</v>
      </c>
      <c r="H303" s="1674">
        <f t="shared" si="23"/>
        <v>0</v>
      </c>
      <c r="I303" s="1674">
        <f t="shared" si="23"/>
        <v>0</v>
      </c>
      <c r="J303" s="1674">
        <f t="shared" si="23"/>
        <v>0</v>
      </c>
      <c r="K303" s="1674">
        <f t="shared" si="23"/>
        <v>351832</v>
      </c>
      <c r="L303" s="1674">
        <f t="shared" si="23"/>
        <v>354375</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1847</v>
      </c>
      <c r="B306" s="687" t="s">
        <v>1842</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337" t="s">
        <v>277</v>
      </c>
      <c r="B312" s="2338"/>
      <c r="C312" s="1667">
        <f>SUM(C303)</f>
        <v>0</v>
      </c>
      <c r="D312" s="1667">
        <f>SUM(D303)</f>
        <v>0</v>
      </c>
      <c r="E312" s="1667">
        <f>SUM(E303,E310)</f>
        <v>3760</v>
      </c>
      <c r="F312" s="1667">
        <f>SUM(F303)</f>
        <v>0</v>
      </c>
      <c r="G312" s="1667">
        <f>SUM(G303)</f>
        <v>348072</v>
      </c>
      <c r="H312" s="1667">
        <f>SUM(H303,H310)</f>
        <v>0</v>
      </c>
      <c r="I312" s="1667">
        <f>SUM(I303)</f>
        <v>0</v>
      </c>
      <c r="J312" s="1667">
        <f>SUM(J303)</f>
        <v>0</v>
      </c>
      <c r="K312" s="1667">
        <f>SUM(K303,K310,K311)</f>
        <v>351832</v>
      </c>
      <c r="L312" s="1667">
        <f>SUM(L303,L310,L311)</f>
        <v>354375</v>
      </c>
      <c r="M312" s="662"/>
      <c r="N312" s="662"/>
    </row>
    <row r="313" spans="1:14" ht="13.5" thickTop="1" x14ac:dyDescent="0.2">
      <c r="A313" s="2333" t="s">
        <v>996</v>
      </c>
      <c r="B313" s="2334"/>
      <c r="C313" s="623"/>
      <c r="D313" s="623"/>
      <c r="E313" s="623"/>
      <c r="F313" s="623"/>
      <c r="G313" s="623"/>
      <c r="H313" s="623"/>
      <c r="I313" s="623"/>
      <c r="J313" s="623"/>
      <c r="K313" s="1682">
        <f>'Revenues 9-14'!H268-'Expenditures 15-22'!K312</f>
        <v>-240407</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346" t="s">
        <v>149</v>
      </c>
      <c r="B315" s="2347"/>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348" t="s">
        <v>898</v>
      </c>
      <c r="B317" s="2347"/>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1802</v>
      </c>
      <c r="B320" s="695" t="s">
        <v>282</v>
      </c>
      <c r="C320" s="467">
        <v>0</v>
      </c>
      <c r="D320" s="467">
        <v>0</v>
      </c>
      <c r="E320" s="467">
        <v>27682</v>
      </c>
      <c r="F320" s="467">
        <v>0</v>
      </c>
      <c r="G320" s="467">
        <v>0</v>
      </c>
      <c r="H320" s="467">
        <v>0</v>
      </c>
      <c r="I320" s="467">
        <v>0</v>
      </c>
      <c r="J320" s="467">
        <v>0</v>
      </c>
      <c r="K320" s="1668">
        <f t="shared" ref="K320:K327" si="24">SUM(C320:J320)</f>
        <v>27682</v>
      </c>
      <c r="L320" s="467">
        <v>28000</v>
      </c>
      <c r="M320" s="662"/>
      <c r="N320" s="662"/>
    </row>
    <row r="321" spans="1:14" s="671" customFormat="1" x14ac:dyDescent="0.2">
      <c r="A321" s="1516" t="s">
        <v>300</v>
      </c>
      <c r="B321" s="694" t="s">
        <v>283</v>
      </c>
      <c r="C321" s="467">
        <v>0</v>
      </c>
      <c r="D321" s="467">
        <v>0</v>
      </c>
      <c r="E321" s="467">
        <v>1740</v>
      </c>
      <c r="F321" s="467">
        <v>0</v>
      </c>
      <c r="G321" s="467">
        <v>0</v>
      </c>
      <c r="H321" s="467">
        <v>0</v>
      </c>
      <c r="I321" s="467">
        <v>0</v>
      </c>
      <c r="J321" s="467">
        <v>0</v>
      </c>
      <c r="K321" s="1668">
        <f t="shared" si="24"/>
        <v>1740</v>
      </c>
      <c r="L321" s="467">
        <v>2000</v>
      </c>
      <c r="M321" s="662"/>
      <c r="N321" s="662"/>
    </row>
    <row r="322" spans="1:14" s="671" customFormat="1" x14ac:dyDescent="0.2">
      <c r="A322" s="1516" t="s">
        <v>238</v>
      </c>
      <c r="B322" s="694" t="s">
        <v>284</v>
      </c>
      <c r="C322" s="467">
        <v>0</v>
      </c>
      <c r="D322" s="467">
        <v>0</v>
      </c>
      <c r="E322" s="467">
        <v>62938</v>
      </c>
      <c r="F322" s="467">
        <v>0</v>
      </c>
      <c r="G322" s="467">
        <v>0</v>
      </c>
      <c r="H322" s="467">
        <v>0</v>
      </c>
      <c r="I322" s="467">
        <v>0</v>
      </c>
      <c r="J322" s="467">
        <v>0</v>
      </c>
      <c r="K322" s="1668">
        <f t="shared" si="24"/>
        <v>62938</v>
      </c>
      <c r="L322" s="467">
        <v>64450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485381</v>
      </c>
      <c r="D325" s="467">
        <v>601</v>
      </c>
      <c r="E325" s="467">
        <v>133570</v>
      </c>
      <c r="F325" s="467">
        <v>0</v>
      </c>
      <c r="G325" s="467">
        <v>0</v>
      </c>
      <c r="H325" s="467">
        <v>0</v>
      </c>
      <c r="I325" s="467">
        <v>0</v>
      </c>
      <c r="J325" s="467">
        <v>0</v>
      </c>
      <c r="K325" s="1668">
        <f t="shared" si="24"/>
        <v>619552</v>
      </c>
      <c r="L325" s="467">
        <v>623303</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24885</v>
      </c>
      <c r="F327" s="467">
        <v>0</v>
      </c>
      <c r="G327" s="467">
        <v>0</v>
      </c>
      <c r="H327" s="467">
        <v>0</v>
      </c>
      <c r="I327" s="467">
        <v>0</v>
      </c>
      <c r="J327" s="467">
        <v>0</v>
      </c>
      <c r="K327" s="1668">
        <f t="shared" si="24"/>
        <v>24885</v>
      </c>
      <c r="L327" s="467">
        <v>31440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485381</v>
      </c>
      <c r="D330" s="1667">
        <f t="shared" ref="D330:J330" si="25">SUM(D319:D329)</f>
        <v>601</v>
      </c>
      <c r="E330" s="1667">
        <f t="shared" si="25"/>
        <v>250815</v>
      </c>
      <c r="F330" s="1667">
        <f t="shared" si="25"/>
        <v>0</v>
      </c>
      <c r="G330" s="1667">
        <f t="shared" si="25"/>
        <v>0</v>
      </c>
      <c r="H330" s="1667">
        <f t="shared" si="25"/>
        <v>0</v>
      </c>
      <c r="I330" s="1667">
        <f t="shared" si="25"/>
        <v>0</v>
      </c>
      <c r="J330" s="1667">
        <f t="shared" si="25"/>
        <v>0</v>
      </c>
      <c r="K330" s="1667">
        <f>SUM(K319:K329)</f>
        <v>736797</v>
      </c>
      <c r="L330" s="1667">
        <f>SUM(L319:L329)</f>
        <v>749193</v>
      </c>
      <c r="M330" s="662"/>
      <c r="N330" s="662"/>
    </row>
    <row r="331" spans="1:14" s="671" customFormat="1" ht="12.75" customHeight="1" thickTop="1" x14ac:dyDescent="0.2">
      <c r="A331" s="1828" t="s">
        <v>1848</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1842</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1844</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1849</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485381</v>
      </c>
      <c r="D342" s="1667">
        <f>SUM(D330)</f>
        <v>601</v>
      </c>
      <c r="E342" s="1667">
        <f>SUM(E330)</f>
        <v>250815</v>
      </c>
      <c r="F342" s="1667">
        <f>SUM(F330)</f>
        <v>0</v>
      </c>
      <c r="G342" s="1667">
        <f>SUM(G330)</f>
        <v>0</v>
      </c>
      <c r="H342" s="1667">
        <f>SUM(H330,H334,H340)</f>
        <v>0</v>
      </c>
      <c r="I342" s="1667">
        <f>SUM(I330)</f>
        <v>0</v>
      </c>
      <c r="J342" s="1667">
        <f>SUM(J330)</f>
        <v>0</v>
      </c>
      <c r="K342" s="1667">
        <f>SUM(K330,K334,K340)</f>
        <v>736797</v>
      </c>
      <c r="L342" s="1674">
        <f>SUM(L330,L340,L341)</f>
        <v>749193</v>
      </c>
    </row>
    <row r="343" spans="1:14" ht="12.75" customHeight="1" thickTop="1" x14ac:dyDescent="0.2">
      <c r="A343" s="2335" t="s">
        <v>996</v>
      </c>
      <c r="B343" s="2336"/>
      <c r="C343" s="613"/>
      <c r="D343" s="613"/>
      <c r="E343" s="613"/>
      <c r="F343" s="613"/>
      <c r="G343" s="613"/>
      <c r="H343" s="613"/>
      <c r="I343" s="613"/>
      <c r="J343" s="613"/>
      <c r="K343" s="1681">
        <f>'Revenues 9-14'!J268-'Expenditures 15-22'!K342</f>
        <v>-7386</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325" t="s">
        <v>966</v>
      </c>
      <c r="B345" s="2326"/>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71999</v>
      </c>
      <c r="F348" s="466">
        <v>0</v>
      </c>
      <c r="G348" s="466">
        <v>1540731</v>
      </c>
      <c r="H348" s="466">
        <v>0</v>
      </c>
      <c r="I348" s="467">
        <v>0</v>
      </c>
      <c r="J348" s="467">
        <v>0</v>
      </c>
      <c r="K348" s="1668">
        <f>SUM(C348:J348)</f>
        <v>1612730</v>
      </c>
      <c r="L348" s="466">
        <v>1648430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71999</v>
      </c>
      <c r="F350" s="1667">
        <f t="shared" si="26"/>
        <v>0</v>
      </c>
      <c r="G350" s="1667">
        <f t="shared" si="26"/>
        <v>1540731</v>
      </c>
      <c r="H350" s="1667">
        <f t="shared" si="26"/>
        <v>0</v>
      </c>
      <c r="I350" s="1667">
        <f t="shared" si="26"/>
        <v>0</v>
      </c>
      <c r="J350" s="1667">
        <f t="shared" si="26"/>
        <v>0</v>
      </c>
      <c r="K350" s="1667">
        <f t="shared" si="26"/>
        <v>1612730</v>
      </c>
      <c r="L350" s="1667">
        <f t="shared" si="26"/>
        <v>1648430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71999</v>
      </c>
      <c r="F352" s="1667">
        <f t="shared" si="27"/>
        <v>0</v>
      </c>
      <c r="G352" s="1667">
        <f t="shared" si="27"/>
        <v>1540731</v>
      </c>
      <c r="H352" s="1667">
        <f t="shared" si="27"/>
        <v>0</v>
      </c>
      <c r="I352" s="1667">
        <f t="shared" si="27"/>
        <v>0</v>
      </c>
      <c r="J352" s="1667">
        <f t="shared" si="27"/>
        <v>0</v>
      </c>
      <c r="K352" s="1667">
        <f t="shared" si="27"/>
        <v>1612730</v>
      </c>
      <c r="L352" s="1667">
        <f t="shared" si="27"/>
        <v>1648430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1850</v>
      </c>
      <c r="B354" s="680" t="s">
        <v>1842</v>
      </c>
      <c r="C354" s="613"/>
      <c r="D354" s="613"/>
      <c r="E354" s="613"/>
      <c r="F354" s="613"/>
      <c r="G354" s="613"/>
      <c r="H354" s="473">
        <v>0</v>
      </c>
      <c r="I354" s="698"/>
      <c r="J354" s="613"/>
      <c r="K354" s="1696">
        <f>H354</f>
        <v>0</v>
      </c>
      <c r="L354" s="471">
        <v>0</v>
      </c>
    </row>
    <row r="355" spans="1:14" ht="12.75" customHeight="1" x14ac:dyDescent="0.2">
      <c r="A355" s="1510" t="s">
        <v>1851</v>
      </c>
      <c r="B355" s="687" t="s">
        <v>1844</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71999</v>
      </c>
      <c r="F367" s="1667">
        <f t="shared" si="28"/>
        <v>0</v>
      </c>
      <c r="G367" s="1667">
        <f t="shared" si="28"/>
        <v>1540731</v>
      </c>
      <c r="H367" s="1667">
        <f t="shared" si="28"/>
        <v>0</v>
      </c>
      <c r="I367" s="1667">
        <f t="shared" si="28"/>
        <v>0</v>
      </c>
      <c r="J367" s="1667">
        <f t="shared" si="28"/>
        <v>0</v>
      </c>
      <c r="K367" s="1667">
        <f t="shared" si="28"/>
        <v>1612730</v>
      </c>
      <c r="L367" s="1667">
        <f t="shared" si="28"/>
        <v>1648430</v>
      </c>
    </row>
    <row r="368" spans="1:14" ht="13.5" thickTop="1" x14ac:dyDescent="0.2">
      <c r="A368" s="2322" t="s">
        <v>996</v>
      </c>
      <c r="B368" s="2323"/>
      <c r="C368" s="651"/>
      <c r="D368" s="651"/>
      <c r="E368" s="623"/>
      <c r="F368" s="623"/>
      <c r="G368" s="623"/>
      <c r="H368" s="623"/>
      <c r="I368" s="623"/>
      <c r="J368" s="620"/>
      <c r="K368" s="1668">
        <f>'Revenues 9-14'!K268-'Expenditures 15-22'!K367</f>
        <v>-1465243</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http://purl.org/dc/elements/1.1/"/>
    <ds:schemaRef ds:uri="6ce3111e-7420-4802-b50a-75d4e9a0b980"/>
    <ds:schemaRef ds:uri="4d435f69-8686-490b-bd6d-b153bf22ab50"/>
    <ds:schemaRef ds:uri="d21dc803-237d-4c68-8692-8d731fd29118"/>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SEFA19</vt:lpstr>
      <vt:lpstr>SEFA NOTES</vt:lpstr>
      <vt:lpstr>SF&amp;QC Sec-1</vt:lpstr>
      <vt:lpstr>SF&amp;QC Sec-2</vt:lpstr>
      <vt:lpstr>SF&amp;QC Sec-3</vt:lpstr>
      <vt:lpstr>SSPAF</vt:lpstr>
      <vt:lpstr>CAP</vt:lpstr>
      <vt:lpstr>' SEFA'!Print_Area</vt:lpstr>
      <vt:lpstr>'SEFA NOTES'!Print_Area</vt:lpstr>
      <vt:lpstr>'SEFA Reconcile'!Print_Area</vt:lpstr>
      <vt:lpstr>SEFA19!Print_Area</vt:lpstr>
      <vt:lpstr>'SF&amp;QC Sec-1'!Print_Area</vt:lpstr>
      <vt:lpstr>'SF&amp;QC Sec-3'!Print_Area</vt:lpstr>
      <vt:lpstr>'Single Audit Checklist'!Print_Area</vt:lpstr>
      <vt:lpstr>'Single Audit Cover'!Print_Area</vt:lpstr>
      <vt:lpstr>SEFA19!Print_Area_MI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2019-12-11T19:31:05Z</cp:lastPrinted>
  <dcterms:created xsi:type="dcterms:W3CDTF">2003-10-29T19:06:34Z</dcterms:created>
  <dcterms:modified xsi:type="dcterms:W3CDTF">2019-12-31T14:09:50Z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