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F3645DC-91E4-4CB2-AA2E-BCF265D7C9E1}" xr6:coauthVersionLast="36" xr6:coauthVersionMax="36" xr10:uidLastSave="{00000000-0000-0000-0000-000000000000}"/>
  <bookViews>
    <workbookView xWindow="-120" yWindow="-120" windowWidth="19440" windowHeight="151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19" i="29" l="1"/>
  <c r="D216" i="29"/>
  <c r="D240" i="29"/>
  <c r="D267" i="29"/>
  <c r="D245" i="29"/>
  <c r="D223" i="29"/>
  <c r="D215"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64" i="127"/>
  <c r="B65" i="127"/>
  <c r="E26" i="108"/>
  <c r="G26" i="108"/>
  <c r="E27" i="108"/>
  <c r="G27" i="108"/>
  <c r="F28" i="108"/>
  <c r="F36"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J22" i="37"/>
  <c r="L22" i="37"/>
  <c r="D24" i="37"/>
  <c r="B4270" i="106" s="1"/>
  <c r="D4270" i="106" s="1"/>
  <c r="D22" i="37" l="1"/>
  <c r="F38" i="34"/>
  <c r="F34" i="34"/>
  <c r="G39" i="108"/>
  <c r="E35" i="108"/>
  <c r="E33" i="108"/>
  <c r="G29" i="108"/>
  <c r="J210" i="29"/>
  <c r="B7072" i="106" s="1"/>
  <c r="D7072" i="106" s="1"/>
  <c r="B7047" i="106"/>
  <c r="D7047" i="106" s="1"/>
  <c r="B6289" i="106"/>
  <c r="D6289" i="106" s="1"/>
  <c r="J41" i="3"/>
  <c r="B3647" i="106"/>
  <c r="D3647" i="106" s="1"/>
  <c r="K76" i="4"/>
  <c r="B3586" i="106" s="1"/>
  <c r="D3586" i="106" s="1"/>
  <c r="F71" i="34"/>
  <c r="B1124" i="106"/>
  <c r="D1124" i="106" s="1"/>
  <c r="E38" i="108"/>
  <c r="B4211" i="106"/>
  <c r="D4211" i="106" s="1"/>
  <c r="H76" i="4"/>
  <c r="B3298" i="106" s="1"/>
  <c r="D3298" i="106" s="1"/>
  <c r="I129" i="29"/>
  <c r="B7037" i="106" s="1"/>
  <c r="D7037" i="106" s="1"/>
  <c r="H342" i="29"/>
  <c r="B7221" i="106" s="1"/>
  <c r="D7221" i="106" s="1"/>
  <c r="F36" i="34"/>
  <c r="F72" i="34"/>
  <c r="D68" i="36"/>
  <c r="B2724" i="106"/>
  <c r="D2724" i="106" s="1"/>
  <c r="L13" i="11"/>
  <c r="B2060" i="106" s="1"/>
  <c r="D2060" i="106" s="1"/>
  <c r="D69" i="36"/>
  <c r="F19" i="7"/>
  <c r="B1807" i="106" s="1"/>
  <c r="D1807" i="106" s="1"/>
  <c r="C342" i="29"/>
  <c r="B7216" i="106" s="1"/>
  <c r="D7216" i="106" s="1"/>
  <c r="F67" i="34"/>
  <c r="G14" i="4"/>
  <c r="B2609" i="106" s="1"/>
  <c r="D2609" i="106" s="1"/>
  <c r="D31" i="108"/>
  <c r="G30" i="108"/>
  <c r="F27" i="108"/>
  <c r="F50" i="34"/>
  <c r="I210" i="29"/>
  <c r="B7071" i="106" s="1"/>
  <c r="D7071" i="106" s="1"/>
  <c r="J77" i="4"/>
  <c r="B6262" i="106" s="1"/>
  <c r="D6262" i="106" s="1"/>
  <c r="K184" i="29"/>
  <c r="F13" i="4" s="1"/>
  <c r="B2596" i="106" s="1"/>
  <c r="D2596" i="106" s="1"/>
  <c r="G210" i="29"/>
  <c r="C129" i="29"/>
  <c r="B1225" i="106" s="1"/>
  <c r="D1225"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4" i="36" l="1"/>
  <c r="B5527" i="106"/>
  <c r="D5527" i="106" s="1"/>
  <c r="B7215" i="106"/>
  <c r="D7215" i="106" s="1"/>
  <c r="B7235" i="106"/>
  <c r="D7235" i="106" s="1"/>
  <c r="C151" i="29"/>
  <c r="B1226" i="106" s="1"/>
  <c r="D1226" i="106" s="1"/>
  <c r="D7256" i="106"/>
  <c r="D7250" i="106"/>
  <c r="F41" i="108"/>
  <c r="G43" i="108" s="1"/>
  <c r="B1328" i="106"/>
  <c r="D1328" i="106" s="1"/>
  <c r="I7" i="4"/>
  <c r="B4444" i="106" s="1"/>
  <c r="D4444" i="106" s="1"/>
  <c r="K365" i="29"/>
  <c r="L16" i="11"/>
  <c r="B2061" i="106" s="1"/>
  <c r="D2061" i="106" s="1"/>
  <c r="L114" i="29"/>
  <c r="B1381" i="106"/>
  <c r="D1381" i="106" s="1"/>
  <c r="D41" i="108"/>
  <c r="E43" i="108" s="1"/>
  <c r="C114" i="29"/>
  <c r="B757" i="106" s="1"/>
  <c r="D757"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K367" i="29" l="1"/>
  <c r="B1145" i="106"/>
  <c r="D1145" i="106" s="1"/>
  <c r="B7224" i="106"/>
  <c r="D7224"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F8" i="4" l="1"/>
  <c r="J20" i="4"/>
  <c r="J78" i="4" s="1"/>
  <c r="B6227" i="106"/>
  <c r="D6227"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<sst xmlns="http://schemas.openxmlformats.org/spreadsheetml/2006/main" count="5092" uniqueCount="2110">
  <si>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</si>
  <si>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</si>
  <si>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</si>
  <si>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</si>
  <si>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</si>
  <si>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</si>
  <si>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</si>
  <si>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</si>
  <si>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</si>
  <si>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</si>
  <si>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</si>
  <si>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</si>
  <si>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</si>
  <si>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</si>
  <si>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</si>
  <si>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</si>
  <si>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</si>
  <si>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</si>
  <si>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</si>
  <si>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</si>
  <si>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</si>
  <si>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</si>
  <si>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</si>
  <si>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</si>
  <si>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</si>
  <si>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</si>
  <si>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</si>
  <si>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</si>
  <si>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</si>
  <si>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</si>
  <si>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</si>
  <si>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</si>
  <si>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</si>
  <si>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</si>
  <si>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</si>
  <si>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</si>
  <si>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</si>
  <si>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</si>
  <si>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</si>
  <si>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</si>
  <si>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</si>
  <si>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</si>
  <si>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</si>
  <si>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</si>
  <si>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</si>
  <si>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</si>
  <si>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</si>
  <si>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</si>
  <si>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</si>
  <si>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</si>
  <si>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</si>
  <si>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</si>
  <si>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</si>
  <si>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</si>
  <si>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</si>
  <si>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</si>
  <si>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</si>
  <si>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</si>
  <si>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</si>
  <si>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</si>
  <si>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</si>
  <si>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</si>
  <si>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</si>
  <si>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</si>
  <si>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</si>
  <si>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</si>
  <si>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</si>
  <si>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</si>
  <si>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</si>
  <si>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</si>
  <si>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</si>
  <si>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</si>
  <si>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</si>
  <si>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</si>
  <si>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</si>
  <si>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</si>
  <si>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</si>
  <si>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</si>
  <si>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</si>
  <si>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</si>
  <si>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</si>
  <si>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</si>
  <si>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</si>
  <si>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</si>
  <si>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</si>
  <si>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</si>
  <si>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</si>
  <si>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</si>
  <si>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</si>
  <si>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</si>
  <si>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</si>
  <si>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</si>
  <si>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</si>
  <si>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</si>
  <si>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</si>
  <si>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</si>
  <si>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</si>
  <si>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</si>
  <si>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</si>
  <si>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</si>
  <si>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</si>
  <si>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</si>
  <si>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</si>
  <si>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</si>
  <si>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</si>
  <si>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</si>
  <si>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</si>
  <si>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</si>
  <si>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</si>
  <si>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</si>
  <si>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</si>
  <si>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</si>
  <si>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</si>
  <si>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</si>
  <si>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</si>
  <si>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</si>
  <si>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</si>
  <si>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</si>
  <si>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</si>
  <si>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</si>
  <si>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</si>
  <si>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</si>
  <si>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</si>
  <si>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</si>
  <si>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</si>
  <si>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</si>
  <si>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</si>
  <si>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</si>
  <si>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</si>
  <si>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</si>
  <si>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</si>
  <si>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</si>
  <si>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</si>
  <si>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</si>
  <si>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</si>
  <si>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</si>
  <si>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</si>
  <si>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</si>
  <si>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</si>
  <si>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</si>
  <si>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</si>
  <si>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</si>
  <si>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</si>
  <si>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</si>
  <si>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</si>
  <si>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</si>
  <si>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</si>
  <si>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</si>
  <si>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</si>
  <si>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</si>
  <si>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</si>
  <si>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</si>
  <si>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</si>
  <si>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</si>
  <si>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</si>
  <si>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</si>
  <si>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</si>
  <si>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</si>
  <si>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</si>
  <si>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</si>
  <si>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</si>
  <si>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</si>
  <si>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</si>
  <si>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</si>
  <si>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</si>
  <si>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</si>
  <si>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</si>
  <si>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</si>
  <si>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</si>
  <si>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</si>
  <si>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</si>
  <si>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</si>
  <si>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</si>
  <si>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</si>
  <si>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</si>
  <si>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</si>
  <si>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</si>
  <si>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</si>
  <si>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</si>
  <si>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</si>
  <si>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</si>
  <si>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</si>
  <si>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</si>
  <si>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</si>
  <si>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</si>
  <si>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</si>
  <si>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</si>
  <si>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</si>
  <si>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</si>
  <si>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</si>
  <si>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</si>
  <si>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</si>
  <si>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</si>
  <si>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</si>
  <si>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</si>
  <si>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</si>
  <si>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</si>
  <si>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</si>
  <si>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</si>
  <si>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</si>
  <si>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</si>
  <si>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</si>
  <si>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</si>
  <si>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</si>
  <si>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</si>
  <si>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</si>
  <si>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</si>
  <si>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</si>
  <si>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</si>
  <si>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</si>
  <si>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</si>
  <si>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</si>
  <si>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</si>
  <si>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</si>
  <si>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</si>
  <si>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</si>
  <si>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</si>
  <si>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</si>
  <si>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</si>
  <si>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</si>
  <si>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</si>
  <si>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</si>
  <si>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</si>
  <si>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</si>
  <si>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</si>
  <si>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</si>
  <si>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</si>
  <si>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</si>
  <si>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</si>
  <si>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</si>
  <si>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</si>
  <si>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</si>
  <si>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</si>
  <si>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</si>
  <si>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</si>
  <si>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</si>
  <si>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</si>
  <si>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</si>
  <si>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</si>
  <si>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</si>
  <si>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</si>
  <si>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</si>
  <si>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</si>
  <si>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</si>
  <si>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</si>
  <si>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</si>
  <si>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</si>
  <si>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</si>
  <si>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</si>
  <si>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</si>
  <si>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</si>
  <si>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</si>
  <si>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</si>
  <si>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</si>
  <si>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</si>
  <si>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</si>
  <si>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</si>
  <si>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</si>
  <si>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</si>
  <si>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</si>
  <si>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</si>
  <si>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</si>
  <si>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</si>
  <si>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</si>
  <si>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</si>
  <si>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</si>
  <si>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</si>
  <si>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</si>
  <si>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</si>
  <si>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</si>
  <si>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</si>
  <si>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</si>
  <si>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</si>
  <si>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</si>
  <si>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</si>
  <si>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</si>
  <si>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</si>
  <si>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</si>
  <si>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</si>
  <si>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</si>
  <si>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</si>
  <si>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</si>
  <si>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</si>
  <si>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</si>
  <si>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</si>
  <si>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</si>
  <si>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</si>
  <si>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</si>
  <si>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</si>
  <si>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</si>
  <si>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</si>
  <si>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</si>
  <si>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</si>
  <si>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</si>
  <si>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</si>
  <si>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</si>
  <si>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</si>
  <si>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</si>
  <si>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</si>
  <si>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</si>
  <si>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</si>
  <si>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</si>
  <si>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</si>
  <si>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</si>
  <si>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</si>
  <si>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</si>
  <si>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</si>
  <si>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</si>
  <si>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</si>
  <si>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</si>
  <si>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</si>
  <si>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</si>
  <si>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</si>
  <si>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</si>
  <si>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</si>
  <si>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</si>
  <si>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</si>
  <si>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</si>
  <si>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</si>
  <si>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</si>
  <si>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</si>
  <si>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</si>
  <si>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</si>
  <si>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</si>
  <si>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</si>
  <si>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</si>
  <si>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</si>
  <si>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</si>
  <si>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</si>
  <si>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</si>
  <si>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</si>
  <si>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</si>
  <si>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</si>
  <si>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</si>
  <si>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</si>
  <si>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</si>
  <si>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</si>
  <si>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</si>
  <si>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</si>
  <si>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</si>
  <si>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</si>
  <si>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</si>
  <si>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</si>
  <si>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</si>
  <si>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</si>
  <si>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</si>
  <si>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</si>
  <si>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</si>
  <si>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</si>
  <si>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</si>
  <si>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</si>
  <si>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</si>
  <si>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</si>
  <si>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</si>
  <si>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</si>
  <si>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</si>
  <si>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</si>
  <si>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</si>
  <si>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</si>
  <si>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</si>
  <si>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</si>
  <si>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</si>
  <si>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</si>
  <si>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</si>
  <si>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</si>
  <si>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</si>
  <si>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</si>
  <si>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</si>
  <si>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</si>
  <si>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</si>
  <si>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</si>
  <si>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</si>
  <si>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</si>
  <si>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</si>
  <si>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</si>
  <si>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</si>
  <si>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</si>
  <si>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</si>
  <si>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</si>
  <si>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</si>
  <si>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</si>
  <si>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</si>
  <si>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</si>
  <si>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</si>
  <si>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</si>
  <si>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</si>
  <si>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</si>
  <si>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</si>
  <si>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</si>
  <si>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</si>
  <si>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</si>
  <si>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</si>
  <si>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</si>
  <si>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</si>
  <si>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</si>
  <si>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</si>
  <si>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</si>
  <si>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</si>
  <si>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</si>
  <si>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</si>
  <si>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</si>
  <si>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</si>
  <si>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</si>
  <si>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</si>
  <si>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</si>
  <si>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</si>
  <si>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</si>
  <si>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</si>
  <si>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</si>
  <si>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</si>
  <si>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</si>
  <si>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</si>
  <si>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</si>
  <si>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</si>
  <si>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</si>
  <si>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</si>
  <si>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</si>
  <si>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</si>
  <si>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</si>
  <si>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</si>
  <si>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</si>
  <si>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</si>
  <si>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</si>
  <si>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</si>
  <si>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</si>
  <si>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</si>
  <si>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</si>
  <si>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</si>
  <si>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</si>
  <si>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</si>
  <si>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</si>
  <si>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</si>
  <si>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</si>
  <si>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</si>
  <si>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</si>
  <si>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</si>
  <si>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</si>
  <si>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</si>
  <si>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</si>
  <si>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</si>
  <si>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</si>
  <si>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</si>
  <si>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</si>
  <si>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</si>
  <si>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</si>
  <si>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</si>
  <si>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</si>
  <si>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</si>
  <si>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</si>
  <si>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</si>
  <si>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</si>
  <si>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</si>
  <si>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</si>
  <si>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</si>
  <si>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</si>
  <si>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</si>
  <si>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</si>
  <si>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</si>
  <si>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</si>
  <si>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</si>
  <si>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</si>
  <si>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</si>
  <si>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</si>
  <si>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</si>
  <si>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</si>
  <si>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</si>
  <si>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</si>
  <si>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</si>
  <si>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</si>
  <si>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</si>
  <si>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</si>
  <si>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</si>
  <si>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</si>
  <si>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</si>
  <si>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</si>
  <si>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</si>
  <si>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</si>
  <si>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</si>
  <si>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</si>
  <si>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</si>
  <si>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</si>
  <si>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</si>
  <si>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</si>
  <si>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</si>
  <si>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</si>
  <si>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</si>
  <si>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</si>
  <si>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</si>
  <si>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</si>
  <si>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</si>
  <si>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</si>
  <si>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</si>
  <si>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</si>
  <si>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</si>
  <si>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</si>
  <si>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</si>
  <si>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</si>
  <si>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</si>
  <si>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</si>
  <si>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</si>
  <si>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</si>
  <si>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</si>
  <si>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</si>
  <si>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</si>
  <si>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</si>
  <si>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</si>
  <si>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</si>
  <si>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</si>
  <si>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</si>
  <si>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</si>
  <si>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</si>
  <si>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</si>
  <si>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</si>
  <si>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</si>
  <si>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</si>
  <si>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</si>
  <si>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</si>
  <si>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</si>
  <si>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</si>
  <si>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</si>
  <si>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</si>
  <si>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</si>
  <si>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</si>
  <si>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</si>
  <si>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</si>
  <si>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</si>
  <si>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</si>
  <si>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</si>
  <si>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</si>
  <si>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</si>
  <si>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</si>
  <si>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</si>
  <si>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</si>
  <si>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</si>
  <si>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</si>
  <si>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</si>
  <si>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</si>
  <si>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</si>
  <si>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</si>
  <si>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</si>
  <si>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</si>
  <si>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</si>
  <si>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</si>
  <si>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</si>
  <si>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</si>
  <si>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</si>
  <si>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</si>
  <si>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</si>
  <si>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</si>
  <si>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</si>
  <si>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</si>
  <si>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</si>
  <si>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</si>
  <si>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</si>
  <si>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</si>
  <si>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</si>
  <si>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</si>
  <si>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</si>
  <si>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</si>
  <si>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</si>
  <si>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</si>
  <si>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</si>
  <si>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</si>
  <si>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</si>
  <si>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</si>
  <si>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</si>
  <si>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</si>
  <si>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</si>
  <si>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</si>
  <si>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</si>
  <si>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</si>
  <si>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</si>
  <si>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</si>
  <si>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</si>
  <si>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</si>
  <si>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</si>
  <si>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</si>
  <si>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</si>
  <si>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</si>
  <si>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</si>
  <si>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</si>
  <si>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</si>
  <si>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</si>
  <si>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</si>
  <si>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</si>
  <si>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</si>
  <si>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</si>
  <si>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</si>
  <si>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</si>
  <si>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</si>
  <si>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</si>
  <si>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</si>
  <si>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</si>
  <si>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</si>
  <si>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</si>
  <si>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</si>
  <si>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</si>
  <si>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</si>
  <si>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</si>
  <si>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</si>
  <si>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</si>
  <si>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</si>
  <si>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</si>
  <si>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</si>
  <si>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</si>
  <si>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</si>
  <si>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</si>
  <si>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</si>
  <si>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</si>
  <si>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</si>
  <si>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</si>
  <si>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</si>
  <si>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</si>
  <si>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</si>
  <si>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</si>
  <si>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</si>
  <si>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</si>
  <si>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</si>
  <si>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</si>
  <si>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</si>
  <si>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</si>
  <si>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</si>
  <si>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</si>
  <si>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</si>
  <si>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</si>
  <si>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</si>
  <si>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</si>
  <si>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</si>
  <si>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</si>
  <si>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</si>
  <si>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</si>
  <si>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</si>
  <si>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</si>
  <si>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</si>
  <si>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</si>
  <si>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</si>
  <si>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</si>
  <si>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</si>
  <si>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</si>
  <si>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</si>
  <si>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</si>
  <si>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</si>
  <si>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</si>
  <si>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</si>
  <si>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</si>
  <si>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</si>
  <si>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</si>
  <si>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</si>
  <si>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</si>
  <si>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</si>
  <si>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</si>
  <si>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</si>
  <si>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</si>
  <si>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</si>
  <si>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</si>
  <si>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</si>
  <si>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</si>
  <si>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</si>
  <si>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</si>
  <si>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</si>
  <si>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</si>
  <si>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</si>
  <si>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</si>
  <si>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</si>
  <si>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</si>
  <si>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</si>
  <si>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</si>
  <si>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</si>
  <si>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</si>
  <si>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</si>
  <si>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</si>
  <si>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</si>
  <si>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</si>
  <si>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</si>
  <si>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</si>
  <si>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</si>
  <si>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</si>
  <si>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</si>
  <si>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</si>
  <si>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</si>
  <si>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</si>
  <si>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</si>
  <si>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</si>
  <si>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</si>
  <si>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</si>
  <si>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</si>
  <si>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</si>
  <si>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</si>
  <si>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</si>
  <si>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</si>
  <si>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</si>
  <si>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</si>
  <si>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</si>
  <si>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</si>
  <si>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</si>
  <si>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</si>
  <si>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</si>
  <si>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</si>
  <si>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</si>
  <si>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</si>
  <si>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</si>
  <si>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</si>
  <si>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</si>
  <si>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</si>
  <si>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</si>
  <si>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</si>
  <si>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</si>
  <si>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</si>
  <si>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</si>
  <si>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</si>
  <si>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</si>
  <si>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</si>
  <si>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</si>
  <si>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</si>
  <si>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</si>
  <si>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</si>
  <si>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</si>
  <si>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</si>
  <si>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</si>
  <si>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</si>
  <si>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</si>
  <si>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</si>
  <si>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</si>
  <si>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</si>
  <si>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</si>
  <si>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</si>
  <si>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</si>
  <si>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</si>
  <si>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</si>
  <si>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</si>
  <si>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</si>
  <si>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</si>
  <si>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</si>
  <si>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</si>
  <si>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</si>
  <si>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</si>
  <si>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</si>
  <si>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</si>
  <si>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</si>
  <si>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</si>
  <si>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</si>
  <si>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</si>
  <si>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</si>
  <si>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</si>
  <si>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</si>
  <si>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</si>
  <si>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</si>
  <si>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</si>
  <si>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</si>
  <si>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</si>
  <si>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</si>
  <si>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</si>
  <si>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</si>
  <si>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</si>
  <si>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</si>
  <si>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</si>
  <si>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</si>
  <si>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</si>
  <si>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</si>
  <si>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</si>
  <si>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</si>
  <si>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</si>
  <si>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</si>
  <si>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</si>
  <si>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</si>
  <si>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</si>
  <si>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</si>
  <si>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</si>
  <si>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</si>
  <si>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</si>
  <si>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</si>
  <si>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</si>
  <si>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</si>
  <si>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</si>
  <si>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</si>
  <si>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</si>
  <si>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</si>
  <si>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</si>
  <si>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</si>
  <si>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</si>
  <si>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</si>
  <si>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</si>
  <si>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</si>
  <si>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</si>
  <si>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</si>
  <si>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</si>
  <si>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</si>
  <si>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</si>
  <si>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</si>
  <si>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</si>
  <si>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</si>
  <si>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</si>
  <si>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</si>
  <si>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</si>
  <si>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</si>
  <si>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</si>
  <si>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</si>
  <si>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</si>
  <si>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</si>
  <si>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</si>
  <si>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</si>
  <si>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</si>
  <si>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</si>
  <si>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</si>
  <si>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</si>
  <si>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</si>
  <si>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</si>
  <si>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</si>
  <si>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</si>
  <si>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</si>
  <si>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</si>
  <si>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</si>
  <si>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</si>
  <si>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</si>
  <si>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</si>
  <si>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</si>
  <si>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</si>
  <si>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</si>
  <si>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</si>
  <si>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</si>
  <si>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</si>
  <si>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</si>
  <si>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</si>
  <si>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</si>
  <si>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</si>
  <si>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</si>
  <si>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</si>
  <si>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</si>
  <si>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</si>
  <si>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</si>
  <si>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</si>
  <si>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</si>
  <si>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</si>
  <si>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</si>
  <si>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</si>
  <si>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</si>
  <si>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</si>
  <si>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</si>
  <si>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</si>
  <si>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</si>
  <si>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</si>
  <si>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</si>
  <si>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</si>
  <si>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</si>
  <si>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</si>
  <si>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</si>
  <si>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</si>
  <si>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</si>
  <si>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</si>
  <si>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</si>
  <si>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</si>
  <si>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</si>
  <si>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</si>
  <si>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</si>
  <si>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</si>
  <si>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</si>
  <si>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</si>
  <si>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</si>
  <si>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</si>
  <si>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</si>
  <si>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</si>
  <si>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</si>
  <si>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</si>
  <si>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</si>
  <si>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</si>
  <si>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</si>
  <si>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</si>
  <si>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</si>
  <si>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</si>
  <si>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</si>
  <si>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</si>
  <si>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</si>
  <si>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</si>
  <si>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</si>
  <si>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</si>
  <si>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</si>
  <si>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</si>
  <si>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</si>
  <si>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</si>
  <si>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</si>
  <si>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</si>
  <si>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</si>
  <si>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</si>
  <si>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</si>
  <si>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</si>
  <si>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</si>
  <si>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</si>
  <si>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</si>
  <si>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</si>
  <si>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</si>
  <si>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</si>
  <si>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</si>
  <si>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</si>
  <si>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</si>
  <si>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</si>
  <si>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</si>
  <si>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</si>
  <si>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</si>
  <si>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</si>
  <si>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</si>
  <si>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</si>
  <si>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</si>
  <si>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</si>
  <si>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</si>
  <si>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</si>
  <si>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</si>
  <si>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</si>
  <si>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</si>
  <si>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</si>
  <si>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</si>
  <si>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</si>
  <si>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</si>
  <si>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</si>
  <si>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</si>
  <si>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</si>
  <si>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</si>
  <si>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</si>
  <si>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</si>
  <si>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</si>
  <si>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</si>
  <si>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</si>
  <si>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</si>
  <si>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</si>
  <si>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</si>
  <si>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</si>
  <si>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</si>
  <si>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</si>
  <si>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</si>
  <si>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</si>
  <si>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</si>
  <si>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</si>
  <si>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</si>
  <si>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</si>
  <si>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</si>
  <si>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</si>
  <si>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</si>
  <si>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</si>
  <si>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</si>
  <si>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</si>
  <si>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</si>
  <si>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</si>
  <si>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</si>
  <si>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</si>
  <si>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</si>
  <si>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</si>
  <si>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</si>
  <si>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</si>
  <si>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</si>
  <si>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</si>
  <si>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</si>
  <si>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</si>
  <si>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</si>
  <si>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</si>
  <si>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</si>
  <si>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</si>
  <si>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</si>
  <si>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</si>
  <si>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</si>
  <si>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</si>
  <si>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</si>
  <si>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</si>
  <si>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</si>
  <si>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</si>
  <si>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</si>
  <si>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</si>
  <si>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</si>
  <si>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</si>
  <si>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</si>
  <si>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</si>
  <si>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</si>
  <si>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</si>
  <si>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</si>
  <si>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</si>
  <si>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</si>
  <si>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</si>
  <si>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</si>
  <si>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</si>
  <si>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</si>
  <si>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</si>
  <si>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</si>
  <si>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</si>
  <si>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</si>
  <si>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</si>
  <si>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</si>
  <si>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</si>
  <si>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</si>
  <si>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</si>
  <si>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</si>
  <si>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</si>
  <si>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</si>
  <si>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</si>
  <si>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</si>
  <si>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</si>
  <si>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</si>
  <si>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</si>
  <si>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</si>
  <si>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</si>
  <si>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</si>
  <si>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</si>
  <si>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</si>
  <si>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</si>
  <si>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</si>
  <si>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</si>
  <si>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</si>
  <si>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</si>
  <si>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</si>
  <si>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</si>
  <si>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</si>
  <si>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</si>
  <si>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</si>
  <si>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</si>
  <si>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</si>
  <si>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</si>
  <si>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</si>
  <si>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</si>
  <si>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</si>
  <si>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</si>
  <si>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</si>
  <si>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</si>
  <si>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</si>
  <si>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</si>
  <si>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</si>
  <si>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</si>
  <si>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</si>
  <si>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</si>
  <si>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</si>
  <si>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</si>
  <si>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</si>
  <si>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</si>
  <si>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</si>
  <si>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</si>
  <si>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</si>
  <si>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</si>
  <si>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</si>
  <si>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</si>
  <si>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</si>
  <si>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</si>
  <si>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</si>
  <si>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</si>
  <si>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</si>
  <si>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</si>
  <si>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</si>
  <si>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</si>
  <si>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</si>
  <si>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</si>
  <si>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</si>
  <si>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</si>
  <si>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</si>
  <si>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</si>
  <si>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</si>
  <si>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</si>
  <si>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</si>
  <si>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</si>
  <si>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</si>
  <si>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</si>
  <si>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</si>
  <si>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</si>
  <si>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</si>
  <si>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</si>
  <si>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</si>
  <si>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</si>
  <si>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</si>
  <si>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</si>
  <si>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</si>
  <si>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</si>
  <si>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</si>
  <si>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</si>
  <si>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</si>
  <si>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</si>
  <si>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</si>
  <si>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</si>
  <si>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</si>
  <si>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</si>
  <si>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</si>
  <si>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</si>
  <si>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</si>
  <si>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</si>
  <si>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</si>
  <si>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</si>
  <si>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</si>
  <si>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</si>
  <si>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</si>
  <si>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</si>
  <si>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</si>
  <si>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</si>
  <si>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</si>
  <si>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</si>
  <si>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</si>
  <si>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</si>
  <si>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</si>
  <si>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</si>
  <si>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</si>
  <si>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</si>
  <si>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</si>
  <si>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</si>
  <si>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</si>
  <si>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</si>
  <si>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</si>
  <si>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</si>
  <si>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</si>
  <si>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</si>
  <si>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</si>
  <si>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</si>
  <si>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</si>
  <si>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</si>
  <si>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</si>
  <si>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</si>
  <si>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</si>
  <si>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</si>
  <si>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</si>
  <si>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</si>
  <si>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</si>
  <si>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</si>
  <si>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</si>
  <si>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</si>
  <si>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</si>
  <si>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</si>
  <si>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</si>
  <si>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</si>
  <si>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</si>
  <si>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</si>
  <si>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</si>
  <si>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</si>
  <si>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</si>
  <si>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</si>
  <si>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</si>
  <si>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</si>
  <si>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</si>
  <si>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</si>
  <si>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</si>
  <si>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</si>
  <si>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</si>
  <si>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</si>
  <si>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</si>
  <si>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</si>
  <si>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</si>
  <si>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</si>
  <si>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</si>
  <si>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</si>
  <si>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</si>
  <si>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</si>
  <si>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</si>
  <si>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</si>
  <si>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</si>
  <si>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</si>
  <si>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</si>
  <si>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</si>
  <si>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</si>
  <si>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</si>
  <si>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</si>
  <si>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</si>
  <si>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</si>
  <si>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</si>
  <si>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</si>
  <si>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</si>
  <si>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</si>
  <si>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</si>
  <si>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</si>
  <si>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</si>
  <si>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</si>
  <si>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</si>
  <si>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</si>
  <si>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</si>
  <si>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</si>
  <si>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</si>
  <si>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</si>
  <si>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</si>
  <si>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</si>
  <si>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</si>
  <si>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</si>
  <si>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</si>
  <si>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</si>
  <si>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</si>
  <si>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</si>
  <si>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</si>
  <si>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</si>
  <si>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</si>
  <si>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</si>
  <si>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</si>
  <si>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</si>
  <si>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</si>
  <si>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</si>
  <si>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</si>
  <si>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</si>
  <si>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</si>
  <si>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</si>
  <si>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</si>
  <si>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</si>
  <si>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</si>
  <si>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</si>
  <si>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</si>
  <si>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</si>
  <si>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</si>
  <si>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</si>
  <si>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</si>
  <si>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</si>
  <si>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</si>
  <si>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</si>
  <si>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</si>
  <si>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</si>
  <si>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</si>
  <si>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</si>
  <si>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</si>
  <si>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</si>
  <si>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</si>
  <si>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</si>
  <si>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</si>
  <si>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</si>
  <si>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</si>
  <si>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</si>
  <si>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</si>
  <si>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</si>
  <si>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</si>
  <si>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</si>
  <si>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</si>
  <si>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</si>
  <si>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</si>
  <si>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</si>
  <si>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</si>
  <si>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</si>
  <si>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</si>
  <si>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</si>
  <si>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</si>
  <si>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</si>
  <si>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</si>
  <si>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</si>
  <si>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</si>
  <si>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</si>
  <si>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</si>
  <si>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</si>
  <si>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</si>
  <si>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</si>
  <si>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</si>
  <si>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</si>
  <si>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</si>
  <si>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</si>
  <si>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</si>
  <si>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</si>
  <si>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</si>
  <si>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</si>
  <si>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</si>
  <si>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</si>
  <si>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</si>
  <si>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</si>
  <si>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</si>
  <si>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</si>
  <si>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</si>
  <si>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</si>
  <si>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</si>
  <si>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</si>
  <si>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</si>
  <si>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</si>
  <si>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</si>
  <si>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</si>
  <si>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</si>
  <si>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</si>
  <si>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</si>
  <si>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</si>
  <si>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</si>
  <si>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</si>
  <si>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</si>
  <si>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</si>
  <si>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</si>
  <si>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</si>
  <si>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</si>
  <si>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</si>
  <si>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</si>
  <si>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</si>
  <si>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</si>
  <si>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</si>
  <si>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</si>
  <si>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</si>
  <si>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</si>
  <si>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</si>
  <si>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</si>
  <si>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</si>
  <si>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</si>
  <si>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</si>
  <si>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</si>
  <si>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</si>
  <si>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</si>
  <si>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</si>
  <si>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</si>
  <si>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</si>
  <si>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</si>
  <si>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</si>
  <si>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</si>
  <si>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</si>
  <si>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</si>
  <si>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</si>
  <si>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</si>
  <si>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</si>
  <si>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</si>
  <si>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</si>
  <si>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</si>
  <si>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</si>
  <si>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</si>
  <si>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</si>
  <si>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</si>
  <si>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</si>
  <si>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</si>
  <si>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</si>
  <si>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</si>
  <si>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</si>
  <si>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</si>
  <si>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</si>
  <si>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</si>
  <si>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</si>
  <si>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</si>
  <si>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</si>
  <si>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</si>
  <si>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</si>
  <si>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</si>
  <si>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</si>
  <si>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</si>
  <si>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</si>
  <si>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</si>
  <si>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</si>
  <si>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</si>
  <si>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</si>
  <si>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</si>
  <si>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</si>
  <si>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</si>
  <si>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</si>
  <si>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</si>
  <si>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</si>
  <si>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</si>
  <si>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</si>
  <si>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</si>
  <si>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</si>
  <si>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</si>
  <si>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</si>
  <si>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</si>
  <si>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</si>
  <si>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</si>
  <si>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</si>
  <si>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</si>
  <si>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</si>
  <si>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</si>
  <si>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</si>
  <si>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</si>
  <si>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</si>
  <si>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</si>
  <si>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</si>
  <si>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</si>
  <si>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</si>
  <si>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</si>
  <si>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</si>
  <si>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</si>
  <si>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</si>
  <si>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</si>
  <si>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</si>
  <si>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</si>
  <si>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</si>
  <si>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</si>
  <si>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</si>
  <si>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</si>
  <si>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</si>
  <si>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</si>
  <si>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</si>
  <si>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</si>
  <si>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</si>
  <si>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</si>
  <si>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</si>
  <si>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</si>
  <si>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</si>
  <si>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</si>
  <si>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</si>
  <si>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</si>
  <si>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</si>
  <si>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</si>
  <si>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</si>
  <si>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</si>
  <si>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</si>
  <si>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</si>
  <si>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</si>
  <si>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</si>
  <si>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</si>
  <si>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</si>
  <si>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</si>
  <si>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</si>
  <si>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</si>
  <si>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</si>
  <si>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</si>
  <si>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</si>
  <si>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</si>
  <si>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</si>
  <si>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</si>
  <si>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</si>
  <si>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</si>
  <si>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</si>
  <si>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</si>
  <si>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</si>
  <si>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</si>
  <si>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</si>
  <si>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</si>
  <si>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</si>
  <si>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</si>
  <si>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</si>
  <si>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</si>
  <si>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</si>
  <si>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</si>
  <si>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</si>
  <si>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</si>
  <si>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</si>
  <si>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</si>
  <si>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</si>
  <si>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</si>
  <si>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</si>
  <si>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</si>
  <si>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</si>
  <si>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</si>
  <si>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</si>
  <si>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</si>
  <si>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</si>
  <si>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</si>
  <si>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</si>
  <si>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</si>
  <si>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</si>
  <si>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</si>
  <si>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</si>
  <si>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</si>
  <si>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</si>
  <si>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</si>
  <si>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</si>
  <si>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</si>
  <si>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</si>
  <si>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</si>
  <si>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</si>
  <si>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</si>
  <si>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</si>
  <si>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</si>
  <si>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</si>
  <si>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</si>
  <si>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</si>
  <si>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</si>
  <si>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</si>
  <si>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</si>
  <si>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</si>
  <si>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</si>
  <si>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</si>
  <si>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</si>
  <si>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</si>
  <si>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</si>
  <si>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</si>
  <si>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</si>
  <si>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</si>
  <si>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</si>
  <si>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</si>
  <si>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</si>
  <si>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</si>
  <si>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</si>
  <si>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</si>
  <si>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</si>
  <si>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</si>
  <si>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</si>
  <si>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</si>
  <si>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</si>
  <si>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</si>
  <si>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</si>
  <si>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</si>
  <si>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</si>
  <si>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</si>
  <si>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</si>
  <si>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</si>
  <si>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</si>
  <si>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</si>
  <si>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</si>
  <si>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</si>
  <si>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</si>
  <si>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</si>
  <si>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</si>
  <si>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</si>
  <si>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</si>
  <si>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</si>
  <si>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</si>
  <si>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</si>
  <si>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</si>
  <si>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</si>
  <si>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</si>
  <si>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</si>
  <si>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</si>
  <si>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</si>
  <si>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</si>
  <si>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</si>
  <si>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</si>
  <si>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</si>
  <si>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</si>
  <si>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</si>
  <si>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</si>
  <si>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</si>
  <si>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</si>
  <si>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</si>
  <si>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</si>
  <si>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</si>
  <si>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</si>
  <si>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</si>
  <si>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</si>
  <si>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</si>
  <si>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</si>
  <si>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</si>
  <si>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</si>
  <si>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</si>
  <si>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</si>
  <si>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</si>
  <si>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</si>
  <si>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</si>
  <si>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</si>
  <si>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</si>
  <si>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</si>
  <si>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</si>
  <si>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</si>
  <si>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</si>
  <si>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</si>
  <si>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</si>
  <si>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</si>
  <si>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</si>
  <si>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</si>
  <si>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</si>
  <si>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</si>
  <si>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</si>
  <si>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</si>
  <si>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</si>
  <si>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</si>
  <si>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</si>
  <si>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</si>
  <si>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</si>
  <si>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</si>
  <si>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</si>
  <si>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</si>
  <si>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</si>
  <si>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</si>
  <si>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</si>
  <si>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</si>
  <si>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</si>
  <si>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</si>
  <si>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</si>
  <si>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</si>
  <si>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</si>
  <si>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</si>
  <si>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</si>
  <si>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</si>
  <si>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</si>
  <si>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</si>
  <si>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</si>
  <si>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</si>
  <si>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</si>
  <si>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</si>
  <si>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</si>
  <si>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</si>
  <si>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</si>
  <si>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</si>
  <si>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</si>
  <si>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</si>
  <si>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</si>
  <si>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</si>
  <si>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</si>
  <si>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</si>
  <si>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</si>
  <si>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</si>
  <si>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</si>
  <si>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</si>
  <si>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</si>
  <si>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</si>
  <si>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</si>
  <si>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</si>
  <si>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</si>
  <si>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</si>
  <si>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</si>
  <si>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</si>
  <si>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</si>
  <si>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</si>
  <si>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</si>
  <si>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</si>
  <si>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</si>
  <si>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</si>
  <si>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</si>
  <si>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</si>
  <si>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</si>
  <si>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</si>
  <si>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</si>
  <si>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</si>
  <si>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</si>
  <si>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</si>
  <si>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</si>
  <si>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</si>
  <si>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</si>
  <si>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</si>
  <si>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</si>
  <si>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</si>
  <si>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</si>
  <si>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</si>
  <si>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</si>
  <si>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</si>
  <si>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</si>
  <si>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</si>
  <si>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</si>
  <si>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</si>
  <si>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</si>
  <si>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</si>
  <si>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</si>
  <si>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</si>
  <si>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</si>
  <si>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</si>
  <si>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</si>
  <si>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</si>
  <si>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</si>
  <si>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</si>
  <si>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</si>
  <si>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</si>
  <si>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</si>
  <si>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</si>
  <si>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</si>
  <si>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</si>
  <si>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</si>
  <si>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</si>
  <si>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</si>
  <si>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</si>
  <si>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</si>
  <si>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</si>
  <si>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</si>
  <si>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</si>
  <si>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</si>
  <si>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</si>
  <si>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</si>
  <si>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</si>
  <si>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</si>
  <si>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</si>
  <si>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</si>
  <si>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</si>
  <si>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</si>
  <si>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</si>
  <si>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</si>
  <si>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</si>
  <si>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</si>
  <si>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</si>
  <si>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</si>
  <si>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</si>
  <si>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</si>
  <si>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</si>
  <si>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</si>
  <si>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</si>
  <si>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</si>
  <si>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</si>
  <si>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</si>
  <si>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</si>
  <si>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</si>
  <si>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</si>
  <si>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</si>
  <si>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</si>
  <si>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</si>
  <si>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</si>
  <si>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</si>
  <si>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</si>
  <si>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</si>
  <si>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</si>
  <si>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</si>
  <si>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</si>
  <si>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</si>
  <si>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</si>
  <si>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</si>
  <si>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</si>
  <si>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</si>
  <si>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</si>
  <si>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</si>
  <si>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</si>
  <si>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</si>
  <si>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</si>
  <si>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</si>
  <si>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</si>
  <si>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</si>
  <si>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</si>
  <si>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</si>
  <si>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</si>
  <si>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</si>
  <si>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</si>
  <si>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</si>
  <si>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</si>
  <si>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</si>
  <si>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</si>
  <si>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</si>
  <si>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</si>
  <si>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</si>
  <si>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</si>
  <si>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</si>
  <si>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</si>
  <si>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</si>
  <si>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</si>
  <si>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</si>
  <si>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</si>
  <si>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</si>
  <si>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</si>
  <si>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</si>
  <si>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</si>
  <si>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</si>
  <si>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</si>
  <si>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</si>
  <si>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</si>
  <si>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</si>
  <si>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</si>
  <si>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</si>
  <si>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</si>
  <si>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</si>
  <si>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</si>
  <si>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</si>
  <si>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</si>
  <si>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</si>
  <si>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</si>
  <si>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</si>
  <si>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</si>
  <si>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</si>
  <si>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</si>
  <si>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</si>
  <si>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</si>
  <si>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</si>
  <si>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</si>
  <si>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</si>
  <si>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</si>
  <si>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</si>
  <si>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</si>
  <si>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</si>
  <si>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</si>
  <si>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</si>
  <si>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</si>
  <si>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</si>
  <si>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</si>
  <si>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</si>
  <si>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</si>
  <si>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</si>
  <si>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</si>
  <si>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</si>
  <si>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</si>
  <si>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</si>
  <si>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</si>
  <si>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</si>
  <si>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</si>
  <si>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</si>
  <si>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</si>
  <si>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</si>
  <si>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</si>
  <si>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</si>
  <si>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</si>
  <si>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</si>
  <si>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</si>
  <si>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</si>
  <si>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</si>
  <si>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</si>
  <si>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</si>
  <si>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</si>
  <si>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</si>
  <si>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</si>
  <si>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</si>
  <si>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</si>
  <si>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</si>
  <si>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</si>
  <si>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</si>
  <si>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</si>
  <si>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</si>
  <si>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</si>
  <si>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</si>
  <si>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</si>
  <si>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</si>
  <si>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</si>
  <si>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</si>
  <si>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</si>
  <si>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</si>
  <si>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</si>
  <si>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</si>
  <si>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</si>
  <si>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</si>
  <si>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</si>
  <si>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</si>
  <si>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</si>
  <si>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</si>
  <si>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</si>
  <si>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</si>
  <si>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</si>
  <si>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</si>
  <si>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</si>
  <si>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</si>
  <si>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</si>
  <si>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</si>
  <si>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</si>
  <si>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</si>
  <si>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</si>
  <si>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</si>
  <si>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</si>
  <si>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</si>
  <si>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</si>
  <si>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</si>
  <si>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</si>
  <si>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</si>
  <si>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</si>
  <si>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</si>
  <si>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</si>
  <si>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</si>
  <si>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</si>
  <si>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</si>
  <si>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</si>
  <si>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</si>
  <si>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</si>
  <si>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</si>
  <si>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</si>
  <si>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</si>
  <si>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</si>
  <si>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</si>
  <si>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</si>
  <si>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</si>
  <si>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</si>
  <si>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</si>
  <si>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</si>
  <si>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</si>
  <si>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</si>
  <si>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</si>
  <si>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</si>
  <si>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</si>
  <si>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</si>
  <si>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</si>
  <si>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</si>
  <si>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</si>
  <si>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</si>
  <si>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</si>
  <si>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</si>
  <si>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</si>
  <si>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</si>
  <si>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</si>
  <si>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</si>
  <si>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</si>
  <si>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</si>
  <si>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</si>
  <si>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</si>
  <si>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</si>
  <si>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</si>
  <si>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</si>
  <si>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</si>
  <si>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</si>
  <si>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</si>
  <si>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</si>
  <si>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</si>
  <si>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</si>
  <si>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</si>
  <si>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</si>
  <si>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</si>
  <si>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</si>
  <si>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</si>
  <si>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</si>
  <si>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</si>
  <si>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</si>
  <si>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</si>
  <si>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</si>
  <si>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</si>
  <si>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</si>
  <si>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</si>
  <si>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</si>
  <si>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</si>
  <si>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</si>
  <si>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</si>
  <si>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</si>
  <si>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</si>
  <si>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</si>
  <si>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</si>
  <si>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</si>
  <si>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</si>
  <si>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</si>
  <si>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</si>
  <si>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</si>
  <si>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</si>
  <si>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</si>
  <si>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</si>
  <si>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</si>
  <si>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</si>
  <si>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</si>
  <si>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</si>
  <si>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</si>
  <si>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</si>
  <si>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</si>
  <si>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</si>
  <si>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</si>
  <si>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</si>
  <si>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</si>
  <si>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</si>
  <si>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</si>
  <si>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</si>
  <si>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</si>
  <si>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</si>
  <si>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</si>
  <si>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</si>
  <si>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</si>
  <si>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</si>
  <si>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</si>
  <si>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</si>
  <si>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</si>
  <si>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</si>
  <si>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</si>
  <si>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</si>
  <si>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</si>
  <si>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</si>
  <si>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</si>
  <si>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</si>
  <si>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</si>
  <si>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</si>
  <si>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</si>
  <si>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</si>
  <si>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</si>
  <si>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</si>
  <si>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</si>
  <si>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</si>
  <si>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</si>
  <si>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</si>
  <si>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</si>
  <si>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</si>
  <si>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</si>
  <si>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</si>
  <si>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</si>
  <si>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</si>
  <si>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</si>
  <si>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</si>
  <si>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</si>
  <si>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</si>
  <si>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</si>
  <si>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</si>
  <si>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</si>
  <si>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</si>
  <si>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</si>
  <si>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</si>
  <si>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</si>
  <si>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</si>
  <si>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</si>
  <si>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</si>
  <si>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</si>
  <si>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</si>
  <si>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</si>
  <si>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</si>
  <si>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</si>
  <si>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</si>
  <si>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</si>
  <si>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</si>
  <si>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</si>
  <si>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</si>
  <si>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</si>
  <si>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</si>
  <si>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</si>
  <si>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</si>
  <si>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</si>
  <si>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</si>
  <si>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</si>
  <si>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</si>
  <si>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</si>
  <si>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</si>
  <si>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</si>
  <si>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</si>
  <si>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</si>
  <si>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</si>
  <si>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</si>
  <si>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</si>
  <si>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</si>
  <si>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</si>
  <si>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</si>
  <si>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</si>
  <si>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</si>
  <si>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</si>
  <si>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</si>
  <si>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</si>
  <si>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</si>
  <si>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</si>
  <si>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</si>
  <si>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</si>
  <si>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</si>
  <si>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</si>
  <si>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</si>
  <si>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</si>
  <si>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</si>
  <si>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</si>
  <si>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</si>
  <si>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</si>
  <si>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</si>
  <si>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</si>
  <si>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</si>
  <si>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</si>
  <si>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</si>
  <si>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</si>
  <si>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</si>
  <si>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</si>
  <si>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</si>
  <si>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</si>
  <si>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</si>
  <si>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</si>
  <si>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</si>
  <si>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</si>
  <si>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</si>
  <si>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</si>
  <si>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</si>
  <si>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</si>
  <si>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</si>
  <si>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</si>
  <si>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</si>
  <si>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</si>
  <si>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</si>
  <si>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</si>
  <si>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</si>
  <si>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</si>
  <si>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</si>
  <si>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</si>
  <si>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</si>
  <si>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</si>
  <si>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</si>
  <si>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</si>
  <si>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</si>
  <si>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</si>
  <si>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</si>
  <si>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</si>
  <si>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</si>
  <si>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</si>
  <si>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</si>
  <si>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</si>
  <si>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</si>
  <si>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</si>
  <si>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</si>
  <si>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</si>
  <si>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</si>
  <si>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</si>
  <si>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</si>
  <si>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</si>
  <si>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</si>
  <si>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</si>
  <si>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</si>
  <si>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</si>
  <si>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</si>
  <si>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</si>
  <si>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</si>
  <si>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</si>
  <si>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</si>
  <si>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</si>
  <si>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</si>
  <si>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</si>
  <si>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</si>
  <si>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</si>
  <si>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</si>
  <si>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</si>
  <si>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</si>
  <si>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</si>
  <si>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</si>
  <si>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</si>
  <si>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</si>
  <si>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</si>
  <si>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</si>
  <si>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</si>
  <si>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</si>
  <si>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</si>
  <si>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</si>
  <si>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</si>
  <si>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</si>
  <si>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</si>
  <si>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</si>
  <si>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</si>
  <si>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</si>
  <si>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</si>
  <si>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</si>
  <si>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</si>
  <si>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</si>
  <si>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</si>
  <si>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</si>
  <si>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</si>
  <si>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</si>
  <si>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</si>
  <si>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</si>
  <si>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</si>
  <si>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</si>
  <si>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</si>
  <si>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</si>
  <si>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</si>
  <si>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</si>
  <si>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</si>
  <si>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</si>
  <si>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LaSalle, Dekalb, and Lee</t>
  </si>
  <si>
    <t>415 W Union Street</t>
  </si>
  <si>
    <t>Earlville</t>
  </si>
  <si>
    <t>maviles@earlville9.org</t>
  </si>
  <si>
    <t>rfaivre@earlville9.org</t>
  </si>
  <si>
    <t>Rich Faivre</t>
  </si>
  <si>
    <t>815-246-8361</t>
  </si>
  <si>
    <t>815-246-8672</t>
  </si>
  <si>
    <t>See PDF in Opinion Page with signature</t>
  </si>
  <si>
    <t>G.O. School Refunding Bonds, Series 2015</t>
  </si>
  <si>
    <t>G.O. School Refunding Bonds, Series 2016</t>
  </si>
  <si>
    <t>G.O. School Bonds Series 2017</t>
  </si>
  <si>
    <t>ED - FISCAL SERVICES - PURCHASED SERVICES</t>
  </si>
  <si>
    <t>10-2520-300</t>
  </si>
  <si>
    <t>SKYWARD, INC.</t>
  </si>
  <si>
    <t>O&amp;M - O&amp;M PLANT - PURCHASED SERVICES</t>
  </si>
  <si>
    <t>20-2540-300</t>
  </si>
  <si>
    <t>A BEEP, LLC</t>
  </si>
  <si>
    <t>RIVAL 5 TECHNOLOGIES</t>
  </si>
  <si>
    <t>ED - INTERNAL SERVICES - PURCHASED SERVICES</t>
  </si>
  <si>
    <t>10-2570-300</t>
  </si>
  <si>
    <t>MARCO, INC</t>
  </si>
  <si>
    <t>ED - DATA PROCESSING - PURCHASED SERVICES</t>
  </si>
  <si>
    <t>10-2660-300</t>
  </si>
  <si>
    <t>PRAIRIE TECHNOLOGY</t>
  </si>
  <si>
    <t>SOCS</t>
  </si>
  <si>
    <t>TECHNOLOGY MGMT REVO</t>
  </si>
  <si>
    <t>LaSalle County Food Cooperative</t>
  </si>
  <si>
    <t>LaSalle County Educational Alliance</t>
  </si>
  <si>
    <t>Indian Valley Vocational Center</t>
  </si>
  <si>
    <t>Pg 11, Line 107, Educational Fund - Miscellaneous</t>
  </si>
  <si>
    <t>Pg 18, Line 171, Debt Services Fund - Bond Fees</t>
  </si>
  <si>
    <t>Pg 12, Line 174, Educational Fund - REAP Grant</t>
  </si>
  <si>
    <t>Pg 12, Line 168, Education Fund- Library Grant</t>
  </si>
  <si>
    <t>Pg 12, Line 180, Education Fund- Misc Federal Grants</t>
  </si>
  <si>
    <t>Earlville CUSD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</si>
</sst>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64" fontId="61" fillId="0" borderId="2" xfId="9" applyNumberFormat="1" applyFont="1" applyBorder="1" applyAlignment="1" applyProtection="1">
      <alignment horizontal="left" vertical="center"/>
      <protection locked="0"/>
    </xf>
    <xf numFmtId="177" fontId="61" fillId="0" borderId="2" xfId="9" applyNumberFormat="1" applyFont="1" applyBorder="1" applyAlignment="1" applyProtection="1">
      <alignment horizontal="right"/>
      <protection locked="0"/>
    </xf>
    <xf numFmtId="38" fontId="54" fillId="0" borderId="2" xfId="9" applyNumberFormat="1" applyFont="1" applyBorder="1" applyAlignment="1" applyProtection="1">
      <alignment horizontal="right"/>
      <protection locked="0"/>
    </xf>
    <xf numFmtId="3" fontId="54" fillId="0" borderId="2" xfId="9" applyNumberFormat="1" applyFont="1" applyBorder="1" applyAlignment="1" applyProtection="1">
      <alignment horizontal="right" vertic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32" fillId="0" borderId="107" xfId="18" applyNumberFormat="1" applyFont="1" applyBorder="1" applyAlignment="1" applyProtection="1">
      <alignment horizontal="center" vertical="center"/>
      <protection locked="0"/>
    </xf>
    <xf numFmtId="0" fontId="32" fillId="0" borderId="125" xfId="2" applyBorder="1" applyAlignment="1" applyProtection="1">
      <protection locked="0"/>
    </xf>
    <xf numFmtId="0" fontId="15" fillId="0" borderId="128" xfId="0" applyFont="1" applyBorder="1" applyProtection="1">
      <protection locked="0"/>
    </xf>
    <xf numFmtId="0" fontId="15" fillId="0" borderId="126" xfId="0" applyFont="1" applyBorder="1" applyProtection="1">
      <protection locked="0"/>
    </xf>
    <xf numFmtId="0" fontId="12" fillId="0" borderId="17" xfId="12" applyFont="1" applyBorder="1" applyAlignment="1" applyProtection="1">
      <alignment horizontal="left" vertical="center" indent="1"/>
      <protection locked="0"/>
    </xf>
    <xf numFmtId="0" fontId="12" fillId="0" borderId="0" xfId="0" applyFont="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Font="1" applyBorder="1" applyAlignment="1" applyProtection="1">
      <alignment horizontal="left" vertical="center" indent="1"/>
      <protection locked="0"/>
    </xf>
    <xf numFmtId="0" fontId="12" fillId="0" borderId="126" xfId="12"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25" xfId="12" applyFont="1" applyBorder="1" applyAlignment="1" applyProtection="1">
      <alignment horizontal="left" vertical="center" readingOrder="1"/>
      <protection locked="0"/>
    </xf>
    <xf numFmtId="0" fontId="12" fillId="0" borderId="128" xfId="0"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2" fillId="0" borderId="125" xfId="12" applyFont="1" applyBorder="1" applyAlignment="1" applyProtection="1">
      <alignment horizontal="left" vertical="center"/>
      <protection locked="0"/>
    </xf>
    <xf numFmtId="0" fontId="12" fillId="0" borderId="128" xfId="0" applyFont="1" applyBorder="1" applyAlignment="1" applyProtection="1">
      <alignment horizontal="left" vertical="center"/>
      <protection locked="0"/>
    </xf>
    <xf numFmtId="0" fontId="9" fillId="0" borderId="128" xfId="0" applyFont="1" applyBorder="1" applyAlignment="1" applyProtection="1">
      <alignment vertical="center"/>
      <protection locked="0"/>
    </xf>
    <xf numFmtId="0" fontId="9" fillId="0" borderId="126"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25" xfId="12"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80" zoomScaleNormal="8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3" t="s">
        <v>405</v>
      </c>
      <c r="J1" s="2024"/>
      <c r="K1" s="2024"/>
      <c r="L1" s="2024"/>
      <c r="M1" s="2024"/>
      <c r="N1" s="2024"/>
      <c r="O1" s="2024"/>
      <c r="P1" s="2024"/>
      <c r="Q1" s="2024"/>
      <c r="R1" s="2024"/>
      <c r="S1" s="2024"/>
    </row>
    <row r="2" spans="1:28" ht="12" customHeight="1" x14ac:dyDescent="0.2">
      <c r="A2" s="47" t="s">
        <v>1991</v>
      </c>
      <c r="D2" s="48"/>
      <c r="I2" s="2025" t="s">
        <v>979</v>
      </c>
      <c r="J2" s="2024"/>
      <c r="K2" s="2024"/>
      <c r="L2" s="2024"/>
      <c r="M2" s="2024"/>
      <c r="N2" s="2024"/>
      <c r="O2" s="2024"/>
      <c r="P2" s="2024"/>
      <c r="Q2" s="2024"/>
      <c r="R2" s="2024"/>
      <c r="S2" s="2024"/>
    </row>
    <row r="3" spans="1:28" ht="12" customHeight="1" x14ac:dyDescent="0.2">
      <c r="A3" s="155" t="s">
        <v>1943</v>
      </c>
      <c r="B3" s="156"/>
      <c r="C3" s="156"/>
      <c r="D3" s="157"/>
      <c r="I3" s="2025" t="s">
        <v>52</v>
      </c>
      <c r="J3" s="2024"/>
      <c r="K3" s="2024"/>
      <c r="L3" s="2024"/>
      <c r="M3" s="2024"/>
      <c r="N3" s="2024"/>
      <c r="O3" s="2024"/>
      <c r="P3" s="2024"/>
      <c r="Q3" s="2024"/>
      <c r="R3" s="2024"/>
      <c r="S3" s="2024"/>
    </row>
    <row r="4" spans="1:28" ht="12" customHeight="1" x14ac:dyDescent="0.2">
      <c r="A4" s="37"/>
      <c r="I4" s="2025" t="s">
        <v>524</v>
      </c>
      <c r="J4" s="2024"/>
      <c r="K4" s="2024"/>
      <c r="L4" s="2024"/>
      <c r="M4" s="2024"/>
      <c r="N4" s="2024"/>
      <c r="O4" s="2024"/>
      <c r="P4" s="2024"/>
      <c r="Q4" s="2024"/>
      <c r="R4" s="2024"/>
      <c r="S4" s="2024"/>
    </row>
    <row r="5" spans="1:28" ht="14.1" customHeight="1" x14ac:dyDescent="0.2">
      <c r="B5" s="104" t="s">
        <v>2073</v>
      </c>
      <c r="C5" s="26" t="s">
        <v>910</v>
      </c>
      <c r="D5" s="84"/>
      <c r="E5" s="84"/>
      <c r="H5" s="38"/>
      <c r="I5" s="2032" t="s">
        <v>680</v>
      </c>
      <c r="J5" s="1974"/>
      <c r="K5" s="1974"/>
      <c r="L5" s="1974"/>
      <c r="M5" s="1974"/>
      <c r="N5" s="1974"/>
      <c r="O5" s="1974"/>
      <c r="P5" s="1974"/>
      <c r="Q5" s="1974"/>
      <c r="R5" s="1974"/>
      <c r="S5" s="1974"/>
    </row>
    <row r="6" spans="1:28" ht="14.1" customHeight="1" x14ac:dyDescent="0.2">
      <c r="B6" s="104"/>
      <c r="C6" s="26" t="s">
        <v>911</v>
      </c>
      <c r="D6" s="84"/>
      <c r="E6" s="84"/>
      <c r="I6" s="2031" t="s">
        <v>883</v>
      </c>
      <c r="J6" s="1974"/>
      <c r="K6" s="1974"/>
      <c r="L6" s="1974"/>
      <c r="M6" s="1974"/>
      <c r="N6" s="1974"/>
      <c r="O6" s="1974"/>
      <c r="P6" s="1974"/>
      <c r="Q6" s="1974"/>
      <c r="R6" s="1974"/>
      <c r="S6" s="1974"/>
    </row>
    <row r="7" spans="1:28" ht="12.2" customHeight="1" x14ac:dyDescent="0.2">
      <c r="I7" s="2026">
        <v>43646</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674</v>
      </c>
      <c r="J9" s="2029"/>
      <c r="K9" s="2029"/>
      <c r="L9" s="2029"/>
      <c r="M9" s="2029"/>
      <c r="N9" s="2029"/>
      <c r="O9" s="2029"/>
      <c r="P9" s="2029"/>
      <c r="Q9" s="2029"/>
      <c r="R9" s="2029"/>
      <c r="S9" s="2030"/>
      <c r="T9" s="1970" t="s">
        <v>533</v>
      </c>
      <c r="U9" s="1971"/>
      <c r="V9" s="1971"/>
      <c r="W9" s="1971"/>
      <c r="X9" s="1971"/>
      <c r="Y9" s="1971"/>
      <c r="Z9" s="1971"/>
      <c r="AA9" s="1972"/>
    </row>
    <row r="10" spans="1:28" ht="13.5" customHeight="1" x14ac:dyDescent="0.2">
      <c r="A10" s="1979" t="s">
        <v>675</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955</v>
      </c>
      <c r="B11" s="1983"/>
      <c r="C11" s="1983"/>
      <c r="D11" s="1983"/>
      <c r="E11" s="1983"/>
      <c r="F11" s="1983"/>
      <c r="G11" s="1983"/>
      <c r="H11" s="1984"/>
      <c r="I11" s="27"/>
      <c r="J11" s="74"/>
      <c r="K11" s="27"/>
      <c r="O11" s="148" t="s">
        <v>2073</v>
      </c>
      <c r="P11" s="100" t="s">
        <v>201</v>
      </c>
      <c r="Q11" s="30"/>
      <c r="R11" s="28"/>
      <c r="S11" s="27"/>
      <c r="T11" s="1976"/>
      <c r="U11" s="1977"/>
      <c r="V11" s="1977"/>
      <c r="W11" s="1977"/>
      <c r="X11" s="1977"/>
      <c r="Y11" s="1977"/>
      <c r="Z11" s="1977"/>
      <c r="AA11" s="197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0">
        <v>35050009026</v>
      </c>
      <c r="B13" s="1991"/>
      <c r="C13" s="1991"/>
      <c r="D13" s="1991"/>
      <c r="E13" s="1991"/>
      <c r="F13" s="1991"/>
      <c r="G13" s="1991"/>
      <c r="H13" s="1992"/>
      <c r="I13" s="31"/>
      <c r="J13" s="30"/>
      <c r="K13" s="28"/>
      <c r="L13" s="30"/>
      <c r="M13" s="30"/>
      <c r="N13" s="30"/>
      <c r="O13" s="30"/>
      <c r="P13" s="30"/>
      <c r="Q13" s="30"/>
      <c r="R13" s="30"/>
      <c r="S13" s="30"/>
      <c r="T13" s="1995" t="s">
        <v>2064</v>
      </c>
      <c r="U13" s="1996"/>
      <c r="V13" s="1996"/>
      <c r="W13" s="1996"/>
      <c r="X13" s="1996"/>
      <c r="Y13" s="1997"/>
      <c r="Z13" s="1997"/>
      <c r="AA13" s="199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8" t="s">
        <v>2074</v>
      </c>
      <c r="B15" s="1993"/>
      <c r="C15" s="1993"/>
      <c r="D15" s="1993"/>
      <c r="E15" s="1993"/>
      <c r="F15" s="1993"/>
      <c r="G15" s="1993"/>
      <c r="H15" s="1994"/>
      <c r="T15" s="1999" t="s">
        <v>2065</v>
      </c>
      <c r="U15" s="2000"/>
      <c r="V15" s="2000"/>
      <c r="W15" s="2000"/>
      <c r="X15" s="2000"/>
      <c r="Y15" s="2001"/>
      <c r="Z15" s="2001"/>
      <c r="AA15" s="200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20" t="s">
        <v>2109</v>
      </c>
      <c r="B17" s="2021"/>
      <c r="C17" s="2021"/>
      <c r="D17" s="2021"/>
      <c r="E17" s="2021"/>
      <c r="F17" s="2021"/>
      <c r="G17" s="2021"/>
      <c r="H17" s="2022"/>
      <c r="T17" s="2007" t="s">
        <v>2066</v>
      </c>
      <c r="U17" s="2008"/>
      <c r="V17" s="2008"/>
      <c r="W17" s="2008"/>
      <c r="X17" s="2008"/>
      <c r="Y17" s="2008"/>
      <c r="Z17" s="2008"/>
      <c r="AA17" s="2009"/>
    </row>
    <row r="18" spans="1:27" ht="13.5" customHeight="1" x14ac:dyDescent="0.2">
      <c r="A18" s="85" t="s">
        <v>530</v>
      </c>
      <c r="B18" s="76"/>
      <c r="C18" s="72"/>
      <c r="D18" s="76"/>
      <c r="E18" s="76"/>
      <c r="F18" s="76"/>
      <c r="G18" s="76"/>
      <c r="H18" s="56"/>
      <c r="I18" s="2017" t="s">
        <v>676</v>
      </c>
      <c r="J18" s="2018"/>
      <c r="K18" s="2018"/>
      <c r="L18" s="2018"/>
      <c r="M18" s="2018"/>
      <c r="N18" s="2018"/>
      <c r="O18" s="2018"/>
      <c r="P18" s="2018"/>
      <c r="Q18" s="2018"/>
      <c r="R18" s="2018"/>
      <c r="S18" s="2019"/>
      <c r="T18" s="85" t="s">
        <v>711</v>
      </c>
      <c r="U18" s="51"/>
      <c r="V18" s="72"/>
      <c r="W18" s="50"/>
      <c r="X18" s="85" t="s">
        <v>266</v>
      </c>
      <c r="Y18" s="81"/>
      <c r="Z18" s="159" t="s">
        <v>677</v>
      </c>
      <c r="AA18" s="46"/>
    </row>
    <row r="19" spans="1:27" ht="13.5" customHeight="1" x14ac:dyDescent="0.2">
      <c r="A19" s="1988" t="s">
        <v>2075</v>
      </c>
      <c r="B19" s="1989"/>
      <c r="C19" s="1989"/>
      <c r="D19" s="1989"/>
      <c r="E19" s="1989"/>
      <c r="F19" s="1989"/>
      <c r="G19" s="1989"/>
      <c r="H19" s="1987"/>
      <c r="I19" s="30"/>
      <c r="J19" s="99"/>
      <c r="K19" s="40"/>
      <c r="L19" s="38"/>
      <c r="M19" s="112" t="s">
        <v>315</v>
      </c>
      <c r="P19" s="27"/>
      <c r="Q19" s="27"/>
      <c r="R19" s="27"/>
      <c r="S19" s="31"/>
      <c r="T19" s="1988" t="s">
        <v>2067</v>
      </c>
      <c r="U19" s="1986"/>
      <c r="V19" s="1986"/>
      <c r="W19" s="1987"/>
      <c r="X19" s="2005" t="s">
        <v>2068</v>
      </c>
      <c r="Y19" s="2006"/>
      <c r="Z19" s="2003">
        <v>60450</v>
      </c>
      <c r="AA19" s="200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5" t="s">
        <v>2076</v>
      </c>
      <c r="B21" s="1986"/>
      <c r="C21" s="1986"/>
      <c r="D21" s="1986"/>
      <c r="E21" s="1986"/>
      <c r="F21" s="1986"/>
      <c r="G21" s="1986"/>
      <c r="H21" s="1987"/>
      <c r="I21" s="2013" t="s">
        <v>678</v>
      </c>
      <c r="J21" s="1974"/>
      <c r="K21" s="1974"/>
      <c r="L21" s="1974"/>
      <c r="M21" s="1974"/>
      <c r="N21" s="1974"/>
      <c r="O21" s="1974"/>
      <c r="P21" s="1974"/>
      <c r="Q21" s="1974"/>
      <c r="R21" s="1974"/>
      <c r="S21" s="1975"/>
      <c r="T21" s="1953" t="s">
        <v>2069</v>
      </c>
      <c r="U21" s="1954"/>
      <c r="V21" s="1954"/>
      <c r="W21" s="1954"/>
      <c r="X21" s="1967" t="s">
        <v>2070</v>
      </c>
      <c r="Y21" s="1968"/>
      <c r="Z21" s="1968"/>
      <c r="AA21" s="1969"/>
    </row>
    <row r="22" spans="1:27" ht="13.5" customHeight="1" x14ac:dyDescent="0.2">
      <c r="A22" s="87" t="s">
        <v>531</v>
      </c>
      <c r="B22" s="59"/>
      <c r="C22" s="59"/>
      <c r="D22" s="59"/>
      <c r="E22" s="59"/>
      <c r="F22" s="59"/>
      <c r="G22" s="59"/>
      <c r="H22" s="60"/>
      <c r="I22" s="2014" t="s">
        <v>1429</v>
      </c>
      <c r="J22" s="2015"/>
      <c r="K22" s="2015"/>
      <c r="L22" s="2015"/>
      <c r="M22" s="2015"/>
      <c r="N22" s="2015"/>
      <c r="O22" s="2015"/>
      <c r="P22" s="2015"/>
      <c r="Q22" s="2015"/>
      <c r="R22" s="2015"/>
      <c r="S22" s="2016"/>
      <c r="T22" s="85" t="s">
        <v>1516</v>
      </c>
      <c r="U22" s="51"/>
      <c r="V22" s="72"/>
      <c r="W22" s="51"/>
      <c r="X22" s="160" t="s">
        <v>1318</v>
      </c>
      <c r="Z22" s="45"/>
      <c r="AA22" s="46"/>
    </row>
    <row r="23" spans="1:27" ht="13.5" customHeight="1" x14ac:dyDescent="0.2">
      <c r="A23" s="2010" t="s">
        <v>2077</v>
      </c>
      <c r="B23" s="2011"/>
      <c r="C23" s="2011"/>
      <c r="D23" s="2011"/>
      <c r="E23" s="2011"/>
      <c r="F23" s="2011"/>
      <c r="G23" s="2011"/>
      <c r="H23" s="2012"/>
      <c r="T23" s="1948" t="s">
        <v>2071</v>
      </c>
      <c r="U23" s="1949"/>
      <c r="V23" s="1949"/>
      <c r="W23" s="1949"/>
      <c r="X23" s="1964">
        <v>44530</v>
      </c>
      <c r="Y23" s="1965"/>
      <c r="Z23" s="1965"/>
      <c r="AA23" s="1966"/>
    </row>
    <row r="24" spans="1:27" ht="14.1" customHeight="1" x14ac:dyDescent="0.2">
      <c r="A24" s="88" t="s">
        <v>677</v>
      </c>
      <c r="B24" s="49"/>
      <c r="C24" s="49"/>
      <c r="D24" s="49"/>
      <c r="E24" s="49"/>
      <c r="F24" s="49"/>
      <c r="G24" s="49"/>
      <c r="H24" s="61"/>
      <c r="J24" s="2053">
        <f>IF(B5="x",IF(AUDITCHECK!D29="AFR form Incomplete.","",IF(AUDITCHECK!D29="Deficit reduction plan is required.","School District must complete a deficit reduction plan in the 2019-2020 Budget",)),"")</f>
        <v>0</v>
      </c>
      <c r="K24" s="2053"/>
      <c r="L24" s="2053"/>
      <c r="M24" s="2053"/>
      <c r="N24" s="2053"/>
      <c r="O24" s="2053"/>
      <c r="P24" s="2053"/>
      <c r="Q24" s="2053"/>
      <c r="R24" s="2053"/>
      <c r="S24" s="2054"/>
      <c r="T24" s="105" t="s">
        <v>531</v>
      </c>
      <c r="U24" s="106"/>
      <c r="V24" s="106"/>
      <c r="W24" s="106"/>
      <c r="X24" s="107"/>
      <c r="Y24" s="107"/>
      <c r="Z24" s="107"/>
      <c r="AA24" s="108"/>
    </row>
    <row r="25" spans="1:27" ht="14.1" customHeight="1" x14ac:dyDescent="0.2">
      <c r="A25" s="1985">
        <v>60518</v>
      </c>
      <c r="B25" s="1986"/>
      <c r="C25" s="1986"/>
      <c r="D25" s="1986"/>
      <c r="E25" s="1986"/>
      <c r="F25" s="1986"/>
      <c r="G25" s="1986"/>
      <c r="H25" s="1987"/>
      <c r="I25" s="113"/>
      <c r="J25" s="2055"/>
      <c r="K25" s="2055"/>
      <c r="L25" s="2055"/>
      <c r="M25" s="2055"/>
      <c r="N25" s="2055"/>
      <c r="O25" s="2055"/>
      <c r="P25" s="2055"/>
      <c r="Q25" s="2055"/>
      <c r="R25" s="2055"/>
      <c r="S25" s="2056"/>
      <c r="T25" s="1945" t="s">
        <v>2072</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6" t="s">
        <v>1511</v>
      </c>
      <c r="J27" s="2018"/>
      <c r="K27" s="2018"/>
      <c r="L27" s="2018"/>
      <c r="M27" s="2018"/>
      <c r="N27" s="2018"/>
      <c r="O27" s="2018"/>
      <c r="P27" s="2018"/>
      <c r="Q27" s="2018"/>
      <c r="R27" s="2018"/>
      <c r="S27" s="201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2073</v>
      </c>
      <c r="F29" s="141" t="s">
        <v>1316</v>
      </c>
      <c r="G29" s="114"/>
      <c r="I29" s="54"/>
      <c r="J29" s="102"/>
      <c r="K29" s="28" t="s">
        <v>576</v>
      </c>
      <c r="L29" s="148" t="s">
        <v>2073</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2073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2073</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20" t="s">
        <v>2079</v>
      </c>
      <c r="B38" s="2021"/>
      <c r="C38" s="2021"/>
      <c r="D38" s="2021"/>
      <c r="E38" s="2021"/>
      <c r="F38" s="1986"/>
      <c r="G38" s="1986"/>
      <c r="H38" s="1987"/>
      <c r="I38" s="2040"/>
      <c r="J38" s="1957"/>
      <c r="K38" s="1957"/>
      <c r="L38" s="1957"/>
      <c r="M38" s="1957"/>
      <c r="N38" s="1957"/>
      <c r="O38" s="1957"/>
      <c r="P38" s="1958"/>
      <c r="Q38" s="1958"/>
      <c r="R38" s="1958"/>
      <c r="S38" s="1959"/>
      <c r="T38" s="1956"/>
      <c r="U38" s="1957"/>
      <c r="V38" s="1957"/>
      <c r="W38" s="1957"/>
      <c r="X38" s="1958"/>
      <c r="Y38" s="1958"/>
      <c r="Z38" s="1958"/>
      <c r="AA38" s="1959"/>
    </row>
    <row r="39" spans="1:27" ht="12" customHeight="1" x14ac:dyDescent="0.2">
      <c r="A39" s="2044" t="s">
        <v>531</v>
      </c>
      <c r="B39" s="2045"/>
      <c r="C39" s="72"/>
      <c r="D39" s="69"/>
      <c r="E39" s="69"/>
      <c r="F39" s="79"/>
      <c r="G39" s="69"/>
      <c r="H39" s="56"/>
      <c r="I39" s="2044" t="s">
        <v>531</v>
      </c>
      <c r="J39" s="2045"/>
      <c r="K39" s="2045"/>
      <c r="L39" s="2045"/>
      <c r="M39" s="2045"/>
      <c r="N39" s="67"/>
      <c r="O39" s="72"/>
      <c r="P39" s="72"/>
      <c r="Q39" s="78"/>
      <c r="R39" s="72"/>
      <c r="S39" s="56"/>
      <c r="T39" s="72" t="s">
        <v>531</v>
      </c>
      <c r="U39" s="51"/>
      <c r="V39" s="72"/>
      <c r="W39" s="50"/>
      <c r="X39" s="78"/>
      <c r="Y39" s="45"/>
      <c r="Z39" s="45"/>
      <c r="AA39" s="46"/>
    </row>
    <row r="40" spans="1:27" ht="13.5" customHeight="1" x14ac:dyDescent="0.2">
      <c r="A40" s="2047" t="s">
        <v>2078</v>
      </c>
      <c r="B40" s="2048"/>
      <c r="C40" s="2049"/>
      <c r="D40" s="2049"/>
      <c r="E40" s="2049"/>
      <c r="F40" s="2050"/>
      <c r="G40" s="2050"/>
      <c r="H40" s="2051"/>
      <c r="I40" s="1960"/>
      <c r="J40" s="1962"/>
      <c r="K40" s="1962"/>
      <c r="L40" s="1962"/>
      <c r="M40" s="1962"/>
      <c r="N40" s="1962"/>
      <c r="O40" s="1962"/>
      <c r="P40" s="1962"/>
      <c r="Q40" s="1962"/>
      <c r="R40" s="1962"/>
      <c r="S40" s="1963"/>
      <c r="T40" s="1960"/>
      <c r="U40" s="1961"/>
      <c r="V40" s="1962"/>
      <c r="W40" s="1962"/>
      <c r="X40" s="1962"/>
      <c r="Y40" s="1962"/>
      <c r="Z40" s="1962"/>
      <c r="AA40" s="196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7" t="s">
        <v>2080</v>
      </c>
      <c r="B42" s="2038"/>
      <c r="C42" s="2039"/>
      <c r="D42" s="2052" t="s">
        <v>2081</v>
      </c>
      <c r="E42" s="2038"/>
      <c r="F42" s="2038"/>
      <c r="G42" s="2038"/>
      <c r="H42" s="2039"/>
      <c r="I42" s="1955"/>
      <c r="J42" s="1951"/>
      <c r="K42" s="1951"/>
      <c r="L42" s="1951"/>
      <c r="M42" s="1951"/>
      <c r="N42" s="1951"/>
      <c r="O42" s="1952"/>
      <c r="P42" s="1950"/>
      <c r="Q42" s="1951"/>
      <c r="R42" s="1951"/>
      <c r="S42" s="1952"/>
      <c r="T42" s="1955"/>
      <c r="U42" s="1951"/>
      <c r="V42" s="1951"/>
      <c r="W42" s="1952"/>
      <c r="X42" s="1950"/>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1"/>
      <c r="B44" s="2042"/>
      <c r="C44" s="2042"/>
      <c r="D44" s="2042"/>
      <c r="E44" s="2042"/>
      <c r="F44" s="2042"/>
      <c r="G44" s="2042"/>
      <c r="H44" s="2043"/>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5" sqref="E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0" t="s">
        <v>1802</v>
      </c>
      <c r="B2" s="1528" t="s">
        <v>1949</v>
      </c>
      <c r="C2" s="714" t="s">
        <v>1950</v>
      </c>
      <c r="D2" s="714" t="s">
        <v>1951</v>
      </c>
      <c r="E2" s="714" t="s">
        <v>1952</v>
      </c>
      <c r="F2" s="714" t="s">
        <v>1953</v>
      </c>
    </row>
    <row r="3" spans="1:6" ht="12" customHeight="1" x14ac:dyDescent="0.2">
      <c r="A3" s="2191"/>
      <c r="B3" s="1525"/>
      <c r="C3" s="1526"/>
      <c r="D3" s="1527" t="s">
        <v>256</v>
      </c>
      <c r="E3" s="1526"/>
      <c r="F3" s="1527" t="s">
        <v>257</v>
      </c>
    </row>
    <row r="4" spans="1:6" ht="13.7" customHeight="1" x14ac:dyDescent="0.2">
      <c r="A4" s="715" t="s">
        <v>1155</v>
      </c>
      <c r="B4" s="1749">
        <f>'Revenues 9-14'!C5</f>
        <v>2266111</v>
      </c>
      <c r="C4" s="1524">
        <v>47758</v>
      </c>
      <c r="D4" s="1752">
        <f>B4-C4</f>
        <v>2218353</v>
      </c>
      <c r="E4" s="1524">
        <v>2240887</v>
      </c>
      <c r="F4" s="1752">
        <f>E4-C4</f>
        <v>2193129</v>
      </c>
    </row>
    <row r="5" spans="1:6" ht="13.7" customHeight="1" x14ac:dyDescent="0.2">
      <c r="A5" s="715" t="s">
        <v>870</v>
      </c>
      <c r="B5" s="1750">
        <f>'Revenues 9-14'!D5</f>
        <v>402308</v>
      </c>
      <c r="C5" s="585">
        <v>8623</v>
      </c>
      <c r="D5" s="1753">
        <f t="shared" ref="D5:D18" si="0">B5-C5</f>
        <v>393685</v>
      </c>
      <c r="E5" s="585">
        <v>404608</v>
      </c>
      <c r="F5" s="1753">
        <f>E5-C5</f>
        <v>395985</v>
      </c>
    </row>
    <row r="6" spans="1:6" ht="13.7" customHeight="1" x14ac:dyDescent="0.2">
      <c r="A6" s="715" t="s">
        <v>411</v>
      </c>
      <c r="B6" s="1750">
        <f>'Revenues 9-14'!E5</f>
        <v>371389</v>
      </c>
      <c r="C6" s="585">
        <v>9395</v>
      </c>
      <c r="D6" s="1753">
        <f t="shared" si="0"/>
        <v>361994</v>
      </c>
      <c r="E6" s="585">
        <v>436442</v>
      </c>
      <c r="F6" s="1753">
        <f t="shared" ref="F6:F18" si="1">E6-C6</f>
        <v>427047</v>
      </c>
    </row>
    <row r="7" spans="1:6" ht="13.7" customHeight="1" x14ac:dyDescent="0.2">
      <c r="A7" s="715" t="s">
        <v>155</v>
      </c>
      <c r="B7" s="1750">
        <f>'Revenues 9-14'!F5</f>
        <v>114308</v>
      </c>
      <c r="C7" s="585">
        <v>2625</v>
      </c>
      <c r="D7" s="1753">
        <f t="shared" si="0"/>
        <v>111683</v>
      </c>
      <c r="E7" s="585">
        <v>123054</v>
      </c>
      <c r="F7" s="1753">
        <f t="shared" si="1"/>
        <v>120429</v>
      </c>
    </row>
    <row r="8" spans="1:6" ht="13.7" customHeight="1" x14ac:dyDescent="0.2">
      <c r="A8" s="715" t="s">
        <v>1179</v>
      </c>
      <c r="B8" s="1750">
        <f>'Revenues 9-14'!G5</f>
        <v>53986</v>
      </c>
      <c r="C8" s="585">
        <v>1194</v>
      </c>
      <c r="D8" s="1753">
        <f t="shared" si="0"/>
        <v>52792</v>
      </c>
      <c r="E8" s="585">
        <v>56027</v>
      </c>
      <c r="F8" s="1753">
        <f t="shared" si="1"/>
        <v>54833</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28577</v>
      </c>
      <c r="C10" s="585">
        <v>656</v>
      </c>
      <c r="D10" s="1753">
        <f t="shared" si="0"/>
        <v>27921</v>
      </c>
      <c r="E10" s="585">
        <v>30764</v>
      </c>
      <c r="F10" s="1753">
        <f t="shared" si="1"/>
        <v>30108</v>
      </c>
    </row>
    <row r="11" spans="1:6" x14ac:dyDescent="0.2">
      <c r="A11" s="715" t="s">
        <v>409</v>
      </c>
      <c r="B11" s="1750">
        <f>'Revenues 9-14'!J5</f>
        <v>150397</v>
      </c>
      <c r="C11" s="585">
        <v>4378</v>
      </c>
      <c r="D11" s="1753">
        <f t="shared" si="0"/>
        <v>146019</v>
      </c>
      <c r="E11" s="585">
        <v>205414</v>
      </c>
      <c r="F11" s="1753">
        <f t="shared" si="1"/>
        <v>201036</v>
      </c>
    </row>
    <row r="12" spans="1:6" ht="13.7" customHeight="1" x14ac:dyDescent="0.2">
      <c r="A12" s="715" t="s">
        <v>157</v>
      </c>
      <c r="B12" s="1750">
        <f>'Revenues 9-14'!K5</f>
        <v>28578</v>
      </c>
      <c r="C12" s="585">
        <v>656</v>
      </c>
      <c r="D12" s="1753">
        <f t="shared" si="0"/>
        <v>27922</v>
      </c>
      <c r="E12" s="585">
        <v>30764</v>
      </c>
      <c r="F12" s="1753">
        <f t="shared" si="1"/>
        <v>30108</v>
      </c>
    </row>
    <row r="13" spans="1:6" ht="13.7" customHeight="1" x14ac:dyDescent="0.2">
      <c r="A13" s="715" t="s">
        <v>936</v>
      </c>
      <c r="B13" s="1750">
        <f>SUM('Revenues 9-14'!C6:D6)</f>
        <v>28577</v>
      </c>
      <c r="C13" s="585">
        <v>656</v>
      </c>
      <c r="D13" s="1753">
        <f t="shared" si="0"/>
        <v>27921</v>
      </c>
      <c r="E13" s="585">
        <v>30764</v>
      </c>
      <c r="F13" s="1753">
        <f t="shared" si="1"/>
        <v>30108</v>
      </c>
    </row>
    <row r="14" spans="1:6" ht="13.7" customHeight="1" x14ac:dyDescent="0.2">
      <c r="A14" s="715" t="s">
        <v>410</v>
      </c>
      <c r="B14" s="1750">
        <f>SUM('Revenues 9-14'!C7:D7,'Revenues 9-14'!F7:H7)</f>
        <v>22862</v>
      </c>
      <c r="C14" s="585">
        <v>525</v>
      </c>
      <c r="D14" s="1753">
        <f t="shared" si="0"/>
        <v>22337</v>
      </c>
      <c r="E14" s="585">
        <v>24611</v>
      </c>
      <c r="F14" s="1753">
        <f t="shared" si="1"/>
        <v>24086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80221</v>
      </c>
      <c r="C16" s="585">
        <v>1592</v>
      </c>
      <c r="D16" s="1753">
        <f t="shared" si="0"/>
        <v>78629</v>
      </c>
      <c r="E16" s="585">
        <v>74700</v>
      </c>
      <c r="F16" s="1753">
        <f t="shared" si="1"/>
        <v>73108</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3547314</v>
      </c>
      <c r="C19" s="1751">
        <f>SUM(C4:C18)</f>
        <v>78058</v>
      </c>
      <c r="D19" s="1751">
        <f>SUM(D4:D18)</f>
        <v>3469256</v>
      </c>
      <c r="E19" s="1751">
        <f>SUM(E4:E18)</f>
        <v>3658035</v>
      </c>
      <c r="F19" s="1751">
        <f>SUM(F4:F18)</f>
        <v>3579977</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2" colorId="8" zoomScale="90" zoomScaleNormal="9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629</v>
      </c>
      <c r="B1" s="2197"/>
      <c r="C1" s="721"/>
    </row>
    <row r="2" spans="1:7" ht="33.75" x14ac:dyDescent="0.2">
      <c r="A2" s="2205" t="s">
        <v>1802</v>
      </c>
      <c r="B2" s="2206"/>
      <c r="C2" s="1884" t="s">
        <v>1954</v>
      </c>
      <c r="D2" s="723" t="s">
        <v>1955</v>
      </c>
      <c r="E2" s="723" t="s">
        <v>1956</v>
      </c>
      <c r="F2" s="1884" t="s">
        <v>1957</v>
      </c>
    </row>
    <row r="3" spans="1:7" ht="15.75" customHeight="1" x14ac:dyDescent="0.2">
      <c r="A3" s="2209" t="s">
        <v>1114</v>
      </c>
      <c r="B3" s="2210"/>
      <c r="C3" s="2198"/>
      <c r="D3" s="2199"/>
      <c r="E3" s="2199"/>
      <c r="F3" s="2200"/>
    </row>
    <row r="4" spans="1:7" ht="12.75" customHeight="1" thickBot="1" x14ac:dyDescent="0.25">
      <c r="A4" s="2207" t="s">
        <v>630</v>
      </c>
      <c r="B4" s="2208"/>
      <c r="C4" s="581"/>
      <c r="D4" s="581"/>
      <c r="E4" s="581"/>
      <c r="F4" s="1755">
        <f>SUM(C4+D4)-E4</f>
        <v>0</v>
      </c>
    </row>
    <row r="5" spans="1:7" ht="15.75" customHeight="1" thickTop="1" x14ac:dyDescent="0.2">
      <c r="A5" s="2192" t="s">
        <v>1110</v>
      </c>
      <c r="B5" s="2193"/>
      <c r="C5" s="2201"/>
      <c r="D5" s="2202"/>
      <c r="E5" s="2202"/>
      <c r="F5" s="220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4" t="s">
        <v>1111</v>
      </c>
      <c r="B16" s="2193"/>
      <c r="C16" s="2201"/>
      <c r="D16" s="2202"/>
      <c r="E16" s="2202"/>
      <c r="F16" s="2203"/>
    </row>
    <row r="17" spans="1:11" ht="12.75" customHeight="1" thickBot="1" x14ac:dyDescent="0.25">
      <c r="A17" s="2217" t="s">
        <v>64</v>
      </c>
      <c r="B17" s="2218"/>
      <c r="C17" s="726"/>
      <c r="D17" s="585"/>
      <c r="E17" s="726"/>
      <c r="F17" s="1755">
        <f>SUM(C17+D17)-E17</f>
        <v>0</v>
      </c>
    </row>
    <row r="18" spans="1:11" ht="12.75" customHeight="1" thickTop="1" thickBot="1" x14ac:dyDescent="0.25">
      <c r="A18" s="2217" t="s">
        <v>6</v>
      </c>
      <c r="B18" s="2218"/>
      <c r="C18" s="726"/>
      <c r="D18" s="585"/>
      <c r="E18" s="726"/>
      <c r="F18" s="1755">
        <f>SUM(C18+D18)-E18</f>
        <v>0</v>
      </c>
    </row>
    <row r="19" spans="1:11" ht="12.75" customHeight="1" thickTop="1" thickBot="1" x14ac:dyDescent="0.25">
      <c r="A19" s="2217" t="s">
        <v>388</v>
      </c>
      <c r="B19" s="2218"/>
      <c r="C19" s="726"/>
      <c r="D19" s="585"/>
      <c r="E19" s="726"/>
      <c r="F19" s="1755">
        <f>SUM(C19+D19)-E19</f>
        <v>0</v>
      </c>
    </row>
    <row r="20" spans="1:11" ht="12.75" customHeight="1" thickTop="1" thickBot="1" x14ac:dyDescent="0.25">
      <c r="A20" s="2217" t="s">
        <v>448</v>
      </c>
      <c r="B20" s="2218"/>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219" t="s">
        <v>1112</v>
      </c>
      <c r="B22" s="2193"/>
      <c r="C22" s="2201"/>
      <c r="D22" s="2202"/>
      <c r="E22" s="2202"/>
      <c r="F22" s="2203"/>
    </row>
    <row r="23" spans="1:11" ht="13.5" thickBot="1" x14ac:dyDescent="0.25">
      <c r="A23" s="2207" t="s">
        <v>633</v>
      </c>
      <c r="B23" s="2208"/>
      <c r="C23" s="581"/>
      <c r="D23" s="581"/>
      <c r="E23" s="581"/>
      <c r="F23" s="1755">
        <f>SUM(C23+D23)-E23</f>
        <v>0</v>
      </c>
      <c r="G23" s="552"/>
    </row>
    <row r="24" spans="1:11" ht="15.75" customHeight="1" thickTop="1" x14ac:dyDescent="0.2">
      <c r="A24" s="2219" t="s">
        <v>1113</v>
      </c>
      <c r="B24" s="2193"/>
      <c r="C24" s="2201"/>
      <c r="D24" s="2202"/>
      <c r="E24" s="2202"/>
      <c r="F24" s="2203"/>
    </row>
    <row r="25" spans="1:11" ht="13.5" thickBot="1" x14ac:dyDescent="0.25">
      <c r="A25" s="2207" t="s">
        <v>634</v>
      </c>
      <c r="B25" s="2208"/>
      <c r="C25" s="581"/>
      <c r="D25" s="581"/>
      <c r="E25" s="581"/>
      <c r="F25" s="1755">
        <f>SUM(C25+D25)-E25</f>
        <v>0</v>
      </c>
      <c r="G25" s="552"/>
    </row>
    <row r="26" spans="1:11" ht="15.75" customHeight="1" thickTop="1" x14ac:dyDescent="0.2">
      <c r="A26" s="2192" t="s">
        <v>657</v>
      </c>
      <c r="B26" s="2193"/>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20" t="s">
        <v>582</v>
      </c>
      <c r="B29" s="2197"/>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1937" t="s">
        <v>2083</v>
      </c>
      <c r="B31" s="1938">
        <v>42355</v>
      </c>
      <c r="C31" s="1939">
        <v>1630000</v>
      </c>
      <c r="D31" s="1940">
        <v>3</v>
      </c>
      <c r="E31" s="734">
        <v>1470000</v>
      </c>
      <c r="F31" s="734"/>
      <c r="G31" s="734"/>
      <c r="H31" s="734">
        <v>145000</v>
      </c>
      <c r="I31" s="1756">
        <f>((E31+F31)-H31)+G31</f>
        <v>1325000</v>
      </c>
      <c r="J31" s="734">
        <v>1309232</v>
      </c>
      <c r="K31" s="736"/>
    </row>
    <row r="32" spans="1:11" ht="12" customHeight="1" x14ac:dyDescent="0.2">
      <c r="A32" s="1937" t="s">
        <v>2084</v>
      </c>
      <c r="B32" s="1938">
        <v>42670</v>
      </c>
      <c r="C32" s="1939">
        <v>1775000</v>
      </c>
      <c r="D32" s="1940">
        <v>3</v>
      </c>
      <c r="E32" s="734">
        <v>1580000</v>
      </c>
      <c r="F32" s="734"/>
      <c r="G32" s="734"/>
      <c r="H32" s="734">
        <v>160000</v>
      </c>
      <c r="I32" s="1756">
        <f>((E32+F32)-H32)+G32</f>
        <v>1420000</v>
      </c>
      <c r="J32" s="734">
        <v>1420000</v>
      </c>
      <c r="K32" s="736"/>
    </row>
    <row r="33" spans="1:11" ht="12" customHeight="1" x14ac:dyDescent="0.2">
      <c r="A33" s="1937" t="s">
        <v>2085</v>
      </c>
      <c r="B33" s="1938">
        <v>42915</v>
      </c>
      <c r="C33" s="1939">
        <v>495000</v>
      </c>
      <c r="D33" s="1940">
        <v>4</v>
      </c>
      <c r="E33" s="734">
        <v>495000</v>
      </c>
      <c r="F33" s="734"/>
      <c r="G33" s="734"/>
      <c r="H33" s="734">
        <v>40000</v>
      </c>
      <c r="I33" s="1756">
        <f t="shared" ref="I33:I48" si="1">((E33+F33)-H33)+G33</f>
        <v>455000</v>
      </c>
      <c r="J33" s="734">
        <v>455000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3900000</v>
      </c>
      <c r="D49" s="745"/>
      <c r="E49" s="1756">
        <f t="shared" ref="E49:J49" si="2">SUM(E31:E48)</f>
        <v>3545000</v>
      </c>
      <c r="F49" s="1756">
        <f t="shared" si="2"/>
        <v>0</v>
      </c>
      <c r="G49" s="1756">
        <f t="shared" si="2"/>
        <v>0</v>
      </c>
      <c r="H49" s="1756">
        <f t="shared" si="2"/>
        <v>345000</v>
      </c>
      <c r="I49" s="1756">
        <f t="shared" si="2"/>
        <v>3200000</v>
      </c>
      <c r="J49" s="1756">
        <f t="shared" si="2"/>
        <v>3184232</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1" t="s">
        <v>584</v>
      </c>
      <c r="C52" s="2212"/>
      <c r="D52" s="2212"/>
      <c r="E52" s="749" t="s">
        <v>845</v>
      </c>
      <c r="F52" s="2213"/>
      <c r="G52" s="2214"/>
      <c r="H52" s="736"/>
      <c r="I52" s="736"/>
      <c r="J52" s="746"/>
    </row>
    <row r="53" spans="1:11" ht="11.25" customHeight="1" x14ac:dyDescent="0.2">
      <c r="A53" s="750" t="s">
        <v>913</v>
      </c>
      <c r="B53" s="751" t="s">
        <v>951</v>
      </c>
      <c r="C53" s="746"/>
      <c r="D53" s="737"/>
      <c r="E53" s="749" t="s">
        <v>497</v>
      </c>
      <c r="F53" s="2215"/>
      <c r="G53" s="2216"/>
      <c r="H53" s="736"/>
      <c r="I53" s="736"/>
      <c r="J53" s="746"/>
    </row>
    <row r="54" spans="1:11" ht="11.25" customHeight="1" x14ac:dyDescent="0.2">
      <c r="A54" s="752" t="s">
        <v>914</v>
      </c>
      <c r="B54" s="747" t="s">
        <v>952</v>
      </c>
      <c r="C54" s="746"/>
      <c r="D54" s="737"/>
      <c r="E54" s="749" t="s">
        <v>498</v>
      </c>
      <c r="F54" s="2215"/>
      <c r="G54" s="221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Normal="10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856</v>
      </c>
      <c r="B1" s="2246"/>
      <c r="C1" s="2246"/>
      <c r="D1" s="2246"/>
      <c r="E1" s="2246"/>
      <c r="F1" s="2246"/>
      <c r="G1" s="2247"/>
      <c r="H1" s="1530"/>
      <c r="I1" s="760"/>
      <c r="J1" s="433"/>
    </row>
    <row r="2" spans="1:11" ht="26.25" x14ac:dyDescent="0.2">
      <c r="A2" s="2224" t="s">
        <v>1677</v>
      </c>
      <c r="B2" s="2225"/>
      <c r="C2" s="2225"/>
      <c r="D2" s="2225"/>
      <c r="E2" s="2226"/>
      <c r="F2" s="761" t="s">
        <v>904</v>
      </c>
      <c r="G2" s="762" t="s">
        <v>1674</v>
      </c>
      <c r="H2" s="762" t="s">
        <v>410</v>
      </c>
      <c r="I2" s="762" t="s">
        <v>1158</v>
      </c>
      <c r="J2" s="762" t="s">
        <v>1812</v>
      </c>
      <c r="K2" s="762" t="s">
        <v>138</v>
      </c>
    </row>
    <row r="3" spans="1:11" x14ac:dyDescent="0.2">
      <c r="A3" s="2227" t="s">
        <v>1962</v>
      </c>
      <c r="B3" s="2228"/>
      <c r="C3" s="2228"/>
      <c r="D3" s="2228"/>
      <c r="E3" s="2229"/>
      <c r="F3" s="763"/>
      <c r="G3" s="764"/>
      <c r="H3" s="764"/>
      <c r="I3" s="764"/>
      <c r="J3" s="765"/>
      <c r="K3" s="765"/>
    </row>
    <row r="4" spans="1:11" x14ac:dyDescent="0.2">
      <c r="A4" s="2230" t="s">
        <v>369</v>
      </c>
      <c r="B4" s="2231"/>
      <c r="C4" s="2231"/>
      <c r="D4" s="2231"/>
      <c r="E4" s="2212"/>
      <c r="F4" s="766"/>
      <c r="G4" s="767"/>
      <c r="H4" s="768"/>
      <c r="I4" s="767"/>
      <c r="J4" s="769"/>
      <c r="K4" s="769"/>
    </row>
    <row r="5" spans="1:11" x14ac:dyDescent="0.2">
      <c r="A5" s="2248" t="s">
        <v>1069</v>
      </c>
      <c r="B5" s="2221"/>
      <c r="C5" s="2221"/>
      <c r="D5" s="2221"/>
      <c r="E5" s="2249"/>
      <c r="F5" s="770" t="s">
        <v>848</v>
      </c>
      <c r="G5" s="771"/>
      <c r="H5" s="764">
        <v>22862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6647</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5270</v>
      </c>
    </row>
    <row r="10" spans="1:11" x14ac:dyDescent="0.2">
      <c r="A10" s="2248" t="s">
        <v>1813</v>
      </c>
      <c r="B10" s="2221"/>
      <c r="C10" s="2221"/>
      <c r="D10" s="2221"/>
      <c r="E10" s="2250"/>
      <c r="F10" s="783" t="s">
        <v>862</v>
      </c>
      <c r="G10" s="782"/>
      <c r="H10" s="784"/>
      <c r="I10" s="764"/>
      <c r="J10" s="765"/>
      <c r="K10" s="765"/>
    </row>
    <row r="11" spans="1:11" x14ac:dyDescent="0.2">
      <c r="A11" s="2248" t="s">
        <v>160</v>
      </c>
      <c r="B11" s="2221"/>
      <c r="C11" s="2221"/>
      <c r="D11" s="2221"/>
      <c r="E11" s="2249"/>
      <c r="F11" s="770" t="s">
        <v>852</v>
      </c>
      <c r="G11" s="771"/>
      <c r="H11" s="764"/>
      <c r="I11" s="764"/>
      <c r="J11" s="765"/>
      <c r="K11" s="773"/>
    </row>
    <row r="12" spans="1:11" ht="13.5" thickBot="1" x14ac:dyDescent="0.25">
      <c r="A12" s="2238" t="s">
        <v>905</v>
      </c>
      <c r="B12" s="2239"/>
      <c r="C12" s="2239"/>
      <c r="D12" s="2239"/>
      <c r="E12" s="2240"/>
      <c r="F12" s="1757"/>
      <c r="G12" s="1758">
        <f>SUM(G5:G11)</f>
        <v>0</v>
      </c>
      <c r="H12" s="1758">
        <f>SUM(H5:H11)</f>
        <v>22862</v>
      </c>
      <c r="I12" s="1758">
        <f>SUM(I5:I11)</f>
        <v>0</v>
      </c>
      <c r="J12" s="1758">
        <f>SUM(J5:J11)</f>
        <v>0</v>
      </c>
      <c r="K12" s="1758">
        <f>SUM(K5:K11)</f>
        <v>11917</v>
      </c>
    </row>
    <row r="13" spans="1:11" ht="13.5" thickTop="1" x14ac:dyDescent="0.2">
      <c r="A13" s="2232" t="s">
        <v>370</v>
      </c>
      <c r="B13" s="2233"/>
      <c r="C13" s="2233"/>
      <c r="D13" s="2233"/>
      <c r="E13" s="2234"/>
      <c r="F13" s="785"/>
      <c r="G13" s="786"/>
      <c r="H13" s="787"/>
      <c r="I13" s="788"/>
      <c r="J13" s="788"/>
      <c r="K13" s="788"/>
    </row>
    <row r="14" spans="1:11" x14ac:dyDescent="0.2">
      <c r="A14" s="2254" t="s">
        <v>456</v>
      </c>
      <c r="B14" s="2254"/>
      <c r="C14" s="2254"/>
      <c r="D14" s="2254"/>
      <c r="E14" s="2255"/>
      <c r="F14" s="789" t="s">
        <v>854</v>
      </c>
      <c r="G14" s="782"/>
      <c r="H14" s="764">
        <v>22862</v>
      </c>
      <c r="I14" s="771"/>
      <c r="J14" s="773"/>
      <c r="K14" s="765">
        <v>11917</v>
      </c>
    </row>
    <row r="15" spans="1:11" x14ac:dyDescent="0.2">
      <c r="A15" s="2221" t="s">
        <v>4</v>
      </c>
      <c r="B15" s="2221"/>
      <c r="C15" s="2221"/>
      <c r="D15" s="2221"/>
      <c r="E15" s="2249"/>
      <c r="F15" s="789" t="s">
        <v>855</v>
      </c>
      <c r="G15" s="771"/>
      <c r="H15" s="764"/>
      <c r="I15" s="764"/>
      <c r="J15" s="765"/>
      <c r="K15" s="765"/>
    </row>
    <row r="16" spans="1:11" x14ac:dyDescent="0.2">
      <c r="A16" s="2221" t="s">
        <v>298</v>
      </c>
      <c r="B16" s="2221"/>
      <c r="C16" s="2221"/>
      <c r="D16" s="2221"/>
      <c r="E16" s="2249"/>
      <c r="F16" s="789" t="s">
        <v>923</v>
      </c>
      <c r="G16" s="772"/>
      <c r="H16" s="767"/>
      <c r="I16" s="767"/>
      <c r="J16" s="769"/>
      <c r="K16" s="769"/>
    </row>
    <row r="17" spans="1:11" x14ac:dyDescent="0.2">
      <c r="A17" s="2243" t="s">
        <v>935</v>
      </c>
      <c r="B17" s="2243"/>
      <c r="C17" s="2243"/>
      <c r="D17" s="2243"/>
      <c r="E17" s="2244"/>
      <c r="F17" s="790"/>
      <c r="G17" s="791"/>
      <c r="H17" s="792"/>
      <c r="I17" s="792"/>
      <c r="J17" s="793"/>
      <c r="K17" s="794"/>
    </row>
    <row r="18" spans="1:11" x14ac:dyDescent="0.2">
      <c r="A18" s="2235" t="s">
        <v>368</v>
      </c>
      <c r="B18" s="2236"/>
      <c r="C18" s="2236"/>
      <c r="D18" s="2236"/>
      <c r="E18" s="2237"/>
      <c r="F18" s="789" t="s">
        <v>932</v>
      </c>
      <c r="G18" s="782"/>
      <c r="H18" s="782"/>
      <c r="I18" s="782"/>
      <c r="J18" s="765"/>
      <c r="K18" s="795"/>
    </row>
    <row r="19" spans="1:11" ht="21.75" customHeight="1" x14ac:dyDescent="0.2">
      <c r="A19" s="2256" t="s">
        <v>1809</v>
      </c>
      <c r="B19" s="2256"/>
      <c r="C19" s="2256"/>
      <c r="D19" s="2256"/>
      <c r="E19" s="2257"/>
      <c r="F19" s="789" t="s">
        <v>933</v>
      </c>
      <c r="G19" s="782"/>
      <c r="H19" s="782"/>
      <c r="I19" s="782"/>
      <c r="J19" s="765"/>
      <c r="K19" s="795"/>
    </row>
    <row r="20" spans="1:11" x14ac:dyDescent="0.2">
      <c r="A20" s="2235" t="s">
        <v>1814</v>
      </c>
      <c r="B20" s="2236"/>
      <c r="C20" s="2236"/>
      <c r="D20" s="2236"/>
      <c r="E20" s="2237"/>
      <c r="F20" s="789" t="s">
        <v>934</v>
      </c>
      <c r="G20" s="782"/>
      <c r="H20" s="782"/>
      <c r="I20" s="782"/>
      <c r="J20" s="765"/>
      <c r="K20" s="795"/>
    </row>
    <row r="21" spans="1:11" ht="13.5" thickBot="1" x14ac:dyDescent="0.25">
      <c r="A21" s="2241" t="s">
        <v>638</v>
      </c>
      <c r="B21" s="2241"/>
      <c r="C21" s="2241"/>
      <c r="D21" s="2241"/>
      <c r="E21" s="2241"/>
      <c r="F21" s="1759"/>
      <c r="G21" s="792"/>
      <c r="H21" s="796"/>
      <c r="I21" s="796"/>
      <c r="J21" s="1760">
        <f>SUM(J18:J20)</f>
        <v>0</v>
      </c>
      <c r="K21" s="793"/>
    </row>
    <row r="22" spans="1:11" ht="13.5" thickTop="1" x14ac:dyDescent="0.2">
      <c r="A22" s="2221" t="s">
        <v>1815</v>
      </c>
      <c r="B22" s="2221"/>
      <c r="C22" s="2221"/>
      <c r="D22" s="2221"/>
      <c r="E22" s="2249"/>
      <c r="F22" s="789" t="s">
        <v>862</v>
      </c>
      <c r="G22" s="782"/>
      <c r="H22" s="764"/>
      <c r="I22" s="764"/>
      <c r="J22" s="797"/>
      <c r="K22" s="765"/>
    </row>
    <row r="23" spans="1:11" ht="13.5" thickBot="1" x14ac:dyDescent="0.25">
      <c r="A23" s="2242" t="s">
        <v>906</v>
      </c>
      <c r="B23" s="2241"/>
      <c r="C23" s="2241"/>
      <c r="D23" s="2241"/>
      <c r="E23" s="2241"/>
      <c r="F23" s="1761"/>
      <c r="G23" s="1758">
        <f>SUM(G14:G16,G21,G22)</f>
        <v>0</v>
      </c>
      <c r="H23" s="1758">
        <f>SUM(H14:H16,H21,H22)</f>
        <v>22862</v>
      </c>
      <c r="I23" s="1758">
        <f>SUM(I14:I16,I21,I22)</f>
        <v>0</v>
      </c>
      <c r="J23" s="1758">
        <f>SUM(J14:J16,J21,J22)</f>
        <v>0</v>
      </c>
      <c r="K23" s="1758">
        <f>SUM(K14:K16,K21,K22)</f>
        <v>11917</v>
      </c>
    </row>
    <row r="24" spans="1:11" ht="14.25" thickTop="1" thickBot="1" x14ac:dyDescent="0.25">
      <c r="A24" s="2242" t="s">
        <v>1963</v>
      </c>
      <c r="B24" s="2241"/>
      <c r="C24" s="2241"/>
      <c r="D24" s="2241"/>
      <c r="E24" s="224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1"/>
      <c r="I31" s="2252"/>
      <c r="J31" s="2252"/>
      <c r="K31" s="2252"/>
    </row>
    <row r="32" spans="1:11" x14ac:dyDescent="0.2">
      <c r="A32" s="809"/>
      <c r="B32" s="237"/>
      <c r="C32" s="237"/>
      <c r="D32" s="237"/>
      <c r="E32" s="805"/>
      <c r="F32" s="811" t="s">
        <v>540</v>
      </c>
      <c r="G32" s="764"/>
      <c r="H32" s="2253"/>
      <c r="I32" s="2252"/>
      <c r="J32" s="2252"/>
      <c r="K32" s="2252"/>
    </row>
    <row r="33" spans="1:11" ht="1.5" customHeight="1" x14ac:dyDescent="0.2">
      <c r="A33" s="812" t="s">
        <v>1169</v>
      </c>
      <c r="B33" s="364"/>
      <c r="C33" s="364"/>
      <c r="D33" s="364"/>
      <c r="E33" s="364"/>
      <c r="F33" s="364"/>
      <c r="G33" s="813"/>
      <c r="H33" s="2253"/>
      <c r="I33" s="2252"/>
      <c r="J33" s="2252"/>
      <c r="K33" s="225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22"/>
      <c r="C41" s="2222"/>
      <c r="D41" s="2222"/>
      <c r="E41" s="2222"/>
      <c r="F41" s="222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4" colorId="8" zoomScaleNormal="100" workbookViewId="0">
      <selection activeCell="C13" sqref="C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1908</v>
      </c>
      <c r="B1" s="2261"/>
      <c r="C1" s="2262"/>
      <c r="D1" s="826"/>
      <c r="E1" s="827"/>
      <c r="F1" s="827"/>
      <c r="G1" s="828"/>
      <c r="H1" s="829"/>
      <c r="I1" s="830"/>
      <c r="J1" s="2258"/>
      <c r="K1" s="2259"/>
      <c r="L1" s="2259"/>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160300</v>
      </c>
      <c r="D5" s="841"/>
      <c r="E5" s="841"/>
      <c r="F5" s="1760">
        <f>(C5+D5)-E5</f>
        <v>160300</v>
      </c>
      <c r="G5" s="837"/>
      <c r="H5" s="842"/>
      <c r="I5" s="842"/>
      <c r="J5" s="842"/>
      <c r="K5" s="793"/>
      <c r="L5" s="1769">
        <f>F5-K5</f>
        <v>160300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8220506</v>
      </c>
      <c r="D8" s="844">
        <v>13650</v>
      </c>
      <c r="E8" s="844"/>
      <c r="F8" s="1760">
        <f>(C8+D8)-E8</f>
        <v>8234156</v>
      </c>
      <c r="G8" s="843">
        <v>50</v>
      </c>
      <c r="H8" s="765">
        <v>3643857</v>
      </c>
      <c r="I8" s="765">
        <v>200396</v>
      </c>
      <c r="J8" s="765"/>
      <c r="K8" s="1769">
        <f>(H8+I8)-J8</f>
        <v>3844253</v>
      </c>
      <c r="L8" s="1769">
        <f>F8-K8</f>
        <v>4389903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76673</v>
      </c>
      <c r="D10" s="846"/>
      <c r="E10" s="846"/>
      <c r="F10" s="1764">
        <f>(C10+D10)-E10</f>
        <v>76673</v>
      </c>
      <c r="G10" s="843">
        <v>20</v>
      </c>
      <c r="H10" s="847">
        <v>68545</v>
      </c>
      <c r="I10" s="847">
        <v>3482</v>
      </c>
      <c r="J10" s="847"/>
      <c r="K10" s="1769">
        <f>(H10+I10)-J10</f>
        <v>72027</v>
      </c>
      <c r="L10" s="1769">
        <f>F10-K10</f>
        <v>4646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534280</v>
      </c>
      <c r="D12" s="844"/>
      <c r="E12" s="844"/>
      <c r="F12" s="1760">
        <f>(C12+D12)-E12</f>
        <v>534280</v>
      </c>
      <c r="G12" s="843">
        <v>10</v>
      </c>
      <c r="H12" s="765">
        <v>295773</v>
      </c>
      <c r="I12" s="765">
        <v>50922</v>
      </c>
      <c r="J12" s="765"/>
      <c r="K12" s="1769">
        <f>(H12+I12)-J12</f>
        <v>346695</v>
      </c>
      <c r="L12" s="1769">
        <f>F12-K12</f>
        <v>187585</v>
      </c>
    </row>
    <row r="13" spans="1:14" ht="14.25" thickTop="1" thickBot="1" x14ac:dyDescent="0.25">
      <c r="A13" s="848" t="s">
        <v>1122</v>
      </c>
      <c r="B13" s="840">
        <v>252</v>
      </c>
      <c r="C13" s="844">
        <v>1076489</v>
      </c>
      <c r="D13" s="844">
        <v>51968</v>
      </c>
      <c r="E13" s="844"/>
      <c r="F13" s="1760">
        <f>(C13+D13)-E13</f>
        <v>1128457</v>
      </c>
      <c r="G13" s="843">
        <v>5</v>
      </c>
      <c r="H13" s="765">
        <v>1035271</v>
      </c>
      <c r="I13" s="765">
        <v>24164</v>
      </c>
      <c r="J13" s="765"/>
      <c r="K13" s="1769">
        <f>(H13+I13)-J13</f>
        <v>1059435</v>
      </c>
      <c r="L13" s="1769">
        <f>F13-K13</f>
        <v>69022</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10068248</v>
      </c>
      <c r="D16" s="1760">
        <f>SUM(D3,D5:D6,D8:D10,D12:D15)</f>
        <v>65618</v>
      </c>
      <c r="E16" s="1760">
        <f>SUM(E3,E5:E6,E8:E10,E12:E15)</f>
        <v>0</v>
      </c>
      <c r="F16" s="1760">
        <f>SUM(F3,F5:F6,F8:F10,F12:F15)</f>
        <v>10133866</v>
      </c>
      <c r="G16" s="843"/>
      <c r="H16" s="1760">
        <f>SUM(H3,H6,H8:H10,H12:H14,)</f>
        <v>5043446</v>
      </c>
      <c r="I16" s="1760">
        <f>SUM(I3,I6,I8:I10,I12:I14,)</f>
        <v>278964</v>
      </c>
      <c r="J16" s="1760">
        <f>SUM(J3,J6,J8:J10,J12:J14,)</f>
        <v>0</v>
      </c>
      <c r="K16" s="1760">
        <f>(H16+I16)-J16</f>
        <v>5322410</v>
      </c>
      <c r="L16" s="1760">
        <f>F16-K16</f>
        <v>4811456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278964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1973</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4114102</v>
      </c>
      <c r="G8" s="865"/>
    </row>
    <row r="9" spans="1:7" x14ac:dyDescent="0.2">
      <c r="A9" s="869" t="s">
        <v>460</v>
      </c>
      <c r="B9" s="870" t="s">
        <v>1876</v>
      </c>
      <c r="C9" s="871"/>
      <c r="D9" s="869" t="s">
        <v>501</v>
      </c>
      <c r="E9" s="868"/>
      <c r="F9" s="1909">
        <f>'Expenditures 15-22'!K151</f>
        <v>403360</v>
      </c>
      <c r="G9" s="872"/>
    </row>
    <row r="10" spans="1:7" x14ac:dyDescent="0.2">
      <c r="A10" s="869" t="s">
        <v>499</v>
      </c>
      <c r="B10" s="870" t="s">
        <v>1877</v>
      </c>
      <c r="C10" s="871"/>
      <c r="D10" s="869" t="s">
        <v>501</v>
      </c>
      <c r="E10" s="868"/>
      <c r="F10" s="1909">
        <f>'Expenditures 15-22'!K174</f>
        <v>428403</v>
      </c>
      <c r="G10" s="872"/>
    </row>
    <row r="11" spans="1:7" x14ac:dyDescent="0.2">
      <c r="A11" s="869" t="s">
        <v>461</v>
      </c>
      <c r="B11" s="870" t="s">
        <v>1878</v>
      </c>
      <c r="C11" s="871"/>
      <c r="D11" s="869" t="s">
        <v>501</v>
      </c>
      <c r="E11" s="868"/>
      <c r="F11" s="1909">
        <f>'Expenditures 15-22'!K210</f>
        <v>164581</v>
      </c>
      <c r="G11" s="872"/>
    </row>
    <row r="12" spans="1:7" x14ac:dyDescent="0.2">
      <c r="A12" s="869" t="s">
        <v>462</v>
      </c>
      <c r="B12" s="870" t="s">
        <v>1879</v>
      </c>
      <c r="C12" s="871"/>
      <c r="D12" s="869" t="s">
        <v>501</v>
      </c>
      <c r="E12" s="868"/>
      <c r="F12" s="1909">
        <f>'Expenditures 15-22'!K295</f>
        <v>111166</v>
      </c>
      <c r="G12" s="872"/>
    </row>
    <row r="13" spans="1:7" x14ac:dyDescent="0.2">
      <c r="A13" s="869" t="s">
        <v>106</v>
      </c>
      <c r="B13" s="870" t="s">
        <v>1880</v>
      </c>
      <c r="C13" s="871"/>
      <c r="D13" s="869" t="s">
        <v>501</v>
      </c>
      <c r="E13" s="868"/>
      <c r="F13" s="1909">
        <f>'Expenditures 15-22'!K342</f>
        <v>172299</v>
      </c>
      <c r="G13" s="873"/>
    </row>
    <row r="14" spans="1:7" ht="12" customHeight="1" thickBot="1" x14ac:dyDescent="0.25">
      <c r="A14" s="1770"/>
      <c r="B14" s="1771"/>
      <c r="C14" s="1772"/>
      <c r="D14" s="1773" t="s">
        <v>501</v>
      </c>
      <c r="E14" s="1774" t="s">
        <v>958</v>
      </c>
      <c r="F14" s="1775">
        <f>SUM(F8:F13)</f>
        <v>5393911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39369</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173763</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20850</v>
      </c>
      <c r="G52" s="865"/>
    </row>
    <row r="53" spans="1:7" x14ac:dyDescent="0.2">
      <c r="A53" s="869" t="s">
        <v>459</v>
      </c>
      <c r="B53" s="869" t="s">
        <v>1475</v>
      </c>
      <c r="C53" s="889">
        <f>'Expenditures 15-22'!B102</f>
        <v>4000</v>
      </c>
      <c r="D53" s="888" t="str">
        <f>'Expenditures 15-22'!A102</f>
        <v>Total Payments to Other Govt Units</v>
      </c>
      <c r="E53" s="868"/>
      <c r="F53" s="1913">
        <f>'Expenditures 15-22'!K102</f>
        <v>172166</v>
      </c>
      <c r="G53" s="865"/>
    </row>
    <row r="54" spans="1:7" x14ac:dyDescent="0.2">
      <c r="A54" s="869" t="s">
        <v>459</v>
      </c>
      <c r="B54" s="869" t="s">
        <v>1476</v>
      </c>
      <c r="C54" s="889" t="s">
        <v>982</v>
      </c>
      <c r="D54" s="885" t="s">
        <v>1095</v>
      </c>
      <c r="E54" s="868"/>
      <c r="F54" s="1913">
        <f>'Expenditures 15-22'!G114</f>
        <v>13165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13650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345000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11446</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892</v>
      </c>
      <c r="G67" s="865"/>
    </row>
    <row r="68" spans="1:8" x14ac:dyDescent="0.2">
      <c r="A68" s="869" t="s">
        <v>462</v>
      </c>
      <c r="B68" s="869" t="s">
        <v>1479</v>
      </c>
      <c r="C68" s="886" t="str">
        <f>'Expenditures 15-22'!B218</f>
        <v>1225</v>
      </c>
      <c r="D68" s="892" t="str">
        <f>'Expenditures 15-22'!A218</f>
        <v>Special Education Programs - Pre-K</v>
      </c>
      <c r="E68" s="868"/>
      <c r="F68" s="1913">
        <f>'Expenditures 15-22'!K218</f>
        <v>3071</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1870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795242</v>
      </c>
      <c r="G76" s="865"/>
    </row>
    <row r="77" spans="1:8" s="893" customFormat="1" ht="12" customHeight="1" thickTop="1" thickBot="1" x14ac:dyDescent="0.25">
      <c r="A77" s="1779"/>
      <c r="B77" s="1776"/>
      <c r="C77" s="1772"/>
      <c r="D77" s="1777" t="s">
        <v>1899</v>
      </c>
      <c r="E77" s="1774"/>
      <c r="F77" s="1780">
        <f>(F14-F76)</f>
        <v>4598669</v>
      </c>
      <c r="G77" s="869"/>
    </row>
    <row r="78" spans="1:8" s="893" customFormat="1" ht="12" customHeight="1" thickTop="1" x14ac:dyDescent="0.2">
      <c r="A78" s="1781"/>
      <c r="B78" s="1776"/>
      <c r="C78" s="1772"/>
      <c r="D78" s="1777" t="s">
        <v>2060</v>
      </c>
      <c r="E78" s="1774"/>
      <c r="F78" s="898">
        <v>357.9</v>
      </c>
      <c r="G78" s="899"/>
      <c r="H78" s="869"/>
    </row>
    <row r="79" spans="1:8" s="893" customFormat="1" ht="12" customHeight="1" thickBot="1" x14ac:dyDescent="0.25">
      <c r="A79" s="1782"/>
      <c r="B79" s="1776"/>
      <c r="C79" s="1772"/>
      <c r="D79" s="1777" t="s">
        <v>1900</v>
      </c>
      <c r="E79" s="1774" t="s">
        <v>958</v>
      </c>
      <c r="F79" s="1783">
        <f>IF(F78&gt;0,F77/F78," Complete Line 78")</f>
        <v>12849.033249511038</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69982</v>
      </c>
      <c r="G94" s="912"/>
    </row>
    <row r="95" spans="1:7" x14ac:dyDescent="0.2">
      <c r="A95" s="908" t="s">
        <v>140</v>
      </c>
      <c r="B95" s="908" t="s">
        <v>175</v>
      </c>
      <c r="C95" s="910">
        <v>1700</v>
      </c>
      <c r="D95" s="918" t="str">
        <f>'Revenues 9-14'!A82</f>
        <v>Total District/School Activity Income</v>
      </c>
      <c r="E95" s="906"/>
      <c r="F95" s="1789">
        <f>SUM('Revenues 9-14'!C82,'Revenues 9-14'!D82)</f>
        <v>8127</v>
      </c>
      <c r="G95" s="912"/>
    </row>
    <row r="96" spans="1:7" x14ac:dyDescent="0.2">
      <c r="A96" s="908" t="s">
        <v>459</v>
      </c>
      <c r="B96" s="908" t="s">
        <v>176</v>
      </c>
      <c r="C96" s="910">
        <f>'Revenues 9-14'!B84</f>
        <v>1811</v>
      </c>
      <c r="D96" s="911" t="str">
        <f>'Revenues 9-14'!A84</f>
        <v>Rentals - Regular Textbooks</v>
      </c>
      <c r="E96" s="906"/>
      <c r="F96" s="1789">
        <f>'Revenues 9-14'!C84</f>
        <v>50445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97506</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8950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12571</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11118</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2470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5270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100425</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623</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30505</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86953</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146435</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500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18324</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17033</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667237</v>
      </c>
    </row>
    <row r="175" spans="1:7" ht="12" customHeight="1" x14ac:dyDescent="0.2">
      <c r="A175" s="1770"/>
      <c r="B175" s="1784"/>
      <c r="C175" s="1785"/>
      <c r="D175" s="1786" t="s">
        <v>2055</v>
      </c>
      <c r="E175" s="1787"/>
      <c r="F175" s="1789">
        <f>'PCTC-OEPP 27-28'!F77-F174</f>
        <v>3931432</v>
      </c>
    </row>
    <row r="176" spans="1:7" ht="12" customHeight="1" x14ac:dyDescent="0.2">
      <c r="A176" s="1770"/>
      <c r="B176" s="1784"/>
      <c r="C176" s="1785"/>
      <c r="D176" s="1786" t="s">
        <v>1817</v>
      </c>
      <c r="E176" s="1787"/>
      <c r="F176" s="1789">
        <f>'Cap Outlay Deprec 26'!I18</f>
        <v>278964</v>
      </c>
    </row>
    <row r="177" spans="1:7" ht="12" customHeight="1" x14ac:dyDescent="0.2">
      <c r="A177" s="1770"/>
      <c r="B177" s="1784"/>
      <c r="C177" s="1785"/>
      <c r="D177" s="1786" t="s">
        <v>2056</v>
      </c>
      <c r="E177" s="1787"/>
      <c r="F177" s="1789">
        <f>F175+F176</f>
        <v>4210396</v>
      </c>
    </row>
    <row r="178" spans="1:7" ht="12" customHeight="1" x14ac:dyDescent="0.2">
      <c r="A178" s="1770"/>
      <c r="B178" s="1790"/>
      <c r="C178" s="1785"/>
      <c r="D178" s="1786" t="str">
        <f>D78</f>
        <v>9 Month ADA from District Average Daily Attendance/Prior General State Aid Inquiry 2018-2019</v>
      </c>
      <c r="E178" s="1787"/>
      <c r="F178" s="1791">
        <f>'PCTC-OEPP 27-28'!F78</f>
        <v>357.9</v>
      </c>
      <c r="G178" s="930"/>
    </row>
    <row r="179" spans="1:7" ht="12" customHeight="1" thickBot="1" x14ac:dyDescent="0.25">
      <c r="A179" s="1770"/>
      <c r="B179" s="1790"/>
      <c r="C179" s="1785"/>
      <c r="D179" s="1786" t="s">
        <v>2057</v>
      </c>
      <c r="E179" s="1787" t="s">
        <v>1545</v>
      </c>
      <c r="F179" s="1792">
        <f>F177/F178</f>
        <v>11764.168762224086</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0" zoomScaleNormal="100" workbookViewId="0">
      <selection activeCell="D25" sqref="D25"/>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7" t="s">
        <v>1818</v>
      </c>
      <c r="B4" s="2278"/>
      <c r="C4" s="2278"/>
      <c r="D4" s="2278"/>
      <c r="E4" s="2278"/>
      <c r="F4" s="2278"/>
      <c r="G4" s="2279"/>
    </row>
    <row r="5" spans="1:7" x14ac:dyDescent="0.25">
      <c r="A5" s="2280"/>
      <c r="B5" s="2281"/>
      <c r="C5" s="2281"/>
      <c r="D5" s="2281"/>
      <c r="E5" s="2281"/>
      <c r="F5" s="2281"/>
      <c r="G5" s="2282"/>
    </row>
    <row r="6" spans="1:7" ht="18.75" x14ac:dyDescent="0.25">
      <c r="A6" s="1534" t="s">
        <v>1819</v>
      </c>
      <c r="B6" s="1535"/>
      <c r="C6" s="1535"/>
      <c r="D6" s="1535"/>
      <c r="E6" s="1535"/>
      <c r="F6" s="1535"/>
      <c r="G6" s="1536"/>
    </row>
    <row r="7" spans="1:7" ht="30.75" customHeight="1" x14ac:dyDescent="0.25">
      <c r="A7" s="2283" t="s">
        <v>1931</v>
      </c>
      <c r="B7" s="2284"/>
      <c r="C7" s="2284"/>
      <c r="D7" s="2284"/>
      <c r="E7" s="2284"/>
      <c r="F7" s="2284"/>
      <c r="G7" s="2285"/>
    </row>
    <row r="8" spans="1:7" ht="15.75" customHeight="1" x14ac:dyDescent="0.25">
      <c r="A8" s="2286" t="s">
        <v>1906</v>
      </c>
      <c r="B8" s="2287"/>
      <c r="C8" s="2287"/>
      <c r="D8" s="2287"/>
      <c r="E8" s="2287"/>
      <c r="F8" s="2287"/>
      <c r="G8" s="2288"/>
    </row>
    <row r="9" spans="1:7" ht="35.25" customHeight="1" x14ac:dyDescent="0.25">
      <c r="A9" s="2283" t="s">
        <v>2063</v>
      </c>
      <c r="B9" s="2284"/>
      <c r="C9" s="2284"/>
      <c r="D9" s="2284"/>
      <c r="E9" s="2284"/>
      <c r="F9" s="2284"/>
      <c r="G9" s="2285"/>
    </row>
    <row r="10" spans="1:7" ht="15" customHeight="1" x14ac:dyDescent="0.25">
      <c r="A10" s="1537" t="s">
        <v>1820</v>
      </c>
      <c r="B10" s="1538"/>
      <c r="C10" s="1538"/>
      <c r="D10" s="1538"/>
      <c r="E10" s="1538"/>
      <c r="F10" s="1538"/>
      <c r="G10" s="1539"/>
    </row>
    <row r="11" spans="1:7" ht="17.25" customHeight="1" x14ac:dyDescent="0.25">
      <c r="A11" s="2283" t="s">
        <v>1933</v>
      </c>
      <c r="B11" s="2284"/>
      <c r="C11" s="2284"/>
      <c r="D11" s="2284"/>
      <c r="E11" s="2284"/>
      <c r="F11" s="2284"/>
      <c r="G11" s="2285"/>
    </row>
    <row r="12" spans="1:7" ht="15" customHeight="1" x14ac:dyDescent="0.25">
      <c r="A12" s="1537" t="s">
        <v>1825</v>
      </c>
      <c r="B12" s="1538"/>
      <c r="C12" s="1538"/>
      <c r="D12" s="1538"/>
      <c r="E12" s="1538"/>
      <c r="F12" s="1538"/>
      <c r="G12" s="1539"/>
    </row>
    <row r="13" spans="1:7" ht="32.25" customHeight="1" x14ac:dyDescent="0.25">
      <c r="A13" s="2274" t="s">
        <v>1974</v>
      </c>
      <c r="B13" s="2275"/>
      <c r="C13" s="2275"/>
      <c r="D13" s="2275"/>
      <c r="E13" s="2275"/>
      <c r="F13" s="2275"/>
      <c r="G13" s="227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1" t="s">
        <v>2086</v>
      </c>
      <c r="B17" s="1942" t="s">
        <v>2087</v>
      </c>
      <c r="C17" s="1943" t="s">
        <v>2088</v>
      </c>
      <c r="D17" s="1844">
        <v>2228</v>
      </c>
      <c r="E17" s="1540">
        <f t="shared" ref="E17:E141" si="0">IF(D17&lt;=25000,D17,IF(D17&gt;25000,25000,0))</f>
        <v>2228</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2228</v>
      </c>
      <c r="G17" s="1793">
        <f>IF(F17=0,0,D17-F17)</f>
        <v>0</v>
      </c>
      <c r="H17" s="1647"/>
    </row>
    <row r="18" spans="1:8" x14ac:dyDescent="0.25">
      <c r="A18" s="1941" t="s">
        <v>2089</v>
      </c>
      <c r="B18" s="1942" t="s">
        <v>2090</v>
      </c>
      <c r="C18" s="1943" t="s">
        <v>2091</v>
      </c>
      <c r="D18" s="1844">
        <v>1630</v>
      </c>
      <c r="E18" s="1540">
        <f t="shared" ref="E18:E140" si="2">IF(D18&lt;=25000,D18,IF(D18&gt;25000,25000,0))</f>
        <v>1630</v>
      </c>
      <c r="F18" s="1932">
        <f t="shared" si="1"/>
        <v>1630</v>
      </c>
      <c r="G18" s="1793">
        <f t="shared" ref="G18:G140" si="3">IF(F18=0,0,D18-F18)</f>
        <v>0</v>
      </c>
    </row>
    <row r="19" spans="1:8" x14ac:dyDescent="0.25">
      <c r="A19" s="1941" t="s">
        <v>2089</v>
      </c>
      <c r="B19" s="1942" t="s">
        <v>2090</v>
      </c>
      <c r="C19" s="1943" t="s">
        <v>2092</v>
      </c>
      <c r="D19" s="1844">
        <v>16304</v>
      </c>
      <c r="E19" s="1540">
        <f t="shared" si="2"/>
        <v>16304</v>
      </c>
      <c r="F19" s="1932">
        <f t="shared" si="1"/>
        <v>16304</v>
      </c>
      <c r="G19" s="1793">
        <f t="shared" si="3"/>
        <v>0</v>
      </c>
    </row>
    <row r="20" spans="1:8" x14ac:dyDescent="0.25">
      <c r="A20" s="1941" t="s">
        <v>2093</v>
      </c>
      <c r="B20" s="1942" t="s">
        <v>2094</v>
      </c>
      <c r="C20" s="1943" t="s">
        <v>2095</v>
      </c>
      <c r="D20" s="1844">
        <v>16824</v>
      </c>
      <c r="E20" s="1540">
        <f t="shared" si="2"/>
        <v>16824</v>
      </c>
      <c r="F20" s="1932">
        <f t="shared" si="1"/>
        <v>16824</v>
      </c>
      <c r="G20" s="1793">
        <f t="shared" si="3"/>
        <v>0</v>
      </c>
    </row>
    <row r="21" spans="1:8" x14ac:dyDescent="0.25">
      <c r="A21" s="1941" t="s">
        <v>2096</v>
      </c>
      <c r="B21" s="1942" t="s">
        <v>2097</v>
      </c>
      <c r="C21" s="1943" t="s">
        <v>2098</v>
      </c>
      <c r="D21" s="1844">
        <v>1790</v>
      </c>
      <c r="E21" s="1540">
        <f t="shared" si="2"/>
        <v>1790</v>
      </c>
      <c r="F21" s="1932">
        <f t="shared" si="1"/>
        <v>1790</v>
      </c>
      <c r="G21" s="1793">
        <f t="shared" si="3"/>
        <v>0</v>
      </c>
    </row>
    <row r="22" spans="1:8" x14ac:dyDescent="0.25">
      <c r="A22" s="1941" t="s">
        <v>2096</v>
      </c>
      <c r="B22" s="1942" t="s">
        <v>2097</v>
      </c>
      <c r="C22" s="1943" t="s">
        <v>2088</v>
      </c>
      <c r="D22" s="1844">
        <v>12207</v>
      </c>
      <c r="E22" s="1540">
        <f t="shared" si="2"/>
        <v>12207</v>
      </c>
      <c r="F22" s="1932">
        <f t="shared" si="1"/>
        <v>12207</v>
      </c>
      <c r="G22" s="1793">
        <f t="shared" si="3"/>
        <v>0</v>
      </c>
    </row>
    <row r="23" spans="1:8" x14ac:dyDescent="0.25">
      <c r="A23" s="1941" t="s">
        <v>2096</v>
      </c>
      <c r="B23" s="1942" t="s">
        <v>2097</v>
      </c>
      <c r="C23" s="1943" t="s">
        <v>2099</v>
      </c>
      <c r="D23" s="1844">
        <v>2000</v>
      </c>
      <c r="E23" s="1540">
        <f t="shared" si="2"/>
        <v>2000</v>
      </c>
      <c r="F23" s="1932">
        <f t="shared" si="1"/>
        <v>2000</v>
      </c>
      <c r="G23" s="1793">
        <f t="shared" si="3"/>
        <v>0</v>
      </c>
    </row>
    <row r="24" spans="1:8" x14ac:dyDescent="0.25">
      <c r="A24" s="1941" t="s">
        <v>2096</v>
      </c>
      <c r="B24" s="1942" t="s">
        <v>2097</v>
      </c>
      <c r="C24" s="1943" t="s">
        <v>2100</v>
      </c>
      <c r="D24" s="1844">
        <v>9300</v>
      </c>
      <c r="E24" s="1540">
        <f t="shared" si="2"/>
        <v>9300</v>
      </c>
      <c r="F24" s="1932">
        <f t="shared" si="1"/>
        <v>9300</v>
      </c>
      <c r="G24" s="1793">
        <f t="shared" si="3"/>
        <v>0</v>
      </c>
    </row>
    <row r="25" spans="1:8" x14ac:dyDescent="0.25">
      <c r="A25" s="1941"/>
      <c r="B25" s="1942"/>
      <c r="C25" s="1943"/>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62283</v>
      </c>
      <c r="E141" s="1541">
        <f t="shared" si="0"/>
        <v>25000</v>
      </c>
      <c r="F141" s="1933">
        <f>SUM(F17:F140)</f>
        <v>62283</v>
      </c>
      <c r="G141" s="179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7"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86953</v>
      </c>
      <c r="F10" s="974"/>
      <c r="G10" s="975"/>
      <c r="H10" s="162"/>
      <c r="I10" s="162"/>
    </row>
    <row r="11" spans="1:9" s="668" customFormat="1" ht="22.5" customHeight="1" x14ac:dyDescent="0.2">
      <c r="A11" s="2294" t="s">
        <v>1975</v>
      </c>
      <c r="B11" s="2295"/>
      <c r="C11" s="2295"/>
      <c r="D11" s="2296"/>
      <c r="E11" s="977">
        <v>22121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2738642</v>
      </c>
      <c r="F19" s="1799"/>
      <c r="G19" s="1801">
        <f>'Expenditures 15-22'!K33-SUM('Expenditures 15-22'!G33,'Expenditures 15-22'!I33)+'Expenditures 15-22'!D229</f>
        <v>2738642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249911</v>
      </c>
      <c r="F21" s="1802"/>
      <c r="G21" s="1805">
        <f>'Expenditures 15-22'!K42-SUM('Expenditures 15-22'!G42,'Expenditures 15-22'!I42)+'Expenditures 15-22'!K120-SUM('Expenditures 15-22'!G120,'Expenditures 15-22'!I120)+'Expenditures 15-22'!K180-SUM('Expenditures 15-22'!G180,'Expenditures 15-22'!I180)+'Expenditures 15-22'!D238</f>
        <v>249911</v>
      </c>
      <c r="H21" s="987"/>
      <c r="I21" s="162"/>
    </row>
    <row r="22" spans="1:9" s="668" customFormat="1" ht="12" customHeight="1" x14ac:dyDescent="0.2">
      <c r="A22" s="994" t="s">
        <v>564</v>
      </c>
      <c r="B22" s="995"/>
      <c r="C22" s="993">
        <v>2200</v>
      </c>
      <c r="D22" s="1802"/>
      <c r="E22" s="1804">
        <f>'Expenditures 15-22'!K47-SUM('Expenditures 15-22'!G47,'Expenditures 15-22'!I47)+'Expenditures 15-22'!D243</f>
        <v>47138</v>
      </c>
      <c r="F22" s="1802"/>
      <c r="G22" s="1805">
        <f>'Expenditures 15-22'!K47-SUM('Expenditures 15-22'!G47,'Expenditures 15-22'!I47)+'Expenditures 15-22'!D243</f>
        <v>47138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389094</v>
      </c>
      <c r="F23" s="1802"/>
      <c r="G23" s="1804">
        <f>'Expenditures 15-22'!K53-SUM('Expenditures 15-22'!G53,'Expenditures 15-22'!I53)+'Expenditures 15-22'!D257+'Expenditures 15-22'!K330-SUM('Expenditures 15-22'!G330,'Expenditures 15-22'!I330)</f>
        <v>389094</v>
      </c>
      <c r="H23" s="987"/>
      <c r="I23" s="162"/>
    </row>
    <row r="24" spans="1:9" s="668" customFormat="1" ht="12" customHeight="1" x14ac:dyDescent="0.2">
      <c r="A24" s="994" t="s">
        <v>566</v>
      </c>
      <c r="B24" s="995"/>
      <c r="C24" s="993">
        <v>2400</v>
      </c>
      <c r="D24" s="1802"/>
      <c r="E24" s="1804">
        <f>'Expenditures 15-22'!K57-SUM('Expenditures 15-22'!G57,'Expenditures 15-22'!I57)+'Expenditures 15-22'!D261</f>
        <v>239497</v>
      </c>
      <c r="F24" s="1802"/>
      <c r="G24" s="1805">
        <f>'Expenditures 15-22'!K57-SUM('Expenditures 15-22'!G57,'Expenditures 15-22'!I57)+'Expenditures 15-22'!D261</f>
        <v>239497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92944</v>
      </c>
      <c r="E27" s="1804">
        <f>E8</f>
        <v>0</v>
      </c>
      <c r="F27" s="1804">
        <f>'Expenditures 15-22'!K60-SUM('Expenditures 15-22'!G60,'Expenditures 15-22'!I60)+'Expenditures 15-22'!D264-E8</f>
        <v>92944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407082</v>
      </c>
      <c r="F28" s="1806">
        <f>'Expenditures 15-22'!K61-SUM('Expenditures 15-22'!G61,'Expenditures 15-22'!I61)+'Expenditures 15-22'!K124-SUM('Expenditures 15-22'!G124,'Expenditures 15-22'!I124)+'Expenditures 15-22'!D266-E9</f>
        <v>407082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164456</v>
      </c>
      <c r="F29" s="1802"/>
      <c r="G29" s="1805">
        <f>'Expenditures 15-22'!K62-SUM('Expenditures 15-22'!G62,'Expenditures 15-22'!I62)+'Expenditures 15-22'!K125-SUM('Expenditures 15-22'!G125,'Expenditures 15-22'!I125)+'Expenditures 15-22'!K182-SUM('Expenditures 15-22'!G182,'Expenditures 15-22'!I182)+'Expenditures 15-22'!D267</f>
        <v>164456</v>
      </c>
      <c r="H29" s="985"/>
    </row>
    <row r="30" spans="1:9" ht="12" customHeight="1" x14ac:dyDescent="0.2">
      <c r="A30" s="994" t="s">
        <v>100</v>
      </c>
      <c r="B30" s="997"/>
      <c r="C30" s="993">
        <v>2560</v>
      </c>
      <c r="D30" s="1802"/>
      <c r="E30" s="1804">
        <f>'Expenditures 15-22'!K63-SUM('Expenditures 15-22'!G63,'Expenditures 15-22'!I63)+'Expenditures 15-22'!D268-E10</f>
        <v>94083</v>
      </c>
      <c r="F30" s="1802"/>
      <c r="G30" s="1804">
        <f>'Expenditures 15-22'!K63-SUM('Expenditures 15-22'!G63,'Expenditures 15-22'!I63)+'Expenditures 15-22'!D268-E10</f>
        <v>94083</v>
      </c>
    </row>
    <row r="31" spans="1:9" ht="12" customHeight="1" x14ac:dyDescent="0.2">
      <c r="A31" s="994" t="s">
        <v>101</v>
      </c>
      <c r="B31" s="997"/>
      <c r="C31" s="993">
        <v>2570</v>
      </c>
      <c r="D31" s="1804">
        <f>'Expenditures 15-22'!K64-SUM('Expenditures 15-22'!G64,'Expenditures 15-22'!I64)+'Expenditures 15-22'!D269-E12</f>
        <v>15824</v>
      </c>
      <c r="E31" s="1804">
        <f>E12</f>
        <v>0</v>
      </c>
      <c r="F31" s="1804">
        <f>'Expenditures 15-22'!K64-SUM('Expenditures 15-22'!G64,'Expenditures 15-22'!I64)+'Expenditures 15-22'!D269-E12</f>
        <v>15824</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199644</v>
      </c>
      <c r="E37" s="1804">
        <f>E14</f>
        <v>0</v>
      </c>
      <c r="F37" s="1804">
        <f>'Expenditures 15-22'!K71-SUM('Expenditures 15-22'!G71,'Expenditures 15-22'!I71)+'Expenditures 15-22'!D276-E14</f>
        <v>199644</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22720</v>
      </c>
      <c r="F39" s="1802"/>
      <c r="G39" s="1804">
        <f>'Expenditures 15-22'!K75-SUM('Expenditures 15-22'!G75,'Expenditures 15-22'!I75)+'Expenditures 15-22'!K130-SUM('Expenditures 15-22'!G130,'Expenditures 15-22'!I130)+'Expenditures 15-22'!K185-SUM('Expenditures 15-22'!G185,'Expenditures 15-22'!I185)+'Expenditures 15-22'!D280</f>
        <v>22720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308412</v>
      </c>
      <c r="E41" s="1806">
        <f>SUM(E19:E40)</f>
        <v>4352623</v>
      </c>
      <c r="F41" s="1806">
        <f>SUM(F19:F39)</f>
        <v>715494</v>
      </c>
      <c r="G41" s="1806">
        <f>SUM(G19:G40)</f>
        <v>3945541</v>
      </c>
    </row>
    <row r="42" spans="1:7" x14ac:dyDescent="0.2">
      <c r="A42" s="987"/>
      <c r="B42" s="162"/>
      <c r="C42" s="1001"/>
      <c r="D42" s="2292" t="s">
        <v>522</v>
      </c>
      <c r="E42" s="2293"/>
      <c r="F42" s="1002" t="s">
        <v>523</v>
      </c>
      <c r="G42" s="1003"/>
    </row>
    <row r="43" spans="1:7" ht="12" customHeight="1" x14ac:dyDescent="0.2">
      <c r="A43" s="987"/>
      <c r="B43" s="162"/>
      <c r="C43" s="1001"/>
      <c r="D43" s="1807" t="s">
        <v>473</v>
      </c>
      <c r="E43" s="1808">
        <f>D41</f>
        <v>308412</v>
      </c>
      <c r="F43" s="1807" t="s">
        <v>473</v>
      </c>
      <c r="G43" s="1808">
        <f>F41</f>
        <v>715494</v>
      </c>
    </row>
    <row r="44" spans="1:7" ht="12" customHeight="1" x14ac:dyDescent="0.2">
      <c r="A44" s="987"/>
      <c r="B44" s="162"/>
      <c r="C44" s="1001"/>
      <c r="D44" s="1807" t="s">
        <v>474</v>
      </c>
      <c r="E44" s="1808">
        <f>E41</f>
        <v>4352623</v>
      </c>
      <c r="F44" s="1807" t="s">
        <v>474</v>
      </c>
      <c r="G44" s="1808">
        <f>G41</f>
        <v>3945541</v>
      </c>
    </row>
    <row r="45" spans="1:7" ht="12" customHeight="1" x14ac:dyDescent="0.2">
      <c r="A45" s="987"/>
      <c r="B45" s="162"/>
      <c r="C45" s="162"/>
      <c r="D45" s="1809" t="s">
        <v>1006</v>
      </c>
      <c r="E45" s="1810">
        <f>(E43/E44)</f>
        <v>7.0856584638733927E-2</v>
      </c>
      <c r="F45" s="1809" t="s">
        <v>1006</v>
      </c>
      <c r="G45" s="1810">
        <f>(G43/G44)</f>
        <v>0.18134243187436147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7" activePane="bottomLeft" state="frozen"/>
      <selection activeCell="A47" sqref="A47"/>
      <selection pane="bottomLeft" activeCell="F29" sqref="F2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0" t="s">
        <v>1379</v>
      </c>
      <c r="B1" s="2300"/>
      <c r="C1" s="2300"/>
      <c r="D1" s="2300"/>
      <c r="E1" s="2300"/>
      <c r="F1" s="2300"/>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1" t="s">
        <v>1546</v>
      </c>
      <c r="B5" s="2302"/>
      <c r="C5" s="2303"/>
      <c r="D5" s="2303"/>
      <c r="E5" s="2303"/>
      <c r="F5" s="2303"/>
    </row>
    <row r="6" spans="1:10" ht="12" customHeight="1" x14ac:dyDescent="0.25">
      <c r="A6" s="1850"/>
      <c r="B6" s="1851"/>
      <c r="C6" s="2304" t="str">
        <f>COVER!A17</f>
        <v>Earlville CUSD 9</v>
      </c>
      <c r="D6" s="2304"/>
      <c r="E6" s="2304"/>
      <c r="F6" s="1852"/>
    </row>
    <row r="7" spans="1:10" ht="11.25" customHeight="1" thickBot="1" x14ac:dyDescent="0.3">
      <c r="A7" s="1850"/>
      <c r="B7" s="1851"/>
      <c r="C7" s="2305">
        <f>COVER!A13</f>
        <v>35050009026</v>
      </c>
      <c r="D7" s="2305"/>
      <c r="E7" s="2305"/>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2073</v>
      </c>
      <c r="D16" s="1865" t="s">
        <v>2073</v>
      </c>
      <c r="E16" s="1944"/>
      <c r="F16" s="1867" t="s">
        <v>2101</v>
      </c>
      <c r="H16" s="1878">
        <f t="shared" si="0"/>
        <v>5</v>
      </c>
      <c r="I16" s="1878">
        <f t="shared" si="1"/>
        <v>5</v>
      </c>
      <c r="J16" s="1878">
        <f t="shared" si="2"/>
        <v>0</v>
      </c>
    </row>
    <row r="17" spans="1:12" ht="12" customHeight="1" x14ac:dyDescent="0.2">
      <c r="A17" s="1863" t="s">
        <v>1389</v>
      </c>
      <c r="B17" s="1864"/>
      <c r="C17" s="1865"/>
      <c r="D17" s="1865"/>
      <c r="E17" s="1944"/>
      <c r="F17" s="1867"/>
      <c r="H17" s="1878">
        <f t="shared" si="0"/>
        <v>0</v>
      </c>
      <c r="I17" s="1878">
        <f t="shared" si="1"/>
        <v>0</v>
      </c>
      <c r="J17" s="1878">
        <f t="shared" si="2"/>
        <v>0</v>
      </c>
    </row>
    <row r="18" spans="1:12" ht="12" customHeight="1" x14ac:dyDescent="0.2">
      <c r="A18" s="1863" t="s">
        <v>1390</v>
      </c>
      <c r="B18" s="1864"/>
      <c r="C18" s="1865"/>
      <c r="D18" s="1865"/>
      <c r="E18" s="1944"/>
      <c r="F18" s="1867"/>
      <c r="H18" s="1878">
        <f t="shared" si="0"/>
        <v>0</v>
      </c>
      <c r="I18" s="1878">
        <f t="shared" si="1"/>
        <v>0</v>
      </c>
      <c r="J18" s="1878">
        <f t="shared" si="2"/>
        <v>0</v>
      </c>
    </row>
    <row r="19" spans="1:12" ht="12" customHeight="1" x14ac:dyDescent="0.2">
      <c r="A19" s="1863" t="s">
        <v>1527</v>
      </c>
      <c r="B19" s="1864"/>
      <c r="C19" s="1865"/>
      <c r="D19" s="1865"/>
      <c r="E19" s="1944"/>
      <c r="F19" s="1867"/>
      <c r="H19" s="1878">
        <f t="shared" si="0"/>
        <v>0</v>
      </c>
      <c r="I19" s="1878">
        <f t="shared" si="1"/>
        <v>0</v>
      </c>
      <c r="J19" s="1878">
        <f t="shared" si="2"/>
        <v>0</v>
      </c>
    </row>
    <row r="20" spans="1:12" ht="12" customHeight="1" x14ac:dyDescent="0.2">
      <c r="A20" s="1863" t="s">
        <v>1528</v>
      </c>
      <c r="B20" s="1864"/>
      <c r="C20" s="1865"/>
      <c r="D20" s="1865"/>
      <c r="E20" s="1944"/>
      <c r="F20" s="1867"/>
      <c r="H20" s="1878">
        <f t="shared" si="0"/>
        <v>0</v>
      </c>
      <c r="I20" s="1878">
        <f t="shared" si="1"/>
        <v>0</v>
      </c>
      <c r="J20" s="1878">
        <f t="shared" si="2"/>
        <v>0</v>
      </c>
    </row>
    <row r="21" spans="1:12" ht="12" customHeight="1" x14ac:dyDescent="0.2">
      <c r="A21" s="1863" t="s">
        <v>1529</v>
      </c>
      <c r="B21" s="1864"/>
      <c r="C21" s="1865"/>
      <c r="D21" s="1865"/>
      <c r="E21" s="1944"/>
      <c r="F21" s="1867"/>
      <c r="H21" s="1878">
        <f t="shared" si="0"/>
        <v>0</v>
      </c>
      <c r="I21" s="1878">
        <f t="shared" si="1"/>
        <v>0</v>
      </c>
      <c r="J21" s="1878">
        <f t="shared" si="2"/>
        <v>0</v>
      </c>
    </row>
    <row r="22" spans="1:12" ht="12" customHeight="1" x14ac:dyDescent="0.2">
      <c r="A22" s="1863" t="s">
        <v>1530</v>
      </c>
      <c r="B22" s="1864"/>
      <c r="C22" s="1865"/>
      <c r="D22" s="1865"/>
      <c r="E22" s="1944"/>
      <c r="F22" s="1867"/>
      <c r="H22" s="1878">
        <f t="shared" si="0"/>
        <v>0</v>
      </c>
      <c r="I22" s="1878">
        <f t="shared" si="1"/>
        <v>0</v>
      </c>
      <c r="J22" s="1878">
        <f t="shared" si="2"/>
        <v>0</v>
      </c>
    </row>
    <row r="23" spans="1:12" ht="12" customHeight="1" x14ac:dyDescent="0.2">
      <c r="A23" s="1863" t="s">
        <v>1531</v>
      </c>
      <c r="B23" s="1864"/>
      <c r="C23" s="1865"/>
      <c r="D23" s="1865"/>
      <c r="E23" s="1944"/>
      <c r="F23" s="1867"/>
      <c r="H23" s="1878">
        <f t="shared" si="0"/>
        <v>0</v>
      </c>
      <c r="I23" s="1878">
        <f t="shared" si="1"/>
        <v>0</v>
      </c>
      <c r="J23" s="1878">
        <f t="shared" si="2"/>
        <v>0</v>
      </c>
    </row>
    <row r="24" spans="1:12" ht="12" customHeight="1" x14ac:dyDescent="0.2">
      <c r="A24" s="1863" t="s">
        <v>1532</v>
      </c>
      <c r="B24" s="1864"/>
      <c r="C24" s="1865"/>
      <c r="D24" s="1865"/>
      <c r="E24" s="1944"/>
      <c r="F24" s="1867"/>
      <c r="H24" s="1878">
        <f t="shared" si="0"/>
        <v>0</v>
      </c>
      <c r="I24" s="1878">
        <f t="shared" si="1"/>
        <v>0</v>
      </c>
      <c r="J24" s="1878">
        <f t="shared" si="2"/>
        <v>0</v>
      </c>
    </row>
    <row r="25" spans="1:12" ht="12" customHeight="1" x14ac:dyDescent="0.2">
      <c r="A25" s="1863" t="s">
        <v>1533</v>
      </c>
      <c r="B25" s="1864"/>
      <c r="C25" s="1865"/>
      <c r="D25" s="1865"/>
      <c r="E25" s="1944"/>
      <c r="F25" s="1867"/>
      <c r="H25" s="1878">
        <f t="shared" si="0"/>
        <v>0</v>
      </c>
      <c r="I25" s="1878">
        <f t="shared" si="1"/>
        <v>0</v>
      </c>
      <c r="J25" s="1878">
        <f t="shared" si="2"/>
        <v>0</v>
      </c>
    </row>
    <row r="26" spans="1:12" ht="12" customHeight="1" x14ac:dyDescent="0.2">
      <c r="A26" s="1863" t="s">
        <v>1534</v>
      </c>
      <c r="B26" s="1864"/>
      <c r="C26" s="1865" t="s">
        <v>2073</v>
      </c>
      <c r="D26" s="1865" t="s">
        <v>2073</v>
      </c>
      <c r="E26" s="1944"/>
      <c r="F26" s="1867" t="s">
        <v>2102</v>
      </c>
      <c r="H26" s="1878">
        <f t="shared" si="0"/>
        <v>5</v>
      </c>
      <c r="I26" s="1878">
        <f t="shared" si="1"/>
        <v>5</v>
      </c>
      <c r="J26" s="1878">
        <f t="shared" si="2"/>
        <v>0</v>
      </c>
    </row>
    <row r="27" spans="1:12" ht="18.75" x14ac:dyDescent="0.2">
      <c r="A27" s="1863" t="s">
        <v>1535</v>
      </c>
      <c r="B27" s="1864"/>
      <c r="C27" s="1865"/>
      <c r="D27" s="1865"/>
      <c r="E27" s="1944"/>
      <c r="F27" s="1867"/>
      <c r="H27" s="1878">
        <f t="shared" si="0"/>
        <v>0</v>
      </c>
      <c r="I27" s="1878">
        <f t="shared" si="1"/>
        <v>0</v>
      </c>
      <c r="J27" s="1878">
        <f t="shared" si="2"/>
        <v>0</v>
      </c>
    </row>
    <row r="28" spans="1:12" ht="12" customHeight="1" x14ac:dyDescent="0.2">
      <c r="A28" s="1863" t="s">
        <v>1536</v>
      </c>
      <c r="B28" s="1864"/>
      <c r="C28" s="1865"/>
      <c r="D28" s="1865"/>
      <c r="E28" s="1944"/>
      <c r="F28" s="1867"/>
      <c r="H28" s="1878">
        <f t="shared" si="0"/>
        <v>0</v>
      </c>
      <c r="I28" s="1878">
        <f t="shared" si="1"/>
        <v>0</v>
      </c>
      <c r="J28" s="1878">
        <f t="shared" si="2"/>
        <v>0</v>
      </c>
    </row>
    <row r="29" spans="1:12" ht="12" customHeight="1" x14ac:dyDescent="0.2">
      <c r="A29" s="1863" t="s">
        <v>1537</v>
      </c>
      <c r="B29" s="1864"/>
      <c r="C29" s="1865"/>
      <c r="D29" s="1865"/>
      <c r="E29" s="1944"/>
      <c r="F29" s="1867"/>
      <c r="H29" s="1878">
        <f t="shared" si="0"/>
        <v>0</v>
      </c>
      <c r="I29" s="1878">
        <f t="shared" si="1"/>
        <v>0</v>
      </c>
      <c r="J29" s="1878">
        <f t="shared" si="2"/>
        <v>0</v>
      </c>
    </row>
    <row r="30" spans="1:12" ht="12" customHeight="1" x14ac:dyDescent="0.2">
      <c r="A30" s="1863" t="s">
        <v>1538</v>
      </c>
      <c r="B30" s="1864"/>
      <c r="C30" s="1865"/>
      <c r="D30" s="1865"/>
      <c r="E30" s="1944"/>
      <c r="F30" s="1867"/>
      <c r="H30" s="1878">
        <f t="shared" si="0"/>
        <v>0</v>
      </c>
      <c r="I30" s="1878">
        <f t="shared" si="1"/>
        <v>0</v>
      </c>
      <c r="J30" s="1878">
        <f t="shared" si="2"/>
        <v>0</v>
      </c>
    </row>
    <row r="31" spans="1:12" ht="12" customHeight="1" x14ac:dyDescent="0.2">
      <c r="A31" s="1863" t="s">
        <v>1539</v>
      </c>
      <c r="B31" s="1864"/>
      <c r="C31" s="1865" t="s">
        <v>2073</v>
      </c>
      <c r="D31" s="1865" t="s">
        <v>2073</v>
      </c>
      <c r="E31" s="1944"/>
      <c r="F31" s="1867" t="s">
        <v>2103</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06"/>
      <c r="D35" s="2306"/>
      <c r="E35" s="2306"/>
      <c r="F35" s="2307"/>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11"/>
      <c r="B38" s="2312"/>
      <c r="C38" s="2312"/>
      <c r="D38" s="2312"/>
      <c r="E38" s="2312"/>
      <c r="F38" s="2313"/>
    </row>
    <row r="39" spans="1:11" ht="4.5" hidden="1" customHeight="1" x14ac:dyDescent="0.2">
      <c r="A39" s="1873"/>
      <c r="B39" s="1873"/>
      <c r="C39" s="1873"/>
      <c r="D39" s="1873"/>
      <c r="E39" s="1873"/>
      <c r="F39" s="1873"/>
    </row>
    <row r="40" spans="1:11" s="1870" customFormat="1" ht="12" customHeight="1" x14ac:dyDescent="0.25">
      <c r="A40" s="1874" t="s">
        <v>1391</v>
      </c>
      <c r="B40" s="1875"/>
      <c r="C40" s="2314"/>
      <c r="D40" s="2314"/>
      <c r="E40" s="2314"/>
      <c r="F40" s="2315"/>
      <c r="H40" s="1879"/>
      <c r="I40" s="1879"/>
      <c r="J40" s="1879"/>
      <c r="K40" s="1879"/>
    </row>
    <row r="41" spans="1:11" s="1870" customFormat="1" ht="12" customHeight="1" x14ac:dyDescent="0.25">
      <c r="A41" s="2316"/>
      <c r="B41" s="2317"/>
      <c r="C41" s="2317"/>
      <c r="D41" s="2317"/>
      <c r="E41" s="2317"/>
      <c r="F41" s="2318"/>
      <c r="H41" s="1879"/>
      <c r="I41" s="1879"/>
      <c r="J41" s="1879"/>
      <c r="K41" s="1879"/>
    </row>
    <row r="42" spans="1:11" s="1870" customFormat="1" ht="12" customHeight="1" x14ac:dyDescent="0.25">
      <c r="A42" s="2316"/>
      <c r="B42" s="2317"/>
      <c r="C42" s="2317"/>
      <c r="D42" s="2317"/>
      <c r="E42" s="2317"/>
      <c r="F42" s="2318"/>
      <c r="H42" s="1879"/>
      <c r="I42" s="1879"/>
      <c r="J42" s="1879"/>
      <c r="K42" s="1879"/>
    </row>
    <row r="43" spans="1:11" s="1870" customFormat="1" ht="15" x14ac:dyDescent="0.25">
      <c r="A43" s="2308"/>
      <c r="B43" s="2309"/>
      <c r="C43" s="2309"/>
      <c r="D43" s="2309"/>
      <c r="E43" s="2309"/>
      <c r="F43" s="2310"/>
      <c r="H43" s="1879"/>
      <c r="I43" s="1879"/>
      <c r="J43" s="1879"/>
      <c r="K43" s="1879"/>
    </row>
    <row r="44" spans="1:11" s="1870" customFormat="1" ht="12" hidden="1" customHeight="1" x14ac:dyDescent="0.25">
      <c r="A44" s="2308"/>
      <c r="B44" s="2309"/>
      <c r="C44" s="2309"/>
      <c r="D44" s="2309"/>
      <c r="E44" s="2309"/>
      <c r="F44" s="231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16"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4" t="str">
        <f>COVER!A17</f>
        <v>Earlville CUSD 9</v>
      </c>
      <c r="J6" s="2325"/>
      <c r="Q6" s="1664"/>
    </row>
    <row r="7" spans="1:17" x14ac:dyDescent="0.2">
      <c r="A7" s="2326" t="s">
        <v>869</v>
      </c>
      <c r="B7" s="2327"/>
      <c r="C7" s="2327"/>
      <c r="D7" s="2327"/>
      <c r="E7" s="2328"/>
      <c r="F7" s="1017"/>
      <c r="G7" s="1009"/>
      <c r="H7" s="1016" t="s">
        <v>372</v>
      </c>
      <c r="I7" s="2329">
        <f>COVER!A13</f>
        <v>35050009026</v>
      </c>
      <c r="J7" s="232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0" t="s">
        <v>481</v>
      </c>
      <c r="B11" s="2331"/>
      <c r="C11" s="233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157452</v>
      </c>
      <c r="F12" s="1039"/>
      <c r="G12" s="1811">
        <f t="shared" ref="G12:G18" si="0">SUM(E12:F12)</f>
        <v>157452</v>
      </c>
      <c r="H12" s="1040">
        <v>157920</v>
      </c>
      <c r="I12" s="1039"/>
      <c r="J12" s="1811">
        <f t="shared" ref="J12:J18" si="1">SUM(H12:I12)</f>
        <v>157920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15824</v>
      </c>
      <c r="F16" s="1039"/>
      <c r="G16" s="1811">
        <f t="shared" si="0"/>
        <v>15824</v>
      </c>
      <c r="H16" s="1040">
        <v>16824</v>
      </c>
      <c r="I16" s="1039"/>
      <c r="J16" s="1811">
        <f t="shared" si="1"/>
        <v>16824</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3" t="s">
        <v>7</v>
      </c>
      <c r="C18" s="2334"/>
      <c r="D18" s="233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173276</v>
      </c>
      <c r="F19" s="1813">
        <f t="shared" si="2"/>
        <v>0</v>
      </c>
      <c r="G19" s="1813">
        <f t="shared" si="2"/>
        <v>173276</v>
      </c>
      <c r="H19" s="1813">
        <f t="shared" si="2"/>
        <v>174744</v>
      </c>
      <c r="I19" s="1813">
        <f t="shared" si="2"/>
        <v>0</v>
      </c>
      <c r="J19" s="1813">
        <f t="shared" si="2"/>
        <v>174744</v>
      </c>
    </row>
    <row r="20" spans="1:10" ht="13.5" thickTop="1" x14ac:dyDescent="0.2">
      <c r="A20" s="1035">
        <v>9</v>
      </c>
      <c r="B20" s="2336" t="s">
        <v>1979</v>
      </c>
      <c r="C20" s="2336"/>
      <c r="D20" s="2337"/>
      <c r="E20" s="1046"/>
      <c r="F20" s="1046"/>
      <c r="G20" s="1046"/>
      <c r="H20" s="1046"/>
      <c r="I20" s="1046"/>
      <c r="J20" s="1814">
        <f>IF(AND(G19&gt;0,J19&gt;0),(((J19-G19)/G19)),"Enter Budget Data")</f>
        <v>8.4720330570881141E-3</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1033</v>
      </c>
      <c r="D27" s="1052"/>
      <c r="E27" s="1053"/>
      <c r="F27" s="2338" t="s">
        <v>1509</v>
      </c>
      <c r="G27" s="2338"/>
    </row>
    <row r="28" spans="1:10" ht="28.5" customHeight="1" x14ac:dyDescent="0.2">
      <c r="B28" s="1047"/>
      <c r="C28" s="2340"/>
      <c r="D28" s="2340"/>
      <c r="E28" s="1054"/>
      <c r="F28" s="2340"/>
      <c r="G28" s="2340"/>
    </row>
    <row r="29" spans="1:10" x14ac:dyDescent="0.2">
      <c r="B29" s="1047"/>
      <c r="C29" s="1055" t="s">
        <v>1561</v>
      </c>
      <c r="E29" s="1056"/>
      <c r="F29" s="2339" t="s">
        <v>1510</v>
      </c>
      <c r="G29" s="233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c r="C36" s="2323" t="s">
        <v>1981</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c r="C39" s="2319" t="s">
        <v>882</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0" sqref="B1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2104</v>
      </c>
    </row>
    <row r="6" spans="1:2" x14ac:dyDescent="0.2">
      <c r="A6" s="1068">
        <v>2</v>
      </c>
      <c r="B6" s="329" t="s">
        <v>2106</v>
      </c>
    </row>
    <row r="7" spans="1:2" x14ac:dyDescent="0.2">
      <c r="A7" s="1068">
        <v>3</v>
      </c>
      <c r="B7" s="329" t="s">
        <v>2105</v>
      </c>
    </row>
    <row r="8" spans="1:2" x14ac:dyDescent="0.2">
      <c r="A8" s="1068">
        <v>4</v>
      </c>
      <c r="B8" s="329" t="s">
        <v>2107</v>
      </c>
    </row>
    <row r="9" spans="1:2" x14ac:dyDescent="0.2">
      <c r="A9" s="1069">
        <v>5</v>
      </c>
      <c r="B9" s="329" t="s">
        <v>2108</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Earlville CUSD 9</v>
      </c>
    </row>
    <row r="65" spans="2:2" x14ac:dyDescent="0.2">
      <c r="B65" s="1070">
        <f>COVER!A13</f>
        <v>35050009026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9:F27"/>
  <sheetViews>
    <sheetView showGridLines="0" zoomScale="110" zoomScaleNormal="110" workbookViewId="0">
      <selection activeCell="B13" sqref="B13"/>
    </sheetView>
  </sheetViews>
  <sheetFormatPr defaultRowHeight="12.75" x14ac:dyDescent="0.2"/>
  <cols>
    <col min="1" max="1" width="1.85546875" style="329" customWidth="1"/>
    <col min="2" max="2" width="59.7109375" style="329" customWidth="1"/>
    <col min="3" max="16384" width="9.140625" style="329"/>
  </cols>
  <sheetData>
    <row r="19" spans="1:6" x14ac:dyDescent="0.2">
      <c r="B19" s="1071"/>
      <c r="C19" s="1071"/>
      <c r="D19" s="1071"/>
      <c r="E19" s="1071"/>
      <c r="F19" s="1071"/>
    </row>
    <row r="22" spans="1:6" x14ac:dyDescent="0.2">
      <c r="A22" s="1072" t="s">
        <v>1493</v>
      </c>
    </row>
    <row r="24" spans="1:6" x14ac:dyDescent="0.2">
      <c r="A24" s="389" t="s">
        <v>857</v>
      </c>
    </row>
    <row r="25" spans="1:6" s="1071" customFormat="1" ht="45" customHeight="1" x14ac:dyDescent="0.2">
      <c r="A25" s="1073"/>
      <c r="B25" s="1073" t="s">
        <v>1684</v>
      </c>
    </row>
    <row r="26" spans="1:6" ht="6" customHeight="1" x14ac:dyDescent="0.2"/>
    <row r="27" spans="1:6" ht="24.75" customHeight="1" x14ac:dyDescent="0.2">
      <c r="A27" s="2343" t="s">
        <v>1685</v>
      </c>
      <c r="B27" s="2343"/>
    </row>
  </sheetData>
  <sheetProtection selectLockedCells="1"/>
  <mergeCells count="1">
    <mergeCell ref="A27:B27"/>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77" r:id="rId4"/>
      </mc:Fallback>
    </mc:AlternateContent>
    <mc:AlternateContent xmlns:mc="http://schemas.openxmlformats.org/markup-compatibility/2006">
      <mc:Choice Requires="x14">
        <oleObject progId="AcroExch.Document.DC" dvAspect="DVASPECT_ICON" shapeId="50178" r:id="rId6">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78" r:id="rId6"/>
      </mc:Fallback>
    </mc:AlternateContent>
    <mc:AlternateContent xmlns:mc="http://schemas.openxmlformats.org/markup-compatibility/2006">
      <mc:Choice Requires="x14">
        <oleObject progId="AcroExch.Document.DC" dvAspect="DVASPECT_ICON" shapeId="50179" r:id="rId7">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0179" r:id="rId7"/>
      </mc:Fallback>
    </mc:AlternateContent>
    <mc:AlternateContent xmlns:mc="http://schemas.openxmlformats.org/markup-compatibility/2006">
      <mc:Choice Requires="x14">
        <oleObject progId="AcroExch.Document.DC" dvAspect="DVASPECT_ICON" shapeId="50180" r:id="rId8">
          <objectPr defaultSize="0" r:id="rId9">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1985</v>
      </c>
      <c r="B2" s="2355"/>
      <c r="C2" s="2355"/>
      <c r="D2" s="2355"/>
      <c r="E2" s="2355"/>
      <c r="F2" s="2356"/>
      <c r="G2" s="1074"/>
      <c r="H2" s="1074"/>
    </row>
    <row r="3" spans="1:8" ht="57" customHeight="1" x14ac:dyDescent="0.2">
      <c r="A3" s="2357" t="s">
        <v>1686</v>
      </c>
      <c r="B3" s="2358"/>
      <c r="C3" s="2358"/>
      <c r="D3" s="2358"/>
      <c r="E3" s="2358"/>
      <c r="F3" s="2359"/>
      <c r="G3" s="1074"/>
      <c r="H3" s="1074"/>
    </row>
    <row r="4" spans="1:8" ht="14.25" customHeight="1" x14ac:dyDescent="0.2">
      <c r="A4" s="2363" t="s">
        <v>1986</v>
      </c>
      <c r="B4" s="2364"/>
      <c r="C4" s="2364"/>
      <c r="D4" s="2364"/>
      <c r="E4" s="2364"/>
      <c r="F4" s="2365"/>
      <c r="G4" s="1074"/>
      <c r="H4" s="1074"/>
    </row>
    <row r="5" spans="1:8" ht="14.25" customHeight="1" x14ac:dyDescent="0.2">
      <c r="A5" s="2366" t="s">
        <v>1982</v>
      </c>
      <c r="B5" s="2367"/>
      <c r="C5" s="2367"/>
      <c r="D5" s="2367"/>
      <c r="E5" s="2367"/>
      <c r="F5" s="2368"/>
      <c r="G5" s="1074"/>
      <c r="H5" s="1074"/>
    </row>
    <row r="6" spans="1:8" s="1075" customFormat="1" ht="41.25" customHeight="1" x14ac:dyDescent="0.2">
      <c r="A6" s="2360" t="s">
        <v>1691</v>
      </c>
      <c r="B6" s="2361"/>
      <c r="C6" s="2361"/>
      <c r="D6" s="2361"/>
      <c r="E6" s="2361"/>
      <c r="F6" s="236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4595060</v>
      </c>
      <c r="C8" s="1815">
        <f>'Acct Summary 7-8'!D8</f>
        <v>427368</v>
      </c>
      <c r="D8" s="1815">
        <f>'Acct Summary 7-8'!F8</f>
        <v>220498</v>
      </c>
      <c r="E8" s="1815">
        <f>'Acct Summary 7-8'!I8</f>
        <v>29633</v>
      </c>
      <c r="F8" s="1815">
        <f>SUM(B8:E8)</f>
        <v>5272559</v>
      </c>
    </row>
    <row r="9" spans="1:8" s="1079" customFormat="1" ht="14.25" customHeight="1" thickBot="1" x14ac:dyDescent="0.25">
      <c r="A9" s="1078" t="s">
        <v>1369</v>
      </c>
      <c r="B9" s="1816">
        <f>'Acct Summary 7-8'!C17</f>
        <v>4114102</v>
      </c>
      <c r="C9" s="1816">
        <f>'Acct Summary 7-8'!D17</f>
        <v>403360</v>
      </c>
      <c r="D9" s="1816">
        <f>'Acct Summary 7-8'!F17</f>
        <v>164581</v>
      </c>
      <c r="E9" s="1815"/>
      <c r="F9" s="1815">
        <f>SUM(B9:E9)</f>
        <v>4682043</v>
      </c>
    </row>
    <row r="10" spans="1:8" s="1079" customFormat="1" ht="14.25" thickTop="1" thickBot="1" x14ac:dyDescent="0.25">
      <c r="A10" s="1080" t="s">
        <v>1370</v>
      </c>
      <c r="B10" s="1817">
        <f>(B8-B9)</f>
        <v>480958</v>
      </c>
      <c r="C10" s="1817">
        <f>(C8-C9)</f>
        <v>24008</v>
      </c>
      <c r="D10" s="1817">
        <f>(D8-D9)</f>
        <v>55917</v>
      </c>
      <c r="E10" s="1816">
        <f>(E8-E9)</f>
        <v>29633</v>
      </c>
      <c r="F10" s="1818">
        <f>SUM(F8-F9)</f>
        <v>590516</v>
      </c>
    </row>
    <row r="11" spans="1:8" s="1079" customFormat="1" ht="14.25" thickTop="1" thickBot="1" x14ac:dyDescent="0.25">
      <c r="A11" s="1081" t="s">
        <v>1983</v>
      </c>
      <c r="B11" s="1819">
        <f>'Acct Summary 7-8'!C81</f>
        <v>3368124</v>
      </c>
      <c r="C11" s="1819">
        <f>'Acct Summary 7-8'!D81</f>
        <v>701415</v>
      </c>
      <c r="D11" s="1819">
        <f>'Acct Summary 7-8'!F81</f>
        <v>563784</v>
      </c>
      <c r="E11" s="1819">
        <f>'Acct Summary 7-8'!I81</f>
        <v>100287</v>
      </c>
      <c r="F11" s="1820">
        <f>SUM(B11:E11)</f>
        <v>4733610</v>
      </c>
    </row>
    <row r="12" spans="1:8" ht="16.5" customHeight="1" thickTop="1" x14ac:dyDescent="0.2">
      <c r="A12" s="1082"/>
      <c r="B12" s="1083"/>
      <c r="C12" s="2348" t="str">
        <f>IF(AND(F10&lt;0,F11&gt;=0,ABS(F10*3)&gt;ABS(F11)),A16,IF(AND(F10&lt;0,F11&gt;0,ABS(F10*3)&lt;=ABS(F11)),A17,IF(AND(F10&lt;0,F11&lt;0),A16,IF(F11=0,A19,A18))))</f>
        <v>Balanced - no deficit reduction plan is required.</v>
      </c>
      <c r="D12" s="2349"/>
      <c r="E12" s="2349"/>
      <c r="F12" s="2350"/>
    </row>
    <row r="13" spans="1:8" ht="19.5" customHeight="1" x14ac:dyDescent="0.2">
      <c r="A13" s="1084"/>
      <c r="B13" s="1085"/>
      <c r="C13" s="2348"/>
      <c r="D13" s="2349"/>
      <c r="E13" s="2349"/>
      <c r="F13" s="2350"/>
      <c r="H13" s="1074"/>
    </row>
    <row r="14" spans="1:8" ht="19.5" customHeight="1" x14ac:dyDescent="0.2">
      <c r="A14" s="1084"/>
      <c r="B14" s="1085"/>
      <c r="C14" s="2348"/>
      <c r="D14" s="2349"/>
      <c r="E14" s="2349"/>
      <c r="F14" s="2350"/>
      <c r="H14" s="1074"/>
    </row>
    <row r="15" spans="1:8" ht="17.25" customHeight="1" x14ac:dyDescent="0.2">
      <c r="A15" s="1084"/>
      <c r="B15" s="1085"/>
      <c r="C15" s="2351"/>
      <c r="D15" s="2352"/>
      <c r="E15" s="2352"/>
      <c r="F15" s="2353"/>
      <c r="H15" s="1074"/>
    </row>
    <row r="16" spans="1:8" s="310" customFormat="1" ht="51.75" hidden="1" customHeight="1" x14ac:dyDescent="0.2">
      <c r="A16" s="2347" t="s">
        <v>1687</v>
      </c>
      <c r="B16" s="2347"/>
      <c r="C16" s="2347"/>
      <c r="D16" s="2347"/>
      <c r="E16" s="234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50"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9" t="s">
        <v>665</v>
      </c>
      <c r="B3" s="2370"/>
      <c r="C3" s="2370"/>
      <c r="D3" s="237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0" t="s">
        <v>1504</v>
      </c>
      <c r="D7" s="2381"/>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2" t="s">
        <v>1008</v>
      </c>
      <c r="B15" s="2373"/>
      <c r="C15" s="2373"/>
      <c r="D15" s="2374"/>
    </row>
    <row r="16" spans="1:4" s="668" customFormat="1" ht="24" customHeight="1" x14ac:dyDescent="0.2">
      <c r="A16" s="2375" t="s">
        <v>663</v>
      </c>
      <c r="B16" s="2376"/>
      <c r="C16" s="2376"/>
      <c r="D16" s="237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4" t="s">
        <v>314</v>
      </c>
      <c r="D21" s="2385"/>
    </row>
    <row r="22" spans="1:10" ht="12.75" x14ac:dyDescent="0.2">
      <c r="A22" s="1139"/>
      <c r="B22" s="1140">
        <v>2</v>
      </c>
      <c r="C22" s="2382" t="s">
        <v>1524</v>
      </c>
      <c r="D22" s="238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6" t="s">
        <v>536</v>
      </c>
      <c r="D43" s="238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8" t="s">
        <v>784</v>
      </c>
      <c r="D56" s="237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8" t="s">
        <v>1696</v>
      </c>
      <c r="D70" s="237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35050009026</v>
      </c>
    </row>
    <row r="3" spans="1:2" x14ac:dyDescent="0.2">
      <c r="A3" t="s">
        <v>956</v>
      </c>
      <c r="B3" s="138" t="str">
        <f>COVER!A15</f>
        <v>LaSalle, Dekalb, and Lee</v>
      </c>
    </row>
    <row r="4" spans="1:2" x14ac:dyDescent="0.2">
      <c r="A4" t="s">
        <v>1007</v>
      </c>
      <c r="B4" s="138" t="str">
        <f>COVER!A17</f>
        <v>Earlville CUSD 9</v>
      </c>
    </row>
    <row r="5" spans="1:2" x14ac:dyDescent="0.2">
      <c r="A5" t="s">
        <v>704</v>
      </c>
      <c r="B5" s="138" t="str">
        <f>COVER!A38</f>
        <v>Rich Faivre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1534678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3368124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3059032</v>
      </c>
      <c r="D92" s="2" t="str">
        <f t="shared" si="0"/>
        <v>Error?</v>
      </c>
    </row>
    <row r="93" spans="1:4" x14ac:dyDescent="0.2">
      <c r="A93" s="5">
        <v>32</v>
      </c>
      <c r="B93" s="138">
        <f>'Assets-Liab 5-6'!C41</f>
        <v>3368124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637730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701415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701415</v>
      </c>
      <c r="D123" s="2" t="str">
        <f t="shared" si="0"/>
        <v>Error?</v>
      </c>
    </row>
    <row r="124" spans="1:4" x14ac:dyDescent="0.2">
      <c r="A124" s="5">
        <v>63</v>
      </c>
      <c r="B124" s="138">
        <f>'Assets-Liab 5-6'!D41</f>
        <v>701415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5708</v>
      </c>
      <c r="D129" s="2" t="str">
        <f t="shared" si="1"/>
        <v>Error?</v>
      </c>
    </row>
    <row r="130" spans="1:4" x14ac:dyDescent="0.2">
      <c r="A130" s="5">
        <v>69</v>
      </c>
      <c r="B130" s="138">
        <f>'Assets-Liab 5-6'!E12</f>
        <v>0</v>
      </c>
      <c r="D130" s="2" t="str">
        <f t="shared" si="1"/>
        <v>Error?</v>
      </c>
    </row>
    <row r="131" spans="1:4" x14ac:dyDescent="0.2">
      <c r="A131" s="5">
        <v>70</v>
      </c>
      <c r="B131" s="138">
        <f>'Assets-Liab 5-6'!E13</f>
        <v>15768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15768</v>
      </c>
      <c r="D140" s="2" t="str">
        <f t="shared" si="1"/>
        <v>Error?</v>
      </c>
    </row>
    <row r="141" spans="1:4" x14ac:dyDescent="0.2">
      <c r="A141" s="5">
        <v>80</v>
      </c>
      <c r="B141" s="138">
        <f>'Assets-Liab 5-6'!E41</f>
        <v>15768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426415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563784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563784</v>
      </c>
      <c r="D170" s="2" t="str">
        <f t="shared" si="1"/>
        <v>Error?</v>
      </c>
    </row>
    <row r="171" spans="1:4" x14ac:dyDescent="0.2">
      <c r="A171" s="5">
        <v>110</v>
      </c>
      <c r="B171" s="138">
        <f>'Assets-Liab 5-6'!F41</f>
        <v>563784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87804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233893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491</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491</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233893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160300</v>
      </c>
      <c r="D273" s="2" t="str">
        <f t="shared" si="3"/>
        <v>Error?</v>
      </c>
    </row>
    <row r="274" spans="1:4" x14ac:dyDescent="0.2">
      <c r="A274" s="5">
        <v>213</v>
      </c>
      <c r="B274" s="138">
        <f>'Assets-Liab 5-6'!M17</f>
        <v>4389903</v>
      </c>
      <c r="D274" s="2" t="str">
        <f t="shared" si="3"/>
        <v>Error?</v>
      </c>
    </row>
    <row r="275" spans="1:4" x14ac:dyDescent="0.2">
      <c r="A275" s="5">
        <v>214</v>
      </c>
      <c r="B275" s="138">
        <f>'Assets-Liab 5-6'!M18</f>
        <v>4646</v>
      </c>
      <c r="D275" s="2" t="str">
        <f t="shared" si="3"/>
        <v>Error?</v>
      </c>
    </row>
    <row r="276" spans="1:4" x14ac:dyDescent="0.2">
      <c r="A276" s="5">
        <v>215</v>
      </c>
      <c r="B276" s="138">
        <f>'Assets-Liab 5-6'!M19</f>
        <v>256606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4811455</v>
      </c>
      <c r="C279" s="2" t="s">
        <v>573</v>
      </c>
      <c r="D279" s="2" t="str">
        <f t="shared" si="3"/>
        <v>Error?</v>
      </c>
    </row>
    <row r="280" spans="1:4" x14ac:dyDescent="0.2">
      <c r="A280" s="5">
        <v>219</v>
      </c>
      <c r="B280" s="138">
        <f>'Assets-Liab 5-6'!M40</f>
        <v>4811455</v>
      </c>
      <c r="D280" s="2" t="str">
        <f t="shared" si="3"/>
        <v>Error?</v>
      </c>
    </row>
    <row r="281" spans="1:4" x14ac:dyDescent="0.2">
      <c r="A281" s="5">
        <v>220</v>
      </c>
      <c r="B281" s="138">
        <f>'Assets-Liab 5-6'!M41</f>
        <v>4811455</v>
      </c>
      <c r="C281" s="2" t="s">
        <v>573</v>
      </c>
      <c r="D281" s="2" t="str">
        <f t="shared" si="3"/>
        <v>Error?</v>
      </c>
    </row>
    <row r="282" spans="1:4" x14ac:dyDescent="0.2">
      <c r="A282" s="5">
        <v>221</v>
      </c>
      <c r="B282" s="138">
        <f>'Assets-Liab 5-6'!N21</f>
        <v>15768</v>
      </c>
      <c r="D282" s="2" t="str">
        <f t="shared" si="3"/>
        <v>Error?</v>
      </c>
    </row>
    <row r="283" spans="1:4" x14ac:dyDescent="0.2">
      <c r="A283" s="5">
        <v>222</v>
      </c>
      <c r="B283" s="138">
        <f>'Assets-Liab 5-6'!N22</f>
        <v>3184232</v>
      </c>
      <c r="D283" s="2" t="str">
        <f t="shared" si="3"/>
        <v>Error?</v>
      </c>
    </row>
    <row r="284" spans="1:4" x14ac:dyDescent="0.2">
      <c r="A284" s="5">
        <v>223</v>
      </c>
      <c r="B284" s="138">
        <f>'Assets-Liab 5-6'!N23</f>
        <v>3200000</v>
      </c>
      <c r="C284" s="2" t="s">
        <v>573</v>
      </c>
      <c r="D284" s="2" t="str">
        <f t="shared" si="3"/>
        <v>Error?</v>
      </c>
    </row>
    <row r="285" spans="1:4" x14ac:dyDescent="0.2">
      <c r="A285" s="5">
        <v>224</v>
      </c>
      <c r="B285" s="138">
        <f>'Assets-Liab 5-6'!N36</f>
        <v>3200000</v>
      </c>
      <c r="D285" s="2" t="str">
        <f t="shared" si="3"/>
        <v>Error?</v>
      </c>
    </row>
    <row r="286" spans="1:4" x14ac:dyDescent="0.2">
      <c r="A286" s="10">
        <v>225</v>
      </c>
      <c r="D286" s="2" t="str">
        <f t="shared" si="3"/>
        <v>OK</v>
      </c>
    </row>
    <row r="287" spans="1:4" x14ac:dyDescent="0.2">
      <c r="A287" s="5">
        <v>226</v>
      </c>
      <c r="B287" s="138">
        <f>'Assets-Liab 5-6'!N37</f>
        <v>3200000</v>
      </c>
      <c r="C287" s="2" t="s">
        <v>573</v>
      </c>
      <c r="D287" s="2" t="str">
        <f t="shared" si="3"/>
        <v>Error?</v>
      </c>
    </row>
    <row r="288" spans="1:4" x14ac:dyDescent="0.2">
      <c r="A288" s="5">
        <v>227</v>
      </c>
      <c r="B288" s="138">
        <f>'Assets-Liab 5-6'!N41</f>
        <v>3200000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1402817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71038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1944759</v>
      </c>
      <c r="C720" s="2" t="s">
        <v>573</v>
      </c>
      <c r="D720" s="2" t="str">
        <f t="shared" si="10"/>
        <v>Error?</v>
      </c>
    </row>
    <row r="721" spans="1:4" x14ac:dyDescent="0.2">
      <c r="A721" s="5">
        <v>660</v>
      </c>
      <c r="B721" s="138">
        <f>'Expenditures 15-22'!C36</f>
        <v>49929</v>
      </c>
      <c r="D721" s="2" t="str">
        <f t="shared" si="10"/>
        <v>Error?</v>
      </c>
    </row>
    <row r="722" spans="1:4" x14ac:dyDescent="0.2">
      <c r="A722" s="5">
        <v>661</v>
      </c>
      <c r="B722" s="138">
        <f>'Expenditures 15-22'!C37</f>
        <v>52154</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102083</v>
      </c>
      <c r="C727" s="2" t="s">
        <v>573</v>
      </c>
      <c r="D727" s="2" t="str">
        <f t="shared" si="10"/>
        <v>Error?</v>
      </c>
    </row>
    <row r="728" spans="1:4" x14ac:dyDescent="0.2">
      <c r="A728" s="5">
        <v>667</v>
      </c>
      <c r="B728" s="138">
        <f>'Expenditures 15-22'!C44</f>
        <v>12991</v>
      </c>
      <c r="D728" s="2" t="str">
        <f t="shared" si="10"/>
        <v>Error?</v>
      </c>
    </row>
    <row r="729" spans="1:4" x14ac:dyDescent="0.2">
      <c r="A729" s="5">
        <v>668</v>
      </c>
      <c r="B729" s="138">
        <f>'Expenditures 15-22'!C45</f>
        <v>17356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30347</v>
      </c>
      <c r="C731" s="2" t="s">
        <v>573</v>
      </c>
      <c r="D731" s="2" t="str">
        <f t="shared" si="10"/>
        <v>Error?</v>
      </c>
    </row>
    <row r="732" spans="1:4" x14ac:dyDescent="0.2">
      <c r="A732" s="5">
        <v>671</v>
      </c>
      <c r="B732" s="138">
        <f>'Expenditures 15-22'!C49</f>
        <v>9143</v>
      </c>
      <c r="D732" s="2" t="str">
        <f t="shared" si="10"/>
        <v>Error?</v>
      </c>
    </row>
    <row r="733" spans="1:4" x14ac:dyDescent="0.2">
      <c r="A733" s="5">
        <v>672</v>
      </c>
      <c r="B733" s="138">
        <f>'Expenditures 15-22'!C50</f>
        <v>120000</v>
      </c>
      <c r="D733" s="2" t="str">
        <f t="shared" si="10"/>
        <v>Error?</v>
      </c>
    </row>
    <row r="734" spans="1:4" x14ac:dyDescent="0.2">
      <c r="A734" s="5">
        <v>673</v>
      </c>
      <c r="B734" s="138">
        <f>'Expenditures 15-22'!C53</f>
        <v>129143</v>
      </c>
      <c r="C734" s="2" t="s">
        <v>573</v>
      </c>
      <c r="D734" s="2" t="str">
        <f t="shared" si="10"/>
        <v>Error?</v>
      </c>
    </row>
    <row r="735" spans="1:4" x14ac:dyDescent="0.2">
      <c r="A735" s="5">
        <v>674</v>
      </c>
      <c r="B735" s="138">
        <f>'Expenditures 15-22'!C55</f>
        <v>175454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175454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71191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74017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145208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35990</v>
      </c>
      <c r="D751" s="2" t="str">
        <f t="shared" si="10"/>
        <v>Error?</v>
      </c>
    </row>
    <row r="752" spans="1:4" x14ac:dyDescent="0.2">
      <c r="A752" s="10">
        <v>691</v>
      </c>
      <c r="D752" s="2" t="str">
        <f t="shared" si="10"/>
        <v>OK</v>
      </c>
    </row>
    <row r="753" spans="1:4" x14ac:dyDescent="0.2">
      <c r="A753" s="5">
        <v>692</v>
      </c>
      <c r="B753" s="138">
        <f>'Expenditures 15-22'!C72</f>
        <v>35990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618225</v>
      </c>
      <c r="C755" s="2" t="s">
        <v>573</v>
      </c>
      <c r="D755" s="2" t="str">
        <f t="shared" si="10"/>
        <v>Error?</v>
      </c>
    </row>
    <row r="756" spans="1:4" x14ac:dyDescent="0.2">
      <c r="A756" s="5">
        <v>695</v>
      </c>
      <c r="B756" s="138">
        <f>'Expenditures 15-22'!C75</f>
        <v>14495</v>
      </c>
      <c r="D756" s="2" t="str">
        <f t="shared" si="10"/>
        <v>Error?</v>
      </c>
    </row>
    <row r="757" spans="1:4" x14ac:dyDescent="0.2">
      <c r="A757" s="5">
        <v>696</v>
      </c>
      <c r="B757" s="138">
        <f>'Expenditures 15-22'!C114</f>
        <v>2577479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320609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6944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471813</v>
      </c>
      <c r="C778" s="2" t="s">
        <v>573</v>
      </c>
      <c r="D778" s="2" t="str">
        <f t="shared" si="11"/>
        <v>Error?</v>
      </c>
    </row>
    <row r="779" spans="1:4" x14ac:dyDescent="0.2">
      <c r="A779" s="5">
        <v>718</v>
      </c>
      <c r="B779" s="138">
        <f>'Expenditures 15-22'!D36</f>
        <v>13913</v>
      </c>
      <c r="D779" s="2" t="str">
        <f t="shared" si="11"/>
        <v>Error?</v>
      </c>
    </row>
    <row r="780" spans="1:4" x14ac:dyDescent="0.2">
      <c r="A780" s="5">
        <v>719</v>
      </c>
      <c r="B780" s="138">
        <f>'Expenditures 15-22'!D37</f>
        <v>9151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23064</v>
      </c>
      <c r="C785" s="2" t="s">
        <v>573</v>
      </c>
      <c r="D785" s="2" t="str">
        <f t="shared" si="11"/>
        <v>Error?</v>
      </c>
    </row>
    <row r="786" spans="1:4" x14ac:dyDescent="0.2">
      <c r="A786" s="5">
        <v>725</v>
      </c>
      <c r="B786" s="138">
        <f>'Expenditures 15-22'!D44</f>
        <v>9305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9305</v>
      </c>
      <c r="C789" s="2" t="s">
        <v>573</v>
      </c>
      <c r="D789" s="2" t="str">
        <f t="shared" si="11"/>
        <v>Error?</v>
      </c>
    </row>
    <row r="790" spans="1:4" x14ac:dyDescent="0.2">
      <c r="A790" s="5">
        <v>729</v>
      </c>
      <c r="B790" s="138">
        <f>'Expenditures 15-22'!D49</f>
        <v>297</v>
      </c>
      <c r="D790" s="2" t="str">
        <f t="shared" si="11"/>
        <v>Error?</v>
      </c>
    </row>
    <row r="791" spans="1:4" x14ac:dyDescent="0.2">
      <c r="A791" s="5">
        <v>730</v>
      </c>
      <c r="B791" s="138">
        <f>'Expenditures 15-22'!D50</f>
        <v>29961</v>
      </c>
      <c r="D791" s="2" t="str">
        <f t="shared" si="11"/>
        <v>Error?</v>
      </c>
    </row>
    <row r="792" spans="1:4" x14ac:dyDescent="0.2">
      <c r="A792" s="5">
        <v>731</v>
      </c>
      <c r="B792" s="138">
        <f>'Expenditures 15-22'!D53</f>
        <v>30258</v>
      </c>
      <c r="C792" s="2" t="s">
        <v>573</v>
      </c>
      <c r="D792" s="2" t="str">
        <f t="shared" si="11"/>
        <v>Error?</v>
      </c>
    </row>
    <row r="793" spans="1:4" x14ac:dyDescent="0.2">
      <c r="A793" s="5">
        <v>732</v>
      </c>
      <c r="B793" s="138">
        <f>'Expenditures 15-22'!D55</f>
        <v>40498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40498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10601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30785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41386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68</v>
      </c>
      <c r="D809" s="2" t="str">
        <f t="shared" si="11"/>
        <v>Error?</v>
      </c>
    </row>
    <row r="810" spans="1:4" x14ac:dyDescent="0.2">
      <c r="A810" s="10">
        <v>749</v>
      </c>
      <c r="D810" s="2" t="str">
        <f t="shared" si="11"/>
        <v>OK</v>
      </c>
    </row>
    <row r="811" spans="1:4" x14ac:dyDescent="0.2">
      <c r="A811" s="5">
        <v>750</v>
      </c>
      <c r="B811" s="138">
        <f>'Expenditures 15-22'!D72</f>
        <v>68</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144579</v>
      </c>
      <c r="C813" s="2" t="s">
        <v>573</v>
      </c>
      <c r="D813" s="2" t="str">
        <f t="shared" si="11"/>
        <v>Error?</v>
      </c>
    </row>
    <row r="814" spans="1:4" x14ac:dyDescent="0.2">
      <c r="A814" s="5">
        <v>753</v>
      </c>
      <c r="B814" s="138">
        <f>'Expenditures 15-22'!D75</f>
        <v>5355</v>
      </c>
      <c r="D814" s="2" t="str">
        <f t="shared" si="11"/>
        <v>Error?</v>
      </c>
    </row>
    <row r="815" spans="1:4" x14ac:dyDescent="0.2">
      <c r="A815" s="5">
        <v>754</v>
      </c>
      <c r="B815" s="138">
        <f>'Expenditures 15-22'!D114</f>
        <v>621747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13452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17858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56359</v>
      </c>
      <c r="C836" s="2" t="s">
        <v>573</v>
      </c>
      <c r="D836" s="2" t="str">
        <f t="shared" si="12"/>
        <v>Error?</v>
      </c>
    </row>
    <row r="837" spans="1:4" x14ac:dyDescent="0.2">
      <c r="A837" s="5">
        <v>776</v>
      </c>
      <c r="B837" s="138">
        <f>'Expenditures 15-22'!E36</f>
        <v>394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5341</v>
      </c>
      <c r="D839" s="2" t="str">
        <f t="shared" si="12"/>
        <v>Error?</v>
      </c>
    </row>
    <row r="840" spans="1:4" x14ac:dyDescent="0.2">
      <c r="A840" s="5">
        <v>779</v>
      </c>
      <c r="B840" s="138">
        <f>'Expenditures 15-22'!E39</f>
        <v>43801</v>
      </c>
      <c r="D840" s="2" t="str">
        <f t="shared" si="12"/>
        <v>Error?</v>
      </c>
    </row>
    <row r="841" spans="1:4" x14ac:dyDescent="0.2">
      <c r="A841" s="5">
        <v>780</v>
      </c>
      <c r="B841" s="138">
        <f>'Expenditures 15-22'!E40</f>
        <v>69962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119498</v>
      </c>
      <c r="C843" s="2" t="s">
        <v>573</v>
      </c>
      <c r="D843" s="2" t="str">
        <f t="shared" si="12"/>
        <v>Error?</v>
      </c>
    </row>
    <row r="844" spans="1:4" x14ac:dyDescent="0.2">
      <c r="A844" s="5">
        <v>783</v>
      </c>
      <c r="B844" s="138">
        <f>'Expenditures 15-22'!E44</f>
        <v>2450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2450</v>
      </c>
      <c r="C847" s="2" t="s">
        <v>573</v>
      </c>
      <c r="D847" s="2" t="str">
        <f t="shared" si="12"/>
        <v>Error?</v>
      </c>
    </row>
    <row r="848" spans="1:4" x14ac:dyDescent="0.2">
      <c r="A848" s="5">
        <v>787</v>
      </c>
      <c r="B848" s="138">
        <f>'Expenditures 15-22'!E49</f>
        <v>41364</v>
      </c>
      <c r="D848" s="2" t="str">
        <f t="shared" si="12"/>
        <v>Error?</v>
      </c>
    </row>
    <row r="849" spans="1:4" x14ac:dyDescent="0.2">
      <c r="A849" s="5">
        <v>788</v>
      </c>
      <c r="B849" s="138">
        <f>'Expenditures 15-22'!E50</f>
        <v>2388</v>
      </c>
      <c r="D849" s="2" t="str">
        <f t="shared" si="12"/>
        <v>Error?</v>
      </c>
    </row>
    <row r="850" spans="1:4" x14ac:dyDescent="0.2">
      <c r="A850" s="5">
        <v>789</v>
      </c>
      <c r="B850" s="138">
        <f>'Expenditures 15-22'!E53</f>
        <v>43752</v>
      </c>
      <c r="C850" s="2" t="s">
        <v>573</v>
      </c>
      <c r="D850" s="2" t="str">
        <f t="shared" si="12"/>
        <v>Error?</v>
      </c>
    </row>
    <row r="851" spans="1:4" x14ac:dyDescent="0.2">
      <c r="A851" s="5">
        <v>790</v>
      </c>
      <c r="B851" s="138">
        <f>'Expenditures 15-22'!E55</f>
        <v>-8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524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5470</v>
      </c>
      <c r="D858" s="2" t="str">
        <f t="shared" si="12"/>
        <v>Error?</v>
      </c>
    </row>
    <row r="859" spans="1:4" x14ac:dyDescent="0.2">
      <c r="A859" s="5">
        <v>798</v>
      </c>
      <c r="B859" s="138">
        <f>'Expenditures 15-22'!E64</f>
        <v>15824</v>
      </c>
      <c r="D859" s="2" t="str">
        <f t="shared" si="12"/>
        <v>Error?</v>
      </c>
    </row>
    <row r="860" spans="1:4" x14ac:dyDescent="0.2">
      <c r="A860" s="10">
        <v>799</v>
      </c>
      <c r="D860" s="2" t="str">
        <f t="shared" si="12"/>
        <v>OK</v>
      </c>
    </row>
    <row r="861" spans="1:4" x14ac:dyDescent="0.2">
      <c r="A861" s="5">
        <v>800</v>
      </c>
      <c r="B861" s="138">
        <f>'Expenditures 15-22'!E65</f>
        <v>21818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67572</v>
      </c>
      <c r="D867" s="2" t="str">
        <f t="shared" si="12"/>
        <v>Error?</v>
      </c>
    </row>
    <row r="868" spans="1:4" x14ac:dyDescent="0.2">
      <c r="A868" s="10">
        <v>807</v>
      </c>
      <c r="D868" s="2" t="str">
        <f t="shared" si="12"/>
        <v>OK</v>
      </c>
    </row>
    <row r="869" spans="1:4" x14ac:dyDescent="0.2">
      <c r="A869" s="5">
        <v>808</v>
      </c>
      <c r="B869" s="138">
        <f>'Expenditures 15-22'!E72</f>
        <v>67572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255082</v>
      </c>
      <c r="C871" s="2" t="s">
        <v>573</v>
      </c>
      <c r="D871" s="2" t="str">
        <f t="shared" si="12"/>
        <v>Error?</v>
      </c>
    </row>
    <row r="872" spans="1:4" x14ac:dyDescent="0.2">
      <c r="A872" s="5">
        <v>811</v>
      </c>
      <c r="B872" s="138">
        <f>'Expenditures 15-22'!E75</f>
        <v>1000</v>
      </c>
      <c r="D872" s="2" t="str">
        <f t="shared" si="12"/>
        <v>Error?</v>
      </c>
    </row>
    <row r="873" spans="1:4" x14ac:dyDescent="0.2">
      <c r="A873" s="5">
        <v>812</v>
      </c>
      <c r="B873" s="138">
        <f>'Expenditures 15-22'!E114</f>
        <v>352391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115512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33748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206399</v>
      </c>
      <c r="C894" s="2" t="s">
        <v>573</v>
      </c>
      <c r="D894" s="2" t="str">
        <f t="shared" si="12"/>
        <v>Error?</v>
      </c>
    </row>
    <row r="895" spans="1:4" x14ac:dyDescent="0.2">
      <c r="A895" s="5">
        <v>834</v>
      </c>
      <c r="B895" s="138">
        <f>'Expenditures 15-22'!F36</f>
        <v>375</v>
      </c>
      <c r="D895" s="2" t="str">
        <f t="shared" ref="D895:D958" si="13">IF(ISBLANK(B895),"OK",IF(A895-B895=0,"OK","Error?"))</f>
        <v>Error?</v>
      </c>
    </row>
    <row r="896" spans="1:4" x14ac:dyDescent="0.2">
      <c r="A896" s="5">
        <v>835</v>
      </c>
      <c r="B896" s="138">
        <f>'Expenditures 15-22'!F37</f>
        <v>2378</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2753</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1254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1254</v>
      </c>
      <c r="C905" s="2" t="s">
        <v>573</v>
      </c>
      <c r="D905" s="2" t="str">
        <f t="shared" si="13"/>
        <v>Error?</v>
      </c>
    </row>
    <row r="906" spans="1:4" x14ac:dyDescent="0.2">
      <c r="A906" s="5">
        <v>845</v>
      </c>
      <c r="B906" s="138">
        <f>'Expenditures 15-22'!F49</f>
        <v>2928</v>
      </c>
      <c r="D906" s="2" t="str">
        <f t="shared" si="13"/>
        <v>Error?</v>
      </c>
    </row>
    <row r="907" spans="1:4" x14ac:dyDescent="0.2">
      <c r="A907" s="5">
        <v>846</v>
      </c>
      <c r="B907" s="138">
        <f>'Expenditures 15-22'!F50</f>
        <v>3077</v>
      </c>
      <c r="D907" s="2" t="str">
        <f t="shared" si="13"/>
        <v>Error?</v>
      </c>
    </row>
    <row r="908" spans="1:4" x14ac:dyDescent="0.2">
      <c r="A908" s="5">
        <v>847</v>
      </c>
      <c r="B908" s="138">
        <f>'Expenditures 15-22'!F53</f>
        <v>6005</v>
      </c>
      <c r="C908" s="2" t="s">
        <v>573</v>
      </c>
      <c r="D908" s="2" t="str">
        <f t="shared" si="13"/>
        <v>Error?</v>
      </c>
    </row>
    <row r="909" spans="1:4" x14ac:dyDescent="0.2">
      <c r="A909" s="5">
        <v>848</v>
      </c>
      <c r="B909" s="138">
        <f>'Expenditures 15-22'!F55</f>
        <v>11520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11520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1112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61835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62947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95136</v>
      </c>
      <c r="D925" s="2" t="str">
        <f t="shared" si="13"/>
        <v>Error?</v>
      </c>
    </row>
    <row r="926" spans="1:4" x14ac:dyDescent="0.2">
      <c r="A926" s="10">
        <v>865</v>
      </c>
      <c r="D926" s="2" t="str">
        <f t="shared" si="13"/>
        <v>OK</v>
      </c>
    </row>
    <row r="927" spans="1:4" x14ac:dyDescent="0.2">
      <c r="A927" s="5">
        <v>866</v>
      </c>
      <c r="B927" s="138">
        <f>'Expenditures 15-22'!F72</f>
        <v>95136</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179615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386014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8100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8100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5065</v>
      </c>
      <c r="D983" s="2" t="str">
        <f t="shared" si="14"/>
        <v>Error?</v>
      </c>
    </row>
    <row r="984" spans="1:4" x14ac:dyDescent="0.2">
      <c r="A984" s="10">
        <v>923</v>
      </c>
      <c r="D984" s="2" t="str">
        <f t="shared" si="14"/>
        <v>OK</v>
      </c>
    </row>
    <row r="985" spans="1:4" x14ac:dyDescent="0.2">
      <c r="A985" s="5">
        <v>924</v>
      </c>
      <c r="B985" s="138">
        <f>'Expenditures 15-22'!G72</f>
        <v>5065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13165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13165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2187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7065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10112</v>
      </c>
      <c r="C1010" s="2" t="s">
        <v>573</v>
      </c>
      <c r="D1010" s="2" t="str">
        <f t="shared" si="14"/>
        <v>Error?</v>
      </c>
    </row>
    <row r="1011" spans="1:4" x14ac:dyDescent="0.2">
      <c r="A1011" s="5">
        <v>950</v>
      </c>
      <c r="B1011" s="138">
        <f>'Expenditures 15-22'!H36</f>
        <v>385</v>
      </c>
      <c r="D1011" s="2" t="str">
        <f t="shared" si="14"/>
        <v>Error?</v>
      </c>
    </row>
    <row r="1012" spans="1:4" x14ac:dyDescent="0.2">
      <c r="A1012" s="5">
        <v>951</v>
      </c>
      <c r="B1012" s="138">
        <f>'Expenditures 15-22'!H37</f>
        <v>735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1120</v>
      </c>
      <c r="C1017" s="2" t="s">
        <v>573</v>
      </c>
      <c r="D1017" s="2" t="str">
        <f t="shared" si="14"/>
        <v>Error?</v>
      </c>
    </row>
    <row r="1018" spans="1:4" x14ac:dyDescent="0.2">
      <c r="A1018" s="5">
        <v>957</v>
      </c>
      <c r="B1018" s="138">
        <f>'Expenditures 15-22'!H44</f>
        <v>2485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2485</v>
      </c>
      <c r="C1021" s="2" t="s">
        <v>573</v>
      </c>
      <c r="D1021" s="2" t="str">
        <f t="shared" si="14"/>
        <v>Error?</v>
      </c>
    </row>
    <row r="1022" spans="1:4" x14ac:dyDescent="0.2">
      <c r="A1022" s="5">
        <v>961</v>
      </c>
      <c r="B1022" s="138">
        <f>'Expenditures 15-22'!H49</f>
        <v>10407</v>
      </c>
      <c r="D1022" s="2" t="str">
        <f t="shared" si="14"/>
        <v>Error?</v>
      </c>
    </row>
    <row r="1023" spans="1:4" x14ac:dyDescent="0.2">
      <c r="A1023" s="5">
        <v>962</v>
      </c>
      <c r="B1023" s="138">
        <f>'Expenditures 15-22'!H50</f>
        <v>2026</v>
      </c>
      <c r="D1023" s="2" t="str">
        <f t="shared" ref="D1023:D1086" si="15">IF(ISBLANK(B1023),"OK",IF(A1023-B1023=0,"OK","Error?"))</f>
        <v>Error?</v>
      </c>
    </row>
    <row r="1024" spans="1:4" x14ac:dyDescent="0.2">
      <c r="A1024" s="5">
        <v>963</v>
      </c>
      <c r="B1024" s="138">
        <f>'Expenditures 15-22'!H53</f>
        <v>12433</v>
      </c>
      <c r="C1024" s="2" t="s">
        <v>573</v>
      </c>
      <c r="D1024" s="2" t="str">
        <f t="shared" si="15"/>
        <v>Error?</v>
      </c>
    </row>
    <row r="1025" spans="1:4" x14ac:dyDescent="0.2">
      <c r="A1025" s="5">
        <v>964</v>
      </c>
      <c r="B1025" s="138">
        <f>'Expenditures 15-22'!H55</f>
        <v>3714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3714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141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728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869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357</v>
      </c>
      <c r="D1041" s="2" t="str">
        <f t="shared" si="15"/>
        <v>Error?</v>
      </c>
    </row>
    <row r="1042" spans="1:4" x14ac:dyDescent="0.2">
      <c r="A1042" s="10">
        <v>981</v>
      </c>
      <c r="D1042" s="2" t="str">
        <f t="shared" si="15"/>
        <v>OK</v>
      </c>
    </row>
    <row r="1043" spans="1:4" x14ac:dyDescent="0.2">
      <c r="A1043" s="5">
        <v>982</v>
      </c>
      <c r="B1043" s="138">
        <f>'Expenditures 15-22'!H72</f>
        <v>357</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20978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132216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163306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1854577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136653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2689442</v>
      </c>
      <c r="C1108" s="2" t="s">
        <v>573</v>
      </c>
      <c r="D1108" s="2" t="str">
        <f t="shared" si="16"/>
        <v>Error?</v>
      </c>
    </row>
    <row r="1109" spans="1:4" x14ac:dyDescent="0.2">
      <c r="A1109" s="5">
        <v>1048</v>
      </c>
      <c r="B1109" s="138">
        <f>'Expenditures 15-22'!K36</f>
        <v>64996</v>
      </c>
      <c r="C1109" s="2" t="s">
        <v>573</v>
      </c>
      <c r="D1109" s="2" t="str">
        <f t="shared" si="16"/>
        <v>Error?</v>
      </c>
    </row>
    <row r="1110" spans="1:4" x14ac:dyDescent="0.2">
      <c r="A1110" s="5">
        <v>1049</v>
      </c>
      <c r="B1110" s="138">
        <f>'Expenditures 15-22'!K37</f>
        <v>64418</v>
      </c>
      <c r="C1110" s="2" t="s">
        <v>573</v>
      </c>
      <c r="D1110" s="2" t="str">
        <f t="shared" si="16"/>
        <v>Error?</v>
      </c>
    </row>
    <row r="1111" spans="1:4" x14ac:dyDescent="0.2">
      <c r="A1111" s="5">
        <v>1050</v>
      </c>
      <c r="B1111" s="138">
        <f>'Expenditures 15-22'!K38</f>
        <v>5341</v>
      </c>
      <c r="C1111" s="2" t="s">
        <v>573</v>
      </c>
      <c r="D1111" s="2" t="str">
        <f t="shared" si="16"/>
        <v>Error?</v>
      </c>
    </row>
    <row r="1112" spans="1:4" x14ac:dyDescent="0.2">
      <c r="A1112" s="5">
        <v>1051</v>
      </c>
      <c r="B1112" s="138">
        <f>'Expenditures 15-22'!K39</f>
        <v>43801</v>
      </c>
      <c r="C1112" s="2" t="s">
        <v>573</v>
      </c>
      <c r="D1112" s="2" t="str">
        <f t="shared" si="16"/>
        <v>Error?</v>
      </c>
    </row>
    <row r="1113" spans="1:4" x14ac:dyDescent="0.2">
      <c r="A1113" s="5">
        <v>1052</v>
      </c>
      <c r="B1113" s="138">
        <f>'Expenditures 15-22'!K40</f>
        <v>69962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248518</v>
      </c>
      <c r="C1115" s="2" t="s">
        <v>573</v>
      </c>
      <c r="D1115" s="2" t="str">
        <f t="shared" si="16"/>
        <v>Error?</v>
      </c>
    </row>
    <row r="1116" spans="1:4" x14ac:dyDescent="0.2">
      <c r="A1116" s="5">
        <v>1055</v>
      </c>
      <c r="B1116" s="138">
        <f>'Expenditures 15-22'!K44</f>
        <v>27231</v>
      </c>
      <c r="C1116" s="2" t="s">
        <v>573</v>
      </c>
      <c r="D1116" s="2" t="str">
        <f t="shared" si="16"/>
        <v>Error?</v>
      </c>
    </row>
    <row r="1117" spans="1:4" x14ac:dyDescent="0.2">
      <c r="A1117" s="5">
        <v>1056</v>
      </c>
      <c r="B1117" s="138">
        <f>'Expenditures 15-22'!K45</f>
        <v>18610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45841</v>
      </c>
      <c r="C1119" s="2" t="s">
        <v>573</v>
      </c>
      <c r="D1119" s="2" t="str">
        <f t="shared" si="16"/>
        <v>Error?</v>
      </c>
    </row>
    <row r="1120" spans="1:4" x14ac:dyDescent="0.2">
      <c r="A1120" s="5">
        <v>1059</v>
      </c>
      <c r="B1120" s="138">
        <f>'Expenditures 15-22'!K49</f>
        <v>72239</v>
      </c>
      <c r="C1120" s="2" t="s">
        <v>573</v>
      </c>
      <c r="D1120" s="2" t="str">
        <f t="shared" si="16"/>
        <v>Error?</v>
      </c>
    </row>
    <row r="1121" spans="1:4" x14ac:dyDescent="0.2">
      <c r="A1121" s="5">
        <v>1060</v>
      </c>
      <c r="B1121" s="138">
        <f>'Expenditures 15-22'!K50</f>
        <v>157452</v>
      </c>
      <c r="C1121" s="2" t="s">
        <v>573</v>
      </c>
      <c r="D1121" s="2" t="str">
        <f t="shared" si="16"/>
        <v>Error?</v>
      </c>
    </row>
    <row r="1122" spans="1:4" x14ac:dyDescent="0.2">
      <c r="A1122" s="5">
        <v>1061</v>
      </c>
      <c r="B1122" s="138">
        <f>'Expenditures 15-22'!K53</f>
        <v>229691</v>
      </c>
      <c r="C1122" s="2" t="s">
        <v>573</v>
      </c>
      <c r="D1122" s="2" t="str">
        <f t="shared" si="16"/>
        <v>Error?</v>
      </c>
    </row>
    <row r="1123" spans="1:4" x14ac:dyDescent="0.2">
      <c r="A1123" s="5">
        <v>1062</v>
      </c>
      <c r="B1123" s="138">
        <f>'Expenditures 15-22'!K55</f>
        <v>231178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231178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83569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172835</v>
      </c>
      <c r="C1130" s="2" t="s">
        <v>573</v>
      </c>
      <c r="D1130" s="2" t="str">
        <f t="shared" si="16"/>
        <v>Error?</v>
      </c>
    </row>
    <row r="1131" spans="1:4" x14ac:dyDescent="0.2">
      <c r="A1131" s="5">
        <v>1070</v>
      </c>
      <c r="B1131" s="138">
        <f>'Expenditures 15-22'!K64</f>
        <v>15824</v>
      </c>
      <c r="C1131" s="2" t="s">
        <v>573</v>
      </c>
      <c r="D1131" s="2" t="str">
        <f t="shared" si="16"/>
        <v>Error?</v>
      </c>
    </row>
    <row r="1132" spans="1:4" x14ac:dyDescent="0.2">
      <c r="A1132" s="10">
        <v>1071</v>
      </c>
      <c r="D1132" s="2" t="str">
        <f t="shared" si="16"/>
        <v>OK</v>
      </c>
    </row>
    <row r="1133" spans="1:4" x14ac:dyDescent="0.2">
      <c r="A1133" s="5">
        <v>1072</v>
      </c>
      <c r="B1133" s="138">
        <f>'Expenditures 15-22'!K65</f>
        <v>272228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204188</v>
      </c>
      <c r="C1139" s="2" t="s">
        <v>573</v>
      </c>
      <c r="D1139" s="2" t="str">
        <f t="shared" si="16"/>
        <v>Error?</v>
      </c>
    </row>
    <row r="1140" spans="1:4" x14ac:dyDescent="0.2">
      <c r="A1140" s="10">
        <v>1079</v>
      </c>
      <c r="D1140" s="2" t="str">
        <f t="shared" si="16"/>
        <v>OK</v>
      </c>
    </row>
    <row r="1141" spans="1:4" x14ac:dyDescent="0.2">
      <c r="A1141" s="5">
        <v>1080</v>
      </c>
      <c r="B1141" s="138">
        <f>'Expenditures 15-22'!K72</f>
        <v>204188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1231644</v>
      </c>
      <c r="C1143" s="2" t="s">
        <v>573</v>
      </c>
      <c r="D1143" s="2" t="str">
        <f t="shared" si="16"/>
        <v>Error?</v>
      </c>
    </row>
    <row r="1144" spans="1:4" x14ac:dyDescent="0.2">
      <c r="A1144" s="5">
        <v>1083</v>
      </c>
      <c r="B1144" s="138">
        <f>'Expenditures 15-22'!K75</f>
        <v>20850</v>
      </c>
      <c r="C1144" s="2" t="s">
        <v>573</v>
      </c>
      <c r="D1144" s="2" t="str">
        <f t="shared" si="16"/>
        <v>Error?</v>
      </c>
    </row>
    <row r="1145" spans="1:4" x14ac:dyDescent="0.2">
      <c r="A1145" s="5">
        <v>1084</v>
      </c>
      <c r="B1145" s="138">
        <f>'Expenditures 15-22'!K102</f>
        <v>172166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4114102</v>
      </c>
      <c r="C1152" s="2" t="s">
        <v>573</v>
      </c>
      <c r="D1152" s="2" t="str">
        <f t="shared" si="17"/>
        <v>Error?</v>
      </c>
    </row>
    <row r="1153" spans="1:4" x14ac:dyDescent="0.2">
      <c r="A1153" s="5">
        <v>1092</v>
      </c>
      <c r="B1153" s="138">
        <f>'Expenditures 15-22'!K115</f>
        <v>480958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126675</v>
      </c>
      <c r="D1221" s="2" t="str">
        <f t="shared" si="18"/>
        <v>Error?</v>
      </c>
    </row>
    <row r="1222" spans="1:4" x14ac:dyDescent="0.2">
      <c r="A1222" s="10">
        <v>1161</v>
      </c>
      <c r="D1222" s="2" t="str">
        <f t="shared" si="18"/>
        <v>OK</v>
      </c>
    </row>
    <row r="1223" spans="1:4" x14ac:dyDescent="0.2">
      <c r="A1223" s="5">
        <v>1162</v>
      </c>
      <c r="B1223" s="138">
        <f>'Expenditures 15-22'!C127</f>
        <v>126675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126675</v>
      </c>
      <c r="C1225" s="2" t="s">
        <v>573</v>
      </c>
      <c r="D1225" s="2" t="str">
        <f t="shared" si="18"/>
        <v>Error?</v>
      </c>
    </row>
    <row r="1226" spans="1:4" x14ac:dyDescent="0.2">
      <c r="A1226" s="5">
        <v>1165</v>
      </c>
      <c r="B1226" s="138">
        <f>'Expenditures 15-22'!C151</f>
        <v>126675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25267</v>
      </c>
      <c r="D1229" s="2" t="str">
        <f t="shared" si="18"/>
        <v>Error?</v>
      </c>
    </row>
    <row r="1230" spans="1:4" x14ac:dyDescent="0.2">
      <c r="A1230" s="10">
        <v>1169</v>
      </c>
      <c r="D1230" s="2" t="str">
        <f t="shared" si="18"/>
        <v>OK</v>
      </c>
    </row>
    <row r="1231" spans="1:4" x14ac:dyDescent="0.2">
      <c r="A1231" s="5">
        <v>1170</v>
      </c>
      <c r="B1231" s="138">
        <f>'Expenditures 15-22'!D127</f>
        <v>25267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25267</v>
      </c>
      <c r="C1233" s="2" t="s">
        <v>573</v>
      </c>
      <c r="D1233" s="2" t="str">
        <f t="shared" si="18"/>
        <v>Error?</v>
      </c>
    </row>
    <row r="1234" spans="1:4" x14ac:dyDescent="0.2">
      <c r="A1234" s="5">
        <v>1173</v>
      </c>
      <c r="B1234" s="138">
        <f>'Expenditures 15-22'!D151</f>
        <v>25267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122841</v>
      </c>
      <c r="D1237" s="2" t="str">
        <f t="shared" si="18"/>
        <v>Error?</v>
      </c>
    </row>
    <row r="1238" spans="1:4" x14ac:dyDescent="0.2">
      <c r="A1238" s="10">
        <v>1177</v>
      </c>
      <c r="D1238" s="2" t="str">
        <f t="shared" si="18"/>
        <v>OK</v>
      </c>
    </row>
    <row r="1239" spans="1:4" x14ac:dyDescent="0.2">
      <c r="A1239" s="5">
        <v>1178</v>
      </c>
      <c r="B1239" s="138">
        <f>'Expenditures 15-22'!E127</f>
        <v>122841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122841</v>
      </c>
      <c r="C1241" s="2" t="s">
        <v>573</v>
      </c>
      <c r="D1241" s="2" t="str">
        <f t="shared" si="18"/>
        <v>Error?</v>
      </c>
    </row>
    <row r="1242" spans="1:4" x14ac:dyDescent="0.2">
      <c r="A1242" s="5">
        <v>1181</v>
      </c>
      <c r="B1242" s="138">
        <f>'Expenditures 15-22'!E151</f>
        <v>122841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114927</v>
      </c>
      <c r="D1245" s="2" t="str">
        <f t="shared" si="18"/>
        <v>Error?</v>
      </c>
    </row>
    <row r="1246" spans="1:4" x14ac:dyDescent="0.2">
      <c r="A1246" s="10">
        <v>1185</v>
      </c>
      <c r="D1246" s="2" t="str">
        <f t="shared" si="18"/>
        <v>OK</v>
      </c>
    </row>
    <row r="1247" spans="1:4" x14ac:dyDescent="0.2">
      <c r="A1247" s="5">
        <v>1186</v>
      </c>
      <c r="B1247" s="138">
        <f>'Expenditures 15-22'!F127</f>
        <v>114927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114927</v>
      </c>
      <c r="C1249" s="2" t="s">
        <v>573</v>
      </c>
      <c r="D1249" s="2" t="str">
        <f t="shared" si="18"/>
        <v>Error?</v>
      </c>
    </row>
    <row r="1250" spans="1:4" x14ac:dyDescent="0.2">
      <c r="A1250" s="5">
        <v>1189</v>
      </c>
      <c r="B1250" s="138">
        <f>'Expenditures 15-22'!F151</f>
        <v>114927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13650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13650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13650</v>
      </c>
      <c r="C1258" s="2" t="s">
        <v>573</v>
      </c>
      <c r="D1258" s="2" t="str">
        <f t="shared" si="18"/>
        <v>Error?</v>
      </c>
    </row>
    <row r="1259" spans="1:4" x14ac:dyDescent="0.2">
      <c r="A1259" s="5">
        <v>1198</v>
      </c>
      <c r="B1259" s="138">
        <f>'Expenditures 15-22'!G151</f>
        <v>13650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403360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403360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403360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403360</v>
      </c>
      <c r="C1288" s="2" t="s">
        <v>573</v>
      </c>
      <c r="D1288" s="2" t="str">
        <f t="shared" si="19"/>
        <v>Error?</v>
      </c>
    </row>
    <row r="1289" spans="1:4" x14ac:dyDescent="0.2">
      <c r="A1289" s="5">
        <v>1228</v>
      </c>
      <c r="B1289" s="138">
        <f>'Expenditures 15-22'!K152</f>
        <v>24008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82478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345000</v>
      </c>
      <c r="D1315" s="2" t="str">
        <f t="shared" si="19"/>
        <v>Error?</v>
      </c>
    </row>
    <row r="1316" spans="1:4" x14ac:dyDescent="0.2">
      <c r="A1316" s="5">
        <v>1255</v>
      </c>
      <c r="B1316" s="138">
        <f>'Expenditures 15-22'!H171</f>
        <v>925</v>
      </c>
      <c r="D1316" s="2" t="str">
        <f t="shared" si="19"/>
        <v>Error?</v>
      </c>
    </row>
    <row r="1317" spans="1:4" x14ac:dyDescent="0.2">
      <c r="A1317" s="5">
        <v>1256</v>
      </c>
      <c r="B1317" s="138">
        <f>'Expenditures 15-22'!H172</f>
        <v>428403</v>
      </c>
      <c r="C1317" s="2" t="s">
        <v>573</v>
      </c>
      <c r="D1317" s="2" t="str">
        <f t="shared" si="19"/>
        <v>Error?</v>
      </c>
    </row>
    <row r="1318" spans="1:4" x14ac:dyDescent="0.2">
      <c r="A1318" s="5">
        <v>1257</v>
      </c>
      <c r="B1318" s="138">
        <f>'Expenditures 15-22'!H174</f>
        <v>428403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82478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345000</v>
      </c>
      <c r="C1329" s="2" t="s">
        <v>573</v>
      </c>
      <c r="D1329" s="2" t="str">
        <f t="shared" si="19"/>
        <v>Error?</v>
      </c>
    </row>
    <row r="1330" spans="1:4" x14ac:dyDescent="0.2">
      <c r="A1330" s="5">
        <v>1269</v>
      </c>
      <c r="B1330" s="138">
        <f>'Expenditures 15-22'!K171</f>
        <v>925</v>
      </c>
      <c r="C1330" s="2" t="s">
        <v>573</v>
      </c>
      <c r="D1330" s="2" t="str">
        <f t="shared" si="19"/>
        <v>Error?</v>
      </c>
    </row>
    <row r="1331" spans="1:4" x14ac:dyDescent="0.2">
      <c r="A1331" s="5">
        <v>1270</v>
      </c>
      <c r="B1331" s="138">
        <f>'Expenditures 15-22'!K172</f>
        <v>428403</v>
      </c>
      <c r="C1331" s="2" t="s">
        <v>573</v>
      </c>
      <c r="D1331" s="2" t="str">
        <f t="shared" si="19"/>
        <v>Error?</v>
      </c>
    </row>
    <row r="1332" spans="1:4" x14ac:dyDescent="0.2">
      <c r="A1332" s="5">
        <v>1271</v>
      </c>
      <c r="B1332" s="138">
        <f>'Expenditures 15-22'!K174</f>
        <v>428403</v>
      </c>
      <c r="C1332" s="2" t="s">
        <v>573</v>
      </c>
      <c r="D1332" s="2" t="str">
        <f t="shared" si="19"/>
        <v>Error?</v>
      </c>
    </row>
    <row r="1333" spans="1:4" x14ac:dyDescent="0.2">
      <c r="A1333" s="5">
        <v>1272</v>
      </c>
      <c r="B1333" s="138">
        <f>'Expenditures 15-22'!K175</f>
        <v>-55809</v>
      </c>
      <c r="C1333" s="2" t="s">
        <v>573</v>
      </c>
      <c r="D1333" s="2" t="str">
        <f t="shared" si="19"/>
        <v>Error?</v>
      </c>
    </row>
    <row r="1334" spans="1:4" x14ac:dyDescent="0.2">
      <c r="A1334" s="10">
        <v>1273</v>
      </c>
      <c r="D1334" s="2" t="str">
        <f t="shared" si="19"/>
        <v>OK</v>
      </c>
    </row>
    <row r="1335" spans="1:4" x14ac:dyDescent="0.2">
      <c r="A1335" s="5">
        <v>1274</v>
      </c>
      <c r="B1335" s="138">
        <f>'Expenditures 15-22'!C182</f>
        <v>110839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110839</v>
      </c>
      <c r="C1339" s="2" t="s">
        <v>573</v>
      </c>
      <c r="D1339" s="2" t="str">
        <f t="shared" si="19"/>
        <v>Error?</v>
      </c>
    </row>
    <row r="1340" spans="1:4" x14ac:dyDescent="0.2">
      <c r="A1340" s="5">
        <v>1279</v>
      </c>
      <c r="B1340" s="138">
        <f>'Expenditures 15-22'!C210</f>
        <v>110839</v>
      </c>
      <c r="C1340" s="2" t="s">
        <v>573</v>
      </c>
      <c r="D1340" s="2" t="str">
        <f t="shared" si="19"/>
        <v>Error?</v>
      </c>
    </row>
    <row r="1341" spans="1:4" x14ac:dyDescent="0.2">
      <c r="A1341" s="5">
        <v>1280</v>
      </c>
      <c r="B1341" s="138">
        <f>'Expenditures 15-22'!D182</f>
        <v>68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68</v>
      </c>
      <c r="C1345" s="2" t="s">
        <v>573</v>
      </c>
      <c r="D1345" s="2" t="str">
        <f t="shared" si="20"/>
        <v>Error?</v>
      </c>
    </row>
    <row r="1346" spans="1:4" x14ac:dyDescent="0.2">
      <c r="A1346" s="5">
        <v>1285</v>
      </c>
      <c r="B1346" s="138">
        <f>'Expenditures 15-22'!D210</f>
        <v>68</v>
      </c>
      <c r="C1346" s="2" t="s">
        <v>573</v>
      </c>
      <c r="D1346" s="2" t="str">
        <f t="shared" si="20"/>
        <v>Error?</v>
      </c>
    </row>
    <row r="1347" spans="1:4" x14ac:dyDescent="0.2">
      <c r="A1347" s="5">
        <v>1286</v>
      </c>
      <c r="B1347" s="138">
        <f>'Expenditures 15-22'!E182</f>
        <v>16032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16032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16032</v>
      </c>
      <c r="C1353" s="2" t="s">
        <v>573</v>
      </c>
      <c r="D1353" s="2" t="str">
        <f t="shared" si="20"/>
        <v>Error?</v>
      </c>
    </row>
    <row r="1354" spans="1:4" x14ac:dyDescent="0.2">
      <c r="A1354" s="5">
        <v>1293</v>
      </c>
      <c r="B1354" s="138">
        <f>'Expenditures 15-22'!F182</f>
        <v>25878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25878</v>
      </c>
      <c r="C1358" s="2" t="s">
        <v>573</v>
      </c>
      <c r="D1358" s="2" t="str">
        <f t="shared" si="20"/>
        <v>Error?</v>
      </c>
    </row>
    <row r="1359" spans="1:4" x14ac:dyDescent="0.2">
      <c r="A1359" s="5">
        <v>1298</v>
      </c>
      <c r="B1359" s="138">
        <f>'Expenditures 15-22'!F210</f>
        <v>25878</v>
      </c>
      <c r="C1359" s="2" t="s">
        <v>573</v>
      </c>
      <c r="D1359" s="2" t="str">
        <f t="shared" si="20"/>
        <v>Error?</v>
      </c>
    </row>
    <row r="1360" spans="1:4" x14ac:dyDescent="0.2">
      <c r="A1360" s="5">
        <v>1299</v>
      </c>
      <c r="B1360" s="138">
        <f>'Expenditures 15-22'!G182</f>
        <v>11446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11446</v>
      </c>
      <c r="C1364" s="2" t="s">
        <v>573</v>
      </c>
      <c r="D1364" s="2" t="str">
        <f t="shared" si="20"/>
        <v>Error?</v>
      </c>
    </row>
    <row r="1365" spans="1:4" x14ac:dyDescent="0.2">
      <c r="A1365" s="5">
        <v>1304</v>
      </c>
      <c r="B1365" s="138">
        <f>'Expenditures 15-22'!G210</f>
        <v>11446</v>
      </c>
      <c r="C1365" s="2" t="s">
        <v>573</v>
      </c>
      <c r="D1365" s="2" t="str">
        <f t="shared" si="20"/>
        <v>Error?</v>
      </c>
    </row>
    <row r="1366" spans="1:4" x14ac:dyDescent="0.2">
      <c r="A1366" s="5">
        <v>1305</v>
      </c>
      <c r="B1366" s="138">
        <f>'Expenditures 15-22'!H182</f>
        <v>318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318</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318</v>
      </c>
      <c r="C1376" s="2" t="s">
        <v>573</v>
      </c>
      <c r="D1376" s="2" t="str">
        <f t="shared" si="20"/>
        <v>Error?</v>
      </c>
    </row>
    <row r="1377" spans="1:4" x14ac:dyDescent="0.2">
      <c r="A1377" s="5">
        <v>1316</v>
      </c>
      <c r="B1377" s="138">
        <f>'Expenditures 15-22'!K182</f>
        <v>164581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164581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164581</v>
      </c>
      <c r="C1388" s="2" t="s">
        <v>573</v>
      </c>
      <c r="D1388" s="2" t="str">
        <f t="shared" si="20"/>
        <v>Error?</v>
      </c>
    </row>
    <row r="1389" spans="1:4" x14ac:dyDescent="0.2">
      <c r="A1389" s="5">
        <v>1328</v>
      </c>
      <c r="B1389" s="138">
        <f>'Expenditures 15-22'!K211</f>
        <v>55917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2916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49200</v>
      </c>
      <c r="C1410" s="2" t="s">
        <v>573</v>
      </c>
      <c r="D1410" s="2" t="str">
        <f t="shared" si="21"/>
        <v>Error?</v>
      </c>
    </row>
    <row r="1411" spans="1:4" x14ac:dyDescent="0.2">
      <c r="A1411" s="5">
        <v>1350</v>
      </c>
      <c r="B1411" s="138">
        <f>'Expenditures 15-22'!D232</f>
        <v>675</v>
      </c>
      <c r="D1411" s="2" t="str">
        <f t="shared" si="21"/>
        <v>Error?</v>
      </c>
    </row>
    <row r="1412" spans="1:4" x14ac:dyDescent="0.2">
      <c r="A1412" s="5">
        <v>1351</v>
      </c>
      <c r="B1412" s="138">
        <f>'Expenditures 15-22'!D233</f>
        <v>718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1393</v>
      </c>
      <c r="C1417" s="2" t="s">
        <v>573</v>
      </c>
      <c r="D1417" s="2" t="str">
        <f t="shared" si="21"/>
        <v>Error?</v>
      </c>
    </row>
    <row r="1418" spans="1:4" x14ac:dyDescent="0.2">
      <c r="A1418" s="5">
        <v>1357</v>
      </c>
      <c r="B1418" s="138">
        <f>'Expenditures 15-22'!D240</f>
        <v>498</v>
      </c>
      <c r="D1418" s="2" t="str">
        <f t="shared" si="21"/>
        <v>Error?</v>
      </c>
    </row>
    <row r="1419" spans="1:4" x14ac:dyDescent="0.2">
      <c r="A1419" s="5">
        <v>1358</v>
      </c>
      <c r="B1419" s="138">
        <f>'Expenditures 15-22'!D241</f>
        <v>799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1297</v>
      </c>
      <c r="C1421" s="2" t="s">
        <v>573</v>
      </c>
      <c r="D1421" s="2" t="str">
        <f t="shared" si="21"/>
        <v>Error?</v>
      </c>
    </row>
    <row r="1422" spans="1:4" x14ac:dyDescent="0.2">
      <c r="A1422" s="5">
        <v>1361</v>
      </c>
      <c r="B1422" s="138">
        <f>'Expenditures 15-22'!D245</f>
        <v>560</v>
      </c>
      <c r="D1422" s="2" t="str">
        <f t="shared" si="21"/>
        <v>Error?</v>
      </c>
    </row>
    <row r="1423" spans="1:4" x14ac:dyDescent="0.2">
      <c r="A1423" s="5">
        <v>1362</v>
      </c>
      <c r="B1423" s="138">
        <f>'Expenditures 15-22'!D246</f>
        <v>1737</v>
      </c>
      <c r="D1423" s="2" t="str">
        <f t="shared" si="21"/>
        <v>Error?</v>
      </c>
    </row>
    <row r="1424" spans="1:4" x14ac:dyDescent="0.2">
      <c r="A1424" s="5">
        <v>1363</v>
      </c>
      <c r="B1424" s="138">
        <f>'Expenditures 15-22'!D257</f>
        <v>2297</v>
      </c>
      <c r="C1424" s="2" t="s">
        <v>573</v>
      </c>
      <c r="D1424" s="2" t="str">
        <f t="shared" si="21"/>
        <v>Error?</v>
      </c>
    </row>
    <row r="1425" spans="1:4" x14ac:dyDescent="0.2">
      <c r="A1425" s="5">
        <v>1364</v>
      </c>
      <c r="B1425" s="138">
        <f>'Expenditures 15-22'!D259</f>
        <v>8319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8319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9375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17372</v>
      </c>
      <c r="D1431" s="2" t="str">
        <f t="shared" si="21"/>
        <v>Error?</v>
      </c>
    </row>
    <row r="1432" spans="1:4" x14ac:dyDescent="0.2">
      <c r="A1432" s="5">
        <v>1371</v>
      </c>
      <c r="B1432" s="138">
        <f>'Expenditures 15-22'!D267</f>
        <v>11321</v>
      </c>
      <c r="D1432" s="2" t="str">
        <f t="shared" si="21"/>
        <v>Error?</v>
      </c>
    </row>
    <row r="1433" spans="1:4" x14ac:dyDescent="0.2">
      <c r="A1433" s="5">
        <v>1372</v>
      </c>
      <c r="B1433" s="138">
        <f>'Expenditures 15-22'!D268</f>
        <v>8201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46269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521</v>
      </c>
      <c r="D1442" s="2" t="str">
        <f t="shared" si="21"/>
        <v>Error?</v>
      </c>
    </row>
    <row r="1443" spans="1:4" x14ac:dyDescent="0.2">
      <c r="A1443" s="10">
        <v>1382</v>
      </c>
      <c r="D1443" s="2" t="str">
        <f t="shared" si="21"/>
        <v>OK</v>
      </c>
    </row>
    <row r="1444" spans="1:4" x14ac:dyDescent="0.2">
      <c r="A1444" s="5">
        <v>1383</v>
      </c>
      <c r="B1444" s="138">
        <f>'Expenditures 15-22'!D277</f>
        <v>521</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60096</v>
      </c>
      <c r="C1446" s="2" t="s">
        <v>573</v>
      </c>
      <c r="D1446" s="2" t="str">
        <f t="shared" si="21"/>
        <v>Error?</v>
      </c>
    </row>
    <row r="1447" spans="1:4" x14ac:dyDescent="0.2">
      <c r="A1447" s="5">
        <v>1386</v>
      </c>
      <c r="B1447" s="138">
        <f>'Expenditures 15-22'!D280</f>
        <v>1870</v>
      </c>
      <c r="D1447" s="2" t="str">
        <f t="shared" si="21"/>
        <v>Error?</v>
      </c>
    </row>
    <row r="1448" spans="1:4" x14ac:dyDescent="0.2">
      <c r="A1448" s="5">
        <v>1387</v>
      </c>
      <c r="B1448" s="138">
        <f>'Expenditures 15-22'!D295</f>
        <v>111166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2916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49200</v>
      </c>
      <c r="C1474" s="2" t="s">
        <v>573</v>
      </c>
      <c r="D1474" s="2" t="str">
        <f t="shared" si="22"/>
        <v>Error?</v>
      </c>
    </row>
    <row r="1475" spans="1:4" x14ac:dyDescent="0.2">
      <c r="A1475" s="5">
        <v>1414</v>
      </c>
      <c r="B1475" s="138">
        <f>'Expenditures 15-22'!K232</f>
        <v>675</v>
      </c>
      <c r="C1475" s="2" t="s">
        <v>573</v>
      </c>
      <c r="D1475" s="2" t="str">
        <f t="shared" si="22"/>
        <v>Error?</v>
      </c>
    </row>
    <row r="1476" spans="1:4" x14ac:dyDescent="0.2">
      <c r="A1476" s="5">
        <v>1415</v>
      </c>
      <c r="B1476" s="138">
        <f>'Expenditures 15-22'!K233</f>
        <v>718</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1393</v>
      </c>
      <c r="C1481" s="2" t="s">
        <v>573</v>
      </c>
      <c r="D1481" s="2" t="str">
        <f t="shared" si="22"/>
        <v>Error?</v>
      </c>
    </row>
    <row r="1482" spans="1:4" x14ac:dyDescent="0.2">
      <c r="A1482" s="5">
        <v>1421</v>
      </c>
      <c r="B1482" s="138">
        <f>'Expenditures 15-22'!K240</f>
        <v>498</v>
      </c>
      <c r="C1482" s="2" t="s">
        <v>573</v>
      </c>
      <c r="D1482" s="2" t="str">
        <f t="shared" si="22"/>
        <v>Error?</v>
      </c>
    </row>
    <row r="1483" spans="1:4" x14ac:dyDescent="0.2">
      <c r="A1483" s="5">
        <v>1422</v>
      </c>
      <c r="B1483" s="138">
        <f>'Expenditures 15-22'!K241</f>
        <v>799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1297</v>
      </c>
      <c r="C1485" s="2" t="s">
        <v>573</v>
      </c>
      <c r="D1485" s="2" t="str">
        <f t="shared" si="22"/>
        <v>Error?</v>
      </c>
    </row>
    <row r="1486" spans="1:4" x14ac:dyDescent="0.2">
      <c r="A1486" s="5">
        <v>1425</v>
      </c>
      <c r="B1486" s="138">
        <f>'Expenditures 15-22'!K245</f>
        <v>560</v>
      </c>
      <c r="C1486" s="2" t="s">
        <v>573</v>
      </c>
      <c r="D1486" s="2" t="str">
        <f t="shared" si="22"/>
        <v>Error?</v>
      </c>
    </row>
    <row r="1487" spans="1:4" x14ac:dyDescent="0.2">
      <c r="A1487" s="5">
        <v>1426</v>
      </c>
      <c r="B1487" s="138">
        <f>'Expenditures 15-22'!K246</f>
        <v>1737</v>
      </c>
      <c r="C1487" s="2" t="s">
        <v>573</v>
      </c>
      <c r="D1487" s="2" t="str">
        <f t="shared" si="22"/>
        <v>Error?</v>
      </c>
    </row>
    <row r="1488" spans="1:4" x14ac:dyDescent="0.2">
      <c r="A1488" s="5">
        <v>1427</v>
      </c>
      <c r="B1488" s="138">
        <f>'Expenditures 15-22'!K257</f>
        <v>2297</v>
      </c>
      <c r="C1488" s="2" t="s">
        <v>573</v>
      </c>
      <c r="D1488" s="2" t="str">
        <f t="shared" si="22"/>
        <v>Error?</v>
      </c>
    </row>
    <row r="1489" spans="1:4" x14ac:dyDescent="0.2">
      <c r="A1489" s="5">
        <v>1428</v>
      </c>
      <c r="B1489" s="138">
        <f>'Expenditures 15-22'!K259</f>
        <v>8319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8319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9375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17372</v>
      </c>
      <c r="C1495" s="2" t="s">
        <v>573</v>
      </c>
      <c r="D1495" s="2" t="str">
        <f t="shared" si="22"/>
        <v>Error?</v>
      </c>
    </row>
    <row r="1496" spans="1:4" x14ac:dyDescent="0.2">
      <c r="A1496" s="5">
        <v>1435</v>
      </c>
      <c r="B1496" s="138">
        <f>'Expenditures 15-22'!K267</f>
        <v>11321</v>
      </c>
      <c r="C1496" s="2" t="s">
        <v>573</v>
      </c>
      <c r="D1496" s="2" t="str">
        <f t="shared" si="22"/>
        <v>Error?</v>
      </c>
    </row>
    <row r="1497" spans="1:4" x14ac:dyDescent="0.2">
      <c r="A1497" s="5">
        <v>1436</v>
      </c>
      <c r="B1497" s="138">
        <f>'Expenditures 15-22'!K268</f>
        <v>8201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46269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521</v>
      </c>
      <c r="C1506" s="2" t="s">
        <v>573</v>
      </c>
      <c r="D1506" s="2" t="str">
        <f t="shared" si="22"/>
        <v>Error?</v>
      </c>
    </row>
    <row r="1507" spans="1:4" x14ac:dyDescent="0.2">
      <c r="A1507" s="10">
        <v>1446</v>
      </c>
      <c r="D1507" s="2" t="str">
        <f t="shared" si="22"/>
        <v>OK</v>
      </c>
    </row>
    <row r="1508" spans="1:4" x14ac:dyDescent="0.2">
      <c r="A1508" s="5">
        <v>1447</v>
      </c>
      <c r="B1508" s="138">
        <f>'Expenditures 15-22'!K277</f>
        <v>521</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60096</v>
      </c>
      <c r="C1510" s="2" t="s">
        <v>573</v>
      </c>
      <c r="D1510" s="2" t="str">
        <f t="shared" si="22"/>
        <v>Error?</v>
      </c>
    </row>
    <row r="1511" spans="1:4" x14ac:dyDescent="0.2">
      <c r="A1511" s="5">
        <v>1450</v>
      </c>
      <c r="B1511" s="138">
        <f>'Expenditures 15-22'!K280</f>
        <v>1870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111166</v>
      </c>
      <c r="C1517" s="2" t="s">
        <v>573</v>
      </c>
      <c r="D1517" s="2" t="str">
        <f t="shared" si="22"/>
        <v>Error?</v>
      </c>
    </row>
    <row r="1518" spans="1:4" x14ac:dyDescent="0.2">
      <c r="A1518" s="5">
        <v>1457</v>
      </c>
      <c r="B1518" s="138">
        <f>'Expenditures 15-22'!K296</f>
        <v>25145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2923909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3368124</v>
      </c>
      <c r="C1630" s="2" t="s">
        <v>573</v>
      </c>
      <c r="D1630" s="2" t="str">
        <f t="shared" si="24"/>
        <v>Error?</v>
      </c>
    </row>
    <row r="1631" spans="1:4" x14ac:dyDescent="0.2">
      <c r="A1631" s="5">
        <v>1570</v>
      </c>
      <c r="B1631" s="138">
        <f>'Acct Summary 7-8'!D79</f>
        <v>677407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701415</v>
      </c>
      <c r="C1644" s="2" t="s">
        <v>573</v>
      </c>
      <c r="D1644" s="2" t="str">
        <f t="shared" si="24"/>
        <v>Error?</v>
      </c>
    </row>
    <row r="1645" spans="1:4" x14ac:dyDescent="0.2">
      <c r="A1645" s="5">
        <v>1584</v>
      </c>
      <c r="B1645" s="138">
        <f>'Acct Summary 7-8'!E79</f>
        <v>71577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15768</v>
      </c>
      <c r="C1658" s="2" t="s">
        <v>573</v>
      </c>
      <c r="D1658" s="2" t="str">
        <f t="shared" si="24"/>
        <v>Error?</v>
      </c>
    </row>
    <row r="1659" spans="1:4" x14ac:dyDescent="0.2">
      <c r="A1659" s="5">
        <v>1598</v>
      </c>
      <c r="B1659" s="138">
        <f>'Acct Summary 7-8'!F79</f>
        <v>507867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563784</v>
      </c>
      <c r="C1672" s="2" t="s">
        <v>573</v>
      </c>
      <c r="D1672" s="2" t="str">
        <f t="shared" si="25"/>
        <v>Error?</v>
      </c>
    </row>
    <row r="1673" spans="1:4" x14ac:dyDescent="0.2">
      <c r="A1673" s="5">
        <v>1612</v>
      </c>
      <c r="B1673" s="138">
        <f>'Acct Summary 7-8'!G79</f>
        <v>208257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233402</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2266111</v>
      </c>
      <c r="C1744" s="2" t="s">
        <v>573</v>
      </c>
      <c r="D1744" s="2" t="str">
        <f t="shared" si="26"/>
        <v>Error?</v>
      </c>
    </row>
    <row r="1745" spans="1:5" x14ac:dyDescent="0.2">
      <c r="A1745" s="5">
        <v>1684</v>
      </c>
      <c r="B1745" s="138">
        <f>'Tax Sched 23'!B5</f>
        <v>402308</v>
      </c>
      <c r="C1745" s="2" t="s">
        <v>573</v>
      </c>
      <c r="D1745" s="2" t="str">
        <f t="shared" si="26"/>
        <v>Error?</v>
      </c>
    </row>
    <row r="1746" spans="1:5" x14ac:dyDescent="0.2">
      <c r="A1746" s="5">
        <v>1685</v>
      </c>
      <c r="B1746" s="138">
        <f>'Tax Sched 23'!B6</f>
        <v>371389</v>
      </c>
      <c r="C1746" s="2" t="s">
        <v>573</v>
      </c>
      <c r="D1746" s="2" t="str">
        <f t="shared" si="26"/>
        <v>Error?</v>
      </c>
    </row>
    <row r="1747" spans="1:5" x14ac:dyDescent="0.2">
      <c r="A1747" s="5">
        <v>1686</v>
      </c>
      <c r="B1747" s="138">
        <f>'Tax Sched 23'!B7</f>
        <v>114308</v>
      </c>
      <c r="C1747" s="2" t="s">
        <v>573</v>
      </c>
      <c r="D1747" s="2" t="str">
        <f t="shared" si="26"/>
        <v>Error?</v>
      </c>
    </row>
    <row r="1748" spans="1:5" x14ac:dyDescent="0.2">
      <c r="A1748" s="5">
        <v>1687</v>
      </c>
      <c r="B1748" s="138">
        <f>'Tax Sched 23'!B8</f>
        <v>53986</v>
      </c>
      <c r="C1748" s="2" t="s">
        <v>573</v>
      </c>
      <c r="D1748" s="2" t="str">
        <f t="shared" si="26"/>
        <v>Error?</v>
      </c>
    </row>
    <row r="1749" spans="1:5" x14ac:dyDescent="0.2">
      <c r="A1749" s="5">
        <v>1688</v>
      </c>
      <c r="B1749" s="138">
        <f>'Tax Sched 23'!B10</f>
        <v>28577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150397</v>
      </c>
      <c r="C1752" s="2" t="s">
        <v>573</v>
      </c>
      <c r="D1752" s="2" t="str">
        <f t="shared" si="26"/>
        <v>Error?</v>
      </c>
    </row>
    <row r="1753" spans="1:5" x14ac:dyDescent="0.2">
      <c r="A1753" s="5">
        <v>1692</v>
      </c>
      <c r="B1753" s="138">
        <f>'Tax Sched 23'!B12</f>
        <v>28578</v>
      </c>
      <c r="C1753" s="2" t="s">
        <v>573</v>
      </c>
      <c r="D1753" s="2" t="str">
        <f t="shared" si="26"/>
        <v>Error?</v>
      </c>
    </row>
    <row r="1754" spans="1:5" x14ac:dyDescent="0.2">
      <c r="A1754" s="5">
        <v>1693</v>
      </c>
      <c r="B1754" s="138">
        <f>'Tax Sched 23'!B14</f>
        <v>22862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3547314</v>
      </c>
      <c r="C1759" s="2" t="s">
        <v>573</v>
      </c>
      <c r="D1759" s="2" t="str">
        <f t="shared" si="26"/>
        <v>Error?</v>
      </c>
    </row>
    <row r="1760" spans="1:5" x14ac:dyDescent="0.2">
      <c r="A1760" s="5">
        <v>1699</v>
      </c>
      <c r="B1760" s="138">
        <f>'Tax Sched 23'!D4</f>
        <v>2218353</v>
      </c>
      <c r="C1760" s="2" t="s">
        <v>573</v>
      </c>
      <c r="D1760" s="2" t="str">
        <f t="shared" si="26"/>
        <v>Error?</v>
      </c>
    </row>
    <row r="1761" spans="1:5" x14ac:dyDescent="0.2">
      <c r="A1761" s="5">
        <v>1700</v>
      </c>
      <c r="B1761" s="138">
        <f>'Tax Sched 23'!D5</f>
        <v>393685</v>
      </c>
      <c r="C1761" s="2" t="s">
        <v>573</v>
      </c>
      <c r="D1761" s="2" t="str">
        <f t="shared" si="26"/>
        <v>Error?</v>
      </c>
    </row>
    <row r="1762" spans="1:5" s="8" customFormat="1" x14ac:dyDescent="0.2">
      <c r="A1762" s="5">
        <v>1701</v>
      </c>
      <c r="B1762" s="138">
        <f>'Tax Sched 23'!D6</f>
        <v>361994</v>
      </c>
      <c r="C1762" s="2" t="s">
        <v>573</v>
      </c>
      <c r="D1762" s="2" t="str">
        <f t="shared" si="26"/>
        <v>Error?</v>
      </c>
      <c r="E1762" s="9"/>
    </row>
    <row r="1763" spans="1:5" x14ac:dyDescent="0.2">
      <c r="A1763" s="5">
        <v>1702</v>
      </c>
      <c r="B1763" s="138">
        <f>'Tax Sched 23'!D7</f>
        <v>111683</v>
      </c>
      <c r="C1763" s="2" t="s">
        <v>573</v>
      </c>
      <c r="D1763" s="2" t="str">
        <f t="shared" si="26"/>
        <v>Error?</v>
      </c>
    </row>
    <row r="1764" spans="1:5" x14ac:dyDescent="0.2">
      <c r="A1764" s="5">
        <v>1703</v>
      </c>
      <c r="B1764" s="138">
        <f>'Tax Sched 23'!D8</f>
        <v>52792</v>
      </c>
      <c r="C1764" s="2" t="s">
        <v>573</v>
      </c>
      <c r="D1764" s="2" t="str">
        <f t="shared" si="26"/>
        <v>Error?</v>
      </c>
    </row>
    <row r="1765" spans="1:5" x14ac:dyDescent="0.2">
      <c r="A1765" s="5">
        <v>1704</v>
      </c>
      <c r="B1765" s="138">
        <f>'Tax Sched 23'!D10</f>
        <v>27921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146019</v>
      </c>
      <c r="C1768" s="2" t="s">
        <v>573</v>
      </c>
      <c r="D1768" s="2" t="str">
        <f t="shared" si="26"/>
        <v>Error?</v>
      </c>
    </row>
    <row r="1769" spans="1:5" x14ac:dyDescent="0.2">
      <c r="A1769" s="5">
        <v>1708</v>
      </c>
      <c r="B1769" s="138">
        <f>'Tax Sched 23'!D12</f>
        <v>27922</v>
      </c>
      <c r="C1769" s="2" t="s">
        <v>573</v>
      </c>
      <c r="D1769" s="2" t="str">
        <f t="shared" si="26"/>
        <v>Error?</v>
      </c>
    </row>
    <row r="1770" spans="1:5" x14ac:dyDescent="0.2">
      <c r="A1770" s="5">
        <v>1709</v>
      </c>
      <c r="B1770" s="138">
        <f>'Tax Sched 23'!D14</f>
        <v>22337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3469256</v>
      </c>
      <c r="C1775" s="2" t="s">
        <v>573</v>
      </c>
      <c r="D1775" s="2" t="str">
        <f t="shared" si="26"/>
        <v>Error?</v>
      </c>
    </row>
    <row r="1776" spans="1:5" x14ac:dyDescent="0.2">
      <c r="A1776" s="5">
        <v>1715</v>
      </c>
      <c r="B1776" s="138">
        <f>'Tax Sched 23'!C4</f>
        <v>47758</v>
      </c>
      <c r="D1776" s="2" t="str">
        <f t="shared" si="26"/>
        <v>Error?</v>
      </c>
    </row>
    <row r="1777" spans="1:4" x14ac:dyDescent="0.2">
      <c r="A1777" s="5">
        <v>1716</v>
      </c>
      <c r="B1777" s="138">
        <f>'Tax Sched 23'!C5</f>
        <v>8623</v>
      </c>
      <c r="D1777" s="2" t="str">
        <f t="shared" si="26"/>
        <v>Error?</v>
      </c>
    </row>
    <row r="1778" spans="1:4" x14ac:dyDescent="0.2">
      <c r="A1778" s="5">
        <v>1717</v>
      </c>
      <c r="B1778" s="138">
        <f>'Tax Sched 23'!C6</f>
        <v>9395</v>
      </c>
      <c r="D1778" s="2" t="str">
        <f t="shared" si="26"/>
        <v>Error?</v>
      </c>
    </row>
    <row r="1779" spans="1:4" x14ac:dyDescent="0.2">
      <c r="A1779" s="5">
        <v>1718</v>
      </c>
      <c r="B1779" s="138">
        <f>'Tax Sched 23'!C7</f>
        <v>2625</v>
      </c>
      <c r="D1779" s="2" t="str">
        <f t="shared" si="26"/>
        <v>Error?</v>
      </c>
    </row>
    <row r="1780" spans="1:4" x14ac:dyDescent="0.2">
      <c r="A1780" s="5">
        <v>1719</v>
      </c>
      <c r="B1780" s="138">
        <f>'Tax Sched 23'!C8</f>
        <v>1194</v>
      </c>
      <c r="D1780" s="2" t="str">
        <f t="shared" si="26"/>
        <v>Error?</v>
      </c>
    </row>
    <row r="1781" spans="1:4" x14ac:dyDescent="0.2">
      <c r="A1781" s="5">
        <v>1720</v>
      </c>
      <c r="B1781" s="138">
        <f>'Tax Sched 23'!C10</f>
        <v>656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4378</v>
      </c>
      <c r="D1784" s="2" t="str">
        <f t="shared" si="26"/>
        <v>Error?</v>
      </c>
    </row>
    <row r="1785" spans="1:4" x14ac:dyDescent="0.2">
      <c r="A1785" s="5">
        <v>1724</v>
      </c>
      <c r="B1785" s="138">
        <f>'Tax Sched 23'!C12</f>
        <v>656</v>
      </c>
      <c r="D1785" s="2" t="str">
        <f t="shared" si="26"/>
        <v>Error?</v>
      </c>
    </row>
    <row r="1786" spans="1:4" x14ac:dyDescent="0.2">
      <c r="A1786" s="5">
        <v>1725</v>
      </c>
      <c r="B1786" s="138">
        <f>'Tax Sched 23'!C14</f>
        <v>525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78058</v>
      </c>
      <c r="C1791" s="2" t="s">
        <v>573</v>
      </c>
      <c r="D1791" s="2" t="str">
        <f t="shared" ref="D1791:D1854" si="27">IF(ISBLANK(B1791),"OK",IF(A1791-B1791=0,"OK","Error?"))</f>
        <v>Error?</v>
      </c>
    </row>
    <row r="1792" spans="1:4" x14ac:dyDescent="0.2">
      <c r="A1792" s="5">
        <v>1731</v>
      </c>
      <c r="B1792" s="138">
        <f>'Tax Sched 23'!F4</f>
        <v>2193129</v>
      </c>
      <c r="C1792" s="2" t="s">
        <v>573</v>
      </c>
      <c r="D1792" s="2" t="str">
        <f t="shared" si="27"/>
        <v>Error?</v>
      </c>
    </row>
    <row r="1793" spans="1:4" x14ac:dyDescent="0.2">
      <c r="A1793" s="5">
        <v>1732</v>
      </c>
      <c r="B1793" s="138">
        <f>'Tax Sched 23'!F5</f>
        <v>395985</v>
      </c>
      <c r="C1793" s="2" t="s">
        <v>573</v>
      </c>
      <c r="D1793" s="2" t="str">
        <f t="shared" si="27"/>
        <v>Error?</v>
      </c>
    </row>
    <row r="1794" spans="1:4" x14ac:dyDescent="0.2">
      <c r="A1794" s="5">
        <v>1733</v>
      </c>
      <c r="B1794" s="138">
        <f>'Tax Sched 23'!F6</f>
        <v>427047</v>
      </c>
      <c r="C1794" s="2" t="s">
        <v>573</v>
      </c>
      <c r="D1794" s="2" t="str">
        <f t="shared" si="27"/>
        <v>Error?</v>
      </c>
    </row>
    <row r="1795" spans="1:4" x14ac:dyDescent="0.2">
      <c r="A1795" s="5">
        <v>1734</v>
      </c>
      <c r="B1795" s="138">
        <f>'Tax Sched 23'!F7</f>
        <v>120429</v>
      </c>
      <c r="C1795" s="2" t="s">
        <v>573</v>
      </c>
      <c r="D1795" s="2" t="str">
        <f t="shared" si="27"/>
        <v>Error?</v>
      </c>
    </row>
    <row r="1796" spans="1:4" x14ac:dyDescent="0.2">
      <c r="A1796" s="5">
        <v>1735</v>
      </c>
      <c r="B1796" s="138">
        <f>'Tax Sched 23'!F8</f>
        <v>54833</v>
      </c>
      <c r="C1796" s="2" t="s">
        <v>573</v>
      </c>
      <c r="D1796" s="2" t="str">
        <f t="shared" si="27"/>
        <v>Error?</v>
      </c>
    </row>
    <row r="1797" spans="1:4" x14ac:dyDescent="0.2">
      <c r="A1797" s="5">
        <v>1736</v>
      </c>
      <c r="B1797" s="138">
        <f>'Tax Sched 23'!F10</f>
        <v>30108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201036</v>
      </c>
      <c r="C1800" s="2" t="s">
        <v>573</v>
      </c>
      <c r="D1800" s="2" t="str">
        <f t="shared" si="27"/>
        <v>Error?</v>
      </c>
    </row>
    <row r="1801" spans="1:4" x14ac:dyDescent="0.2">
      <c r="A1801" s="5">
        <v>1740</v>
      </c>
      <c r="B1801" s="138">
        <f>'Tax Sched 23'!F12</f>
        <v>30108</v>
      </c>
      <c r="C1801" s="2" t="s">
        <v>573</v>
      </c>
      <c r="D1801" s="2" t="str">
        <f t="shared" si="27"/>
        <v>Error?</v>
      </c>
    </row>
    <row r="1802" spans="1:4" x14ac:dyDescent="0.2">
      <c r="A1802" s="5">
        <v>1741</v>
      </c>
      <c r="B1802" s="138">
        <f>'Tax Sched 23'!F14</f>
        <v>24086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3579977</v>
      </c>
      <c r="C1807" s="2" t="s">
        <v>573</v>
      </c>
      <c r="D1807" s="2" t="str">
        <f t="shared" si="27"/>
        <v>Error?</v>
      </c>
    </row>
    <row r="1808" spans="1:4" x14ac:dyDescent="0.2">
      <c r="A1808" s="5">
        <v>1747</v>
      </c>
      <c r="B1808" s="138">
        <f>'Tax Sched 23'!E4</f>
        <v>2240887</v>
      </c>
      <c r="D1808" s="2" t="str">
        <f t="shared" si="27"/>
        <v>Error?</v>
      </c>
    </row>
    <row r="1809" spans="1:4" x14ac:dyDescent="0.2">
      <c r="A1809" s="5">
        <v>1748</v>
      </c>
      <c r="B1809" s="138">
        <f>'Tax Sched 23'!E5</f>
        <v>404608</v>
      </c>
      <c r="D1809" s="2" t="str">
        <f t="shared" si="27"/>
        <v>Error?</v>
      </c>
    </row>
    <row r="1810" spans="1:4" x14ac:dyDescent="0.2">
      <c r="A1810" s="5">
        <v>1749</v>
      </c>
      <c r="B1810" s="138">
        <f>'Tax Sched 23'!E6</f>
        <v>436442</v>
      </c>
      <c r="D1810" s="2" t="str">
        <f t="shared" si="27"/>
        <v>Error?</v>
      </c>
    </row>
    <row r="1811" spans="1:4" x14ac:dyDescent="0.2">
      <c r="A1811" s="5">
        <v>1750</v>
      </c>
      <c r="B1811" s="138">
        <f>'Tax Sched 23'!E7</f>
        <v>123054</v>
      </c>
      <c r="D1811" s="2" t="str">
        <f t="shared" si="27"/>
        <v>Error?</v>
      </c>
    </row>
    <row r="1812" spans="1:4" x14ac:dyDescent="0.2">
      <c r="A1812" s="5">
        <v>1751</v>
      </c>
      <c r="B1812" s="138">
        <f>'Tax Sched 23'!E8</f>
        <v>56027</v>
      </c>
      <c r="D1812" s="2" t="str">
        <f t="shared" si="27"/>
        <v>Error?</v>
      </c>
    </row>
    <row r="1813" spans="1:4" x14ac:dyDescent="0.2">
      <c r="A1813" s="5">
        <v>1752</v>
      </c>
      <c r="B1813" s="138">
        <f>'Tax Sched 23'!E10</f>
        <v>30764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205414</v>
      </c>
      <c r="D1816" s="2" t="str">
        <f t="shared" si="27"/>
        <v>Error?</v>
      </c>
    </row>
    <row r="1817" spans="1:4" x14ac:dyDescent="0.2">
      <c r="A1817" s="5">
        <v>1756</v>
      </c>
      <c r="B1817" s="138">
        <f>'Tax Sched 23'!E12</f>
        <v>30764</v>
      </c>
      <c r="D1817" s="2" t="str">
        <f t="shared" si="27"/>
        <v>Error?</v>
      </c>
    </row>
    <row r="1818" spans="1:4" x14ac:dyDescent="0.2">
      <c r="A1818" s="5">
        <v>1757</v>
      </c>
      <c r="B1818" s="138">
        <f>'Tax Sched 23'!E14</f>
        <v>24611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3658035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3545000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22862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22862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22862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160300</v>
      </c>
      <c r="D2008" s="2" t="str">
        <f t="shared" si="30"/>
        <v>Error?</v>
      </c>
    </row>
    <row r="2009" spans="1:4" x14ac:dyDescent="0.2">
      <c r="A2009" s="5">
        <v>1948</v>
      </c>
      <c r="B2009" s="138">
        <f>'Cap Outlay Deprec 26'!C8</f>
        <v>8220506</v>
      </c>
      <c r="D2009" s="2" t="str">
        <f t="shared" si="30"/>
        <v>Error?</v>
      </c>
    </row>
    <row r="2010" spans="1:4" x14ac:dyDescent="0.2">
      <c r="A2010" s="5">
        <v>1949</v>
      </c>
      <c r="B2010" s="138">
        <f>'Cap Outlay Deprec 26'!C10</f>
        <v>76673</v>
      </c>
      <c r="D2010" s="2" t="str">
        <f t="shared" si="30"/>
        <v>Error?</v>
      </c>
    </row>
    <row r="2011" spans="1:4" x14ac:dyDescent="0.2">
      <c r="A2011" s="5">
        <v>1950</v>
      </c>
      <c r="B2011" s="138">
        <f>'Cap Outlay Deprec 26'!C12</f>
        <v>534280</v>
      </c>
      <c r="D2011" s="2" t="str">
        <f t="shared" si="30"/>
        <v>Error?</v>
      </c>
    </row>
    <row r="2012" spans="1:4" x14ac:dyDescent="0.2">
      <c r="A2012" s="5">
        <v>1951</v>
      </c>
      <c r="B2012" s="138">
        <f>'Cap Outlay Deprec 26'!C13</f>
        <v>1076489</v>
      </c>
      <c r="D2012" s="2" t="str">
        <f t="shared" si="30"/>
        <v>Error?</v>
      </c>
    </row>
    <row r="2013" spans="1:4" x14ac:dyDescent="0.2">
      <c r="A2013" s="5">
        <v>1952</v>
      </c>
      <c r="B2013" s="138">
        <f>'Cap Outlay Deprec 26'!C16</f>
        <v>10068248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13650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51968</v>
      </c>
      <c r="D2018" s="2" t="str">
        <f t="shared" si="30"/>
        <v>Error?</v>
      </c>
    </row>
    <row r="2019" spans="1:4" x14ac:dyDescent="0.2">
      <c r="A2019" s="5">
        <v>1958</v>
      </c>
      <c r="B2019" s="138">
        <f>'Cap Outlay Deprec 26'!D16</f>
        <v>65618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160300</v>
      </c>
      <c r="C2026" s="2" t="s">
        <v>573</v>
      </c>
      <c r="D2026" s="2" t="str">
        <f t="shared" si="30"/>
        <v>Error?</v>
      </c>
    </row>
    <row r="2027" spans="1:4" x14ac:dyDescent="0.2">
      <c r="A2027" s="5">
        <v>1966</v>
      </c>
      <c r="B2027" s="138">
        <f>'Cap Outlay Deprec 26'!F8</f>
        <v>8234156</v>
      </c>
      <c r="C2027" s="2" t="s">
        <v>573</v>
      </c>
      <c r="D2027" s="2" t="str">
        <f t="shared" si="30"/>
        <v>Error?</v>
      </c>
    </row>
    <row r="2028" spans="1:4" x14ac:dyDescent="0.2">
      <c r="A2028" s="5">
        <v>1967</v>
      </c>
      <c r="B2028" s="138">
        <f>'Cap Outlay Deprec 26'!F10</f>
        <v>76673</v>
      </c>
      <c r="C2028" s="2" t="s">
        <v>573</v>
      </c>
      <c r="D2028" s="2" t="str">
        <f t="shared" si="30"/>
        <v>Error?</v>
      </c>
    </row>
    <row r="2029" spans="1:4" x14ac:dyDescent="0.2">
      <c r="A2029" s="5">
        <v>1968</v>
      </c>
      <c r="B2029" s="138">
        <f>'Cap Outlay Deprec 26'!F12</f>
        <v>534280</v>
      </c>
      <c r="C2029" s="2" t="s">
        <v>573</v>
      </c>
      <c r="D2029" s="2" t="str">
        <f t="shared" si="30"/>
        <v>Error?</v>
      </c>
    </row>
    <row r="2030" spans="1:4" x14ac:dyDescent="0.2">
      <c r="A2030" s="5">
        <v>1969</v>
      </c>
      <c r="B2030" s="138">
        <f>'Cap Outlay Deprec 26'!F13</f>
        <v>1128457</v>
      </c>
      <c r="C2030" s="2" t="s">
        <v>573</v>
      </c>
      <c r="D2030" s="2" t="str">
        <f t="shared" si="30"/>
        <v>Error?</v>
      </c>
    </row>
    <row r="2031" spans="1:4" x14ac:dyDescent="0.2">
      <c r="A2031" s="5">
        <v>1970</v>
      </c>
      <c r="B2031" s="138">
        <f>'Cap Outlay Deprec 26'!F16</f>
        <v>10133866</v>
      </c>
      <c r="C2031" s="2" t="s">
        <v>573</v>
      </c>
      <c r="D2031" s="2" t="str">
        <f t="shared" si="30"/>
        <v>Error?</v>
      </c>
    </row>
    <row r="2032" spans="1:4" x14ac:dyDescent="0.2">
      <c r="A2032" s="10">
        <v>1971</v>
      </c>
      <c r="D2032" s="2" t="str">
        <f t="shared" si="30"/>
        <v>OK</v>
      </c>
    </row>
    <row r="2033" spans="1:4" x14ac:dyDescent="0.2">
      <c r="A2033" s="5">
        <v>1972</v>
      </c>
      <c r="B2033" s="138">
        <f>'Cap Outlay Deprec 26'!H8</f>
        <v>3643857</v>
      </c>
      <c r="D2033" s="2" t="str">
        <f t="shared" si="30"/>
        <v>Error?</v>
      </c>
    </row>
    <row r="2034" spans="1:4" x14ac:dyDescent="0.2">
      <c r="A2034" s="5">
        <v>1973</v>
      </c>
      <c r="B2034" s="138">
        <f>'Cap Outlay Deprec 26'!H10</f>
        <v>68545</v>
      </c>
      <c r="D2034" s="2" t="str">
        <f t="shared" si="30"/>
        <v>Error?</v>
      </c>
    </row>
    <row r="2035" spans="1:4" x14ac:dyDescent="0.2">
      <c r="A2035" s="5">
        <v>1974</v>
      </c>
      <c r="B2035" s="138">
        <f>'Cap Outlay Deprec 26'!H12</f>
        <v>295773</v>
      </c>
      <c r="D2035" s="2" t="str">
        <f t="shared" si="30"/>
        <v>Error?</v>
      </c>
    </row>
    <row r="2036" spans="1:4" x14ac:dyDescent="0.2">
      <c r="A2036" s="5">
        <v>1975</v>
      </c>
      <c r="B2036" s="138">
        <f>'Cap Outlay Deprec 26'!H13</f>
        <v>1035271</v>
      </c>
      <c r="D2036" s="2" t="str">
        <f t="shared" si="30"/>
        <v>Error?</v>
      </c>
    </row>
    <row r="2037" spans="1:4" x14ac:dyDescent="0.2">
      <c r="A2037" s="5">
        <v>1976</v>
      </c>
      <c r="B2037" s="138">
        <f>'Cap Outlay Deprec 26'!H16</f>
        <v>5043446</v>
      </c>
      <c r="C2037" s="2" t="s">
        <v>573</v>
      </c>
      <c r="D2037" s="2" t="str">
        <f t="shared" si="30"/>
        <v>Error?</v>
      </c>
    </row>
    <row r="2038" spans="1:4" x14ac:dyDescent="0.2">
      <c r="A2038" s="10">
        <v>1977</v>
      </c>
      <c r="D2038" s="2" t="str">
        <f t="shared" si="30"/>
        <v>OK</v>
      </c>
    </row>
    <row r="2039" spans="1:4" x14ac:dyDescent="0.2">
      <c r="A2039" s="5">
        <v>1978</v>
      </c>
      <c r="B2039" s="138">
        <f>'Cap Outlay Deprec 26'!I8</f>
        <v>200396</v>
      </c>
      <c r="D2039" s="2" t="str">
        <f t="shared" si="30"/>
        <v>Error?</v>
      </c>
    </row>
    <row r="2040" spans="1:4" x14ac:dyDescent="0.2">
      <c r="A2040" s="5">
        <v>1979</v>
      </c>
      <c r="B2040" s="138">
        <f>'Cap Outlay Deprec 26'!I10</f>
        <v>3482</v>
      </c>
      <c r="D2040" s="2" t="str">
        <f t="shared" si="30"/>
        <v>Error?</v>
      </c>
    </row>
    <row r="2041" spans="1:4" x14ac:dyDescent="0.2">
      <c r="A2041" s="5">
        <v>1980</v>
      </c>
      <c r="B2041" s="138">
        <f>'Cap Outlay Deprec 26'!I12</f>
        <v>50922</v>
      </c>
      <c r="D2041" s="2" t="str">
        <f t="shared" si="30"/>
        <v>Error?</v>
      </c>
    </row>
    <row r="2042" spans="1:4" x14ac:dyDescent="0.2">
      <c r="A2042" s="5">
        <v>1981</v>
      </c>
      <c r="B2042" s="138">
        <f>'Cap Outlay Deprec 26'!I13</f>
        <v>24164</v>
      </c>
      <c r="D2042" s="2" t="str">
        <f t="shared" si="30"/>
        <v>Error?</v>
      </c>
    </row>
    <row r="2043" spans="1:4" x14ac:dyDescent="0.2">
      <c r="A2043" s="5">
        <v>1982</v>
      </c>
      <c r="B2043" s="138">
        <f>'Cap Outlay Deprec 26'!I16</f>
        <v>278964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3844253</v>
      </c>
      <c r="C2051" s="2" t="s">
        <v>573</v>
      </c>
      <c r="D2051" s="2" t="str">
        <f t="shared" si="31"/>
        <v>Error?</v>
      </c>
    </row>
    <row r="2052" spans="1:4" x14ac:dyDescent="0.2">
      <c r="A2052" s="5">
        <v>1991</v>
      </c>
      <c r="B2052" s="138">
        <f>'Cap Outlay Deprec 26'!K10</f>
        <v>72027</v>
      </c>
      <c r="C2052" s="2" t="s">
        <v>573</v>
      </c>
      <c r="D2052" s="2" t="str">
        <f t="shared" si="31"/>
        <v>Error?</v>
      </c>
    </row>
    <row r="2053" spans="1:4" x14ac:dyDescent="0.2">
      <c r="A2053" s="5">
        <v>1992</v>
      </c>
      <c r="B2053" s="138">
        <f>'Cap Outlay Deprec 26'!K12</f>
        <v>346695</v>
      </c>
      <c r="C2053" s="2" t="s">
        <v>573</v>
      </c>
      <c r="D2053" s="2" t="str">
        <f t="shared" si="31"/>
        <v>Error?</v>
      </c>
    </row>
    <row r="2054" spans="1:4" x14ac:dyDescent="0.2">
      <c r="A2054" s="5">
        <v>1993</v>
      </c>
      <c r="B2054" s="138">
        <f>'Cap Outlay Deprec 26'!K13</f>
        <v>1059435</v>
      </c>
      <c r="C2054" s="2" t="s">
        <v>573</v>
      </c>
      <c r="D2054" s="2" t="str">
        <f t="shared" si="31"/>
        <v>Error?</v>
      </c>
    </row>
    <row r="2055" spans="1:4" x14ac:dyDescent="0.2">
      <c r="A2055" s="5">
        <v>1994</v>
      </c>
      <c r="B2055" s="138">
        <f>'Cap Outlay Deprec 26'!K16</f>
        <v>5322410</v>
      </c>
      <c r="C2055" s="2" t="s">
        <v>573</v>
      </c>
      <c r="D2055" s="2" t="str">
        <f t="shared" si="31"/>
        <v>Error?</v>
      </c>
    </row>
    <row r="2056" spans="1:4" x14ac:dyDescent="0.2">
      <c r="A2056" s="5">
        <v>1995</v>
      </c>
      <c r="B2056" s="138">
        <f>'Cap Outlay Deprec 26'!L5</f>
        <v>160300</v>
      </c>
      <c r="C2056" s="2" t="s">
        <v>573</v>
      </c>
      <c r="D2056" s="2" t="str">
        <f t="shared" si="31"/>
        <v>Error?</v>
      </c>
    </row>
    <row r="2057" spans="1:4" x14ac:dyDescent="0.2">
      <c r="A2057" s="5">
        <v>1996</v>
      </c>
      <c r="B2057" s="138">
        <f>'Cap Outlay Deprec 26'!L8</f>
        <v>4389903</v>
      </c>
      <c r="C2057" s="2" t="s">
        <v>573</v>
      </c>
      <c r="D2057" s="2" t="str">
        <f t="shared" si="31"/>
        <v>Error?</v>
      </c>
    </row>
    <row r="2058" spans="1:4" x14ac:dyDescent="0.2">
      <c r="A2058" s="5">
        <v>1997</v>
      </c>
      <c r="B2058" s="138">
        <f>'Cap Outlay Deprec 26'!L10</f>
        <v>4646</v>
      </c>
      <c r="C2058" s="2" t="s">
        <v>573</v>
      </c>
      <c r="D2058" s="2" t="str">
        <f t="shared" si="31"/>
        <v>Error?</v>
      </c>
    </row>
    <row r="2059" spans="1:4" x14ac:dyDescent="0.2">
      <c r="A2059" s="5">
        <v>1998</v>
      </c>
      <c r="B2059" s="138">
        <f>'Cap Outlay Deprec 26'!L12</f>
        <v>187585</v>
      </c>
      <c r="C2059" s="2" t="s">
        <v>573</v>
      </c>
      <c r="D2059" s="2" t="str">
        <f t="shared" si="31"/>
        <v>Error?</v>
      </c>
    </row>
    <row r="2060" spans="1:4" x14ac:dyDescent="0.2">
      <c r="A2060" s="5">
        <v>1999</v>
      </c>
      <c r="B2060" s="138">
        <f>'Cap Outlay Deprec 26'!L13</f>
        <v>69022</v>
      </c>
      <c r="C2060" s="2" t="s">
        <v>573</v>
      </c>
      <c r="D2060" s="2" t="str">
        <f t="shared" si="31"/>
        <v>Error?</v>
      </c>
    </row>
    <row r="2061" spans="1:4" x14ac:dyDescent="0.2">
      <c r="A2061" s="5">
        <v>2000</v>
      </c>
      <c r="B2061" s="138">
        <f>'Cap Outlay Deprec 26'!L16</f>
        <v>4811456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35075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75025</v>
      </c>
      <c r="C2088" s="2" t="s">
        <v>573</v>
      </c>
      <c r="D2088" s="2" t="str">
        <f t="shared" si="31"/>
        <v>Error?</v>
      </c>
    </row>
    <row r="2089" spans="1:4" x14ac:dyDescent="0.2">
      <c r="A2089" s="5">
        <v>2028</v>
      </c>
      <c r="B2089" s="138">
        <f>'Expenditures 15-22'!K92</f>
        <v>97141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309092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233402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2832009</v>
      </c>
      <c r="C2551" s="2" t="s">
        <v>573</v>
      </c>
      <c r="D2551" s="2" t="str">
        <f t="shared" si="38"/>
        <v>Error?</v>
      </c>
    </row>
    <row r="2552" spans="1:4" x14ac:dyDescent="0.2">
      <c r="A2552" s="10">
        <v>2491</v>
      </c>
      <c r="D2552" s="2" t="str">
        <f t="shared" si="38"/>
        <v>OK</v>
      </c>
    </row>
    <row r="2553" spans="1:4" x14ac:dyDescent="0.2">
      <c r="A2553" s="5">
        <v>2492</v>
      </c>
      <c r="B2553" s="138">
        <f>'Acct Summary 7-8'!C6</f>
        <v>1421234</v>
      </c>
      <c r="C2553" s="2" t="s">
        <v>573</v>
      </c>
      <c r="D2553" s="2" t="str">
        <f t="shared" si="38"/>
        <v>Error?</v>
      </c>
    </row>
    <row r="2554" spans="1:4" x14ac:dyDescent="0.2">
      <c r="A2554" s="5">
        <v>2493</v>
      </c>
      <c r="B2554" s="138">
        <f>'Acct Summary 7-8'!C7</f>
        <v>341817</v>
      </c>
      <c r="C2554" s="2" t="s">
        <v>573</v>
      </c>
      <c r="D2554" s="2" t="str">
        <f t="shared" si="38"/>
        <v>Error?</v>
      </c>
    </row>
    <row r="2555" spans="1:4" x14ac:dyDescent="0.2">
      <c r="A2555" s="5">
        <v>2494</v>
      </c>
      <c r="B2555" s="138">
        <f>'Acct Summary 7-8'!C8</f>
        <v>4595060</v>
      </c>
      <c r="C2555" s="2" t="s">
        <v>573</v>
      </c>
      <c r="D2555" s="2" t="str">
        <f t="shared" si="38"/>
        <v>Error?</v>
      </c>
    </row>
    <row r="2556" spans="1:4" x14ac:dyDescent="0.2">
      <c r="A2556" s="5">
        <v>2495</v>
      </c>
      <c r="B2556" s="138">
        <f>'Acct Summary 7-8'!C12</f>
        <v>2689442</v>
      </c>
      <c r="C2556" s="2" t="s">
        <v>573</v>
      </c>
      <c r="D2556" s="2" t="str">
        <f t="shared" si="38"/>
        <v>Error?</v>
      </c>
    </row>
    <row r="2557" spans="1:4" x14ac:dyDescent="0.2">
      <c r="A2557" s="5">
        <v>2496</v>
      </c>
      <c r="B2557" s="138">
        <f>'Acct Summary 7-8'!C13</f>
        <v>1231644</v>
      </c>
      <c r="C2557" s="2" t="s">
        <v>573</v>
      </c>
      <c r="D2557" s="2" t="str">
        <f t="shared" si="38"/>
        <v>Error?</v>
      </c>
    </row>
    <row r="2558" spans="1:4" x14ac:dyDescent="0.2">
      <c r="A2558" s="5">
        <v>2497</v>
      </c>
      <c r="B2558" s="138">
        <f>'Acct Summary 7-8'!C14</f>
        <v>20850</v>
      </c>
      <c r="C2558" s="2" t="s">
        <v>573</v>
      </c>
      <c r="D2558" s="2" t="str">
        <f t="shared" si="38"/>
        <v>Error?</v>
      </c>
    </row>
    <row r="2559" spans="1:4" x14ac:dyDescent="0.2">
      <c r="A2559" s="5">
        <v>2498</v>
      </c>
      <c r="B2559" s="138">
        <f>'Acct Summary 7-8'!C15</f>
        <v>172166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4114102</v>
      </c>
      <c r="C2561" s="2" t="s">
        <v>573</v>
      </c>
      <c r="D2561" s="2" t="str">
        <f t="shared" si="39"/>
        <v>Error?</v>
      </c>
    </row>
    <row r="2562" spans="1:4" x14ac:dyDescent="0.2">
      <c r="A2562" s="5">
        <v>2501</v>
      </c>
      <c r="B2562" s="138">
        <f>'Acct Summary 7-8'!C20</f>
        <v>480958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427368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427368</v>
      </c>
      <c r="C2568" s="2" t="s">
        <v>573</v>
      </c>
      <c r="D2568" s="2" t="str">
        <f t="shared" si="39"/>
        <v>Error?</v>
      </c>
    </row>
    <row r="2569" spans="1:4" x14ac:dyDescent="0.2">
      <c r="A2569" s="5">
        <v>2508</v>
      </c>
      <c r="B2569" s="138">
        <f>'Acct Summary 7-8'!D13</f>
        <v>403360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403360</v>
      </c>
      <c r="C2573" s="2" t="s">
        <v>573</v>
      </c>
      <c r="D2573" s="2" t="str">
        <f t="shared" si="39"/>
        <v>Error?</v>
      </c>
    </row>
    <row r="2574" spans="1:4" x14ac:dyDescent="0.2">
      <c r="A2574" s="5">
        <v>2513</v>
      </c>
      <c r="B2574" s="138">
        <f>'Acct Summary 7-8'!D20</f>
        <v>24008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120073</v>
      </c>
      <c r="C2591" s="2" t="s">
        <v>573</v>
      </c>
      <c r="D2591" s="2" t="str">
        <f t="shared" si="39"/>
        <v>Error?</v>
      </c>
    </row>
    <row r="2592" spans="1:4" x14ac:dyDescent="0.2">
      <c r="A2592" s="10">
        <v>2531</v>
      </c>
      <c r="D2592" s="2" t="str">
        <f t="shared" si="39"/>
        <v>OK</v>
      </c>
    </row>
    <row r="2593" spans="1:4" x14ac:dyDescent="0.2">
      <c r="A2593" s="5">
        <v>2532</v>
      </c>
      <c r="B2593" s="138">
        <f>'Acct Summary 7-8'!F6</f>
        <v>100425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220498</v>
      </c>
      <c r="C2595" s="2" t="s">
        <v>573</v>
      </c>
      <c r="D2595" s="2" t="str">
        <f t="shared" si="39"/>
        <v>Error?</v>
      </c>
    </row>
    <row r="2596" spans="1:4" x14ac:dyDescent="0.2">
      <c r="A2596" s="5">
        <v>2535</v>
      </c>
      <c r="B2596" s="138">
        <f>'Acct Summary 7-8'!F13</f>
        <v>164581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164581</v>
      </c>
      <c r="C2600" s="2" t="s">
        <v>573</v>
      </c>
      <c r="D2600" s="2" t="str">
        <f t="shared" si="39"/>
        <v>Error?</v>
      </c>
    </row>
    <row r="2601" spans="1:4" x14ac:dyDescent="0.2">
      <c r="A2601" s="5">
        <v>2540</v>
      </c>
      <c r="B2601" s="138">
        <f>'Acct Summary 7-8'!F20</f>
        <v>55917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136311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136311</v>
      </c>
      <c r="C2606" s="2" t="s">
        <v>573</v>
      </c>
      <c r="D2606" s="2" t="str">
        <f t="shared" si="39"/>
        <v>Error?</v>
      </c>
    </row>
    <row r="2607" spans="1:4" x14ac:dyDescent="0.2">
      <c r="A2607" s="5">
        <v>2546</v>
      </c>
      <c r="B2607" s="138">
        <f>'Acct Summary 7-8'!G12</f>
        <v>49200</v>
      </c>
      <c r="C2607" s="2" t="s">
        <v>573</v>
      </c>
      <c r="D2607" s="2" t="str">
        <f t="shared" si="39"/>
        <v>Error?</v>
      </c>
    </row>
    <row r="2608" spans="1:4" x14ac:dyDescent="0.2">
      <c r="A2608" s="5">
        <v>2547</v>
      </c>
      <c r="B2608" s="138">
        <f>'Acct Summary 7-8'!G13</f>
        <v>60096</v>
      </c>
      <c r="C2608" s="2" t="s">
        <v>573</v>
      </c>
      <c r="D2608" s="2" t="str">
        <f t="shared" si="39"/>
        <v>Error?</v>
      </c>
    </row>
    <row r="2609" spans="1:4" x14ac:dyDescent="0.2">
      <c r="A2609" s="5">
        <v>2548</v>
      </c>
      <c r="B2609" s="138">
        <f>'Acct Summary 7-8'!G14</f>
        <v>1870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111166</v>
      </c>
      <c r="C2612" s="2" t="s">
        <v>573</v>
      </c>
      <c r="D2612" s="2" t="str">
        <f t="shared" si="39"/>
        <v>Error?</v>
      </c>
    </row>
    <row r="2613" spans="1:4" x14ac:dyDescent="0.2">
      <c r="A2613" s="5">
        <v>2552</v>
      </c>
      <c r="B2613" s="138">
        <f>'Acct Summary 7-8'!G20</f>
        <v>25145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372594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372594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428403</v>
      </c>
      <c r="C2634" s="2" t="s">
        <v>573</v>
      </c>
      <c r="D2634" s="2" t="str">
        <f t="shared" si="40"/>
        <v>Error?</v>
      </c>
    </row>
    <row r="2635" spans="1:4" x14ac:dyDescent="0.2">
      <c r="A2635" s="5">
        <v>2574</v>
      </c>
      <c r="B2635" s="138">
        <f>'Acct Summary 7-8'!E17</f>
        <v>428403</v>
      </c>
      <c r="C2635" s="2" t="s">
        <v>573</v>
      </c>
      <c r="D2635" s="2" t="str">
        <f t="shared" si="40"/>
        <v>Error?</v>
      </c>
    </row>
    <row r="2636" spans="1:4" x14ac:dyDescent="0.2">
      <c r="A2636" s="5">
        <v>2575</v>
      </c>
      <c r="B2636" s="138">
        <f>'Acct Summary 7-8'!E20</f>
        <v>-55809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36743</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39950</v>
      </c>
      <c r="C2789" s="2" t="s">
        <v>573</v>
      </c>
      <c r="D2789" s="2" t="str">
        <f t="shared" si="42"/>
        <v>Error?</v>
      </c>
    </row>
    <row r="2790" spans="1:4" x14ac:dyDescent="0.2">
      <c r="A2790" s="5">
        <v>2729</v>
      </c>
      <c r="B2790" s="138">
        <f>'Expenditures 15-22'!E102</f>
        <v>39950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36743</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70751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100287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100287</v>
      </c>
      <c r="D2912" s="2" t="str">
        <f t="shared" si="44"/>
        <v>Error?</v>
      </c>
    </row>
    <row r="2913" spans="1:4" x14ac:dyDescent="0.2">
      <c r="A2913" s="5">
        <v>2852</v>
      </c>
      <c r="B2913" s="138">
        <f>'Assets-Liab 5-6'!I41</f>
        <v>100287</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26569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13381</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35075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61644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13381</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35383</v>
      </c>
      <c r="D3055" s="2" t="str">
        <f t="shared" si="46"/>
        <v>Error?</v>
      </c>
    </row>
    <row r="3056" spans="1:4" x14ac:dyDescent="0.2">
      <c r="A3056" s="5">
        <v>2995</v>
      </c>
      <c r="B3056" s="138">
        <f>'Expenditures 15-22'!D10</f>
        <v>9674</v>
      </c>
      <c r="D3056" s="2" t="str">
        <f t="shared" si="46"/>
        <v>Error?</v>
      </c>
    </row>
    <row r="3057" spans="1:4" x14ac:dyDescent="0.2">
      <c r="A3057" s="5">
        <v>2996</v>
      </c>
      <c r="B3057" s="138">
        <f>'Expenditures 15-22'!E10</f>
        <v>9420</v>
      </c>
      <c r="D3057" s="2" t="str">
        <f t="shared" si="46"/>
        <v>Error?</v>
      </c>
    </row>
    <row r="3058" spans="1:4" x14ac:dyDescent="0.2">
      <c r="A3058" s="5">
        <v>2997</v>
      </c>
      <c r="B3058" s="138">
        <f>'Expenditures 15-22'!F10</f>
        <v>54758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860</v>
      </c>
      <c r="D3060" s="2" t="str">
        <f t="shared" si="46"/>
        <v>Error?</v>
      </c>
    </row>
    <row r="3061" spans="1:4" x14ac:dyDescent="0.2">
      <c r="A3061" s="10">
        <v>3000</v>
      </c>
      <c r="D3061" s="2" t="str">
        <f t="shared" si="46"/>
        <v>OK</v>
      </c>
    </row>
    <row r="3062" spans="1:4" x14ac:dyDescent="0.2">
      <c r="A3062" s="5">
        <v>3001</v>
      </c>
      <c r="B3062" s="138">
        <f>'Expenditures 15-22'!K10</f>
        <v>110095</v>
      </c>
      <c r="C3062" s="2" t="s">
        <v>573</v>
      </c>
      <c r="D3062" s="2" t="str">
        <f t="shared" si="46"/>
        <v>Error?</v>
      </c>
    </row>
    <row r="3063" spans="1:4" x14ac:dyDescent="0.2">
      <c r="A3063" s="10">
        <v>3002</v>
      </c>
      <c r="D3063" s="2" t="str">
        <f t="shared" si="46"/>
        <v>OK</v>
      </c>
    </row>
    <row r="3064" spans="1:4" x14ac:dyDescent="0.2">
      <c r="A3064" s="5">
        <v>3003</v>
      </c>
      <c r="B3064" s="138">
        <f>'Expenditures 15-22'!D219</f>
        <v>6990</v>
      </c>
      <c r="D3064" s="2" t="str">
        <f t="shared" si="46"/>
        <v>Error?</v>
      </c>
    </row>
    <row r="3065" spans="1:4" x14ac:dyDescent="0.2">
      <c r="A3065" s="5">
        <v>3004</v>
      </c>
      <c r="B3065" s="138">
        <f>'Expenditures 15-22'!K219</f>
        <v>6990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29633</v>
      </c>
      <c r="C3225" s="2" t="s">
        <v>573</v>
      </c>
      <c r="D3225" s="2" t="str">
        <f t="shared" si="49"/>
        <v>Error?</v>
      </c>
    </row>
    <row r="3226" spans="1:4" x14ac:dyDescent="0.2">
      <c r="A3226" s="5">
        <v>3165</v>
      </c>
      <c r="B3226" s="138">
        <f>'Acct Summary 7-8'!I8</f>
        <v>29633</v>
      </c>
      <c r="C3226" s="2" t="s">
        <v>573</v>
      </c>
      <c r="D3226" s="2" t="str">
        <f t="shared" si="49"/>
        <v>Error?</v>
      </c>
    </row>
    <row r="3227" spans="1:4" x14ac:dyDescent="0.2">
      <c r="A3227" s="5">
        <v>3166</v>
      </c>
      <c r="B3227" s="138">
        <f>'Acct Summary 7-8'!I20</f>
        <v>29633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36743</v>
      </c>
      <c r="C3231" s="2" t="s">
        <v>573</v>
      </c>
      <c r="D3231" s="2" t="str">
        <f t="shared" si="49"/>
        <v>Error?</v>
      </c>
    </row>
    <row r="3232" spans="1:4" x14ac:dyDescent="0.2">
      <c r="A3232" s="5">
        <v>3171</v>
      </c>
      <c r="B3232" s="138">
        <f>'Acct Summary 7-8'!C77</f>
        <v>-36743</v>
      </c>
      <c r="C3232" s="2" t="s">
        <v>573</v>
      </c>
      <c r="D3232" s="2" t="str">
        <f t="shared" si="49"/>
        <v>Error?</v>
      </c>
    </row>
    <row r="3233" spans="1:4" x14ac:dyDescent="0.2">
      <c r="A3233" s="5">
        <v>3172</v>
      </c>
      <c r="B3233" s="138">
        <f>'Acct Summary 7-8'!C78</f>
        <v>444215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24008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55917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25145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-55809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36743</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36743</v>
      </c>
      <c r="C3319" s="2" t="s">
        <v>573</v>
      </c>
      <c r="D3319" s="2" t="str">
        <f t="shared" si="50"/>
        <v>Error?</v>
      </c>
    </row>
    <row r="3320" spans="1:4" x14ac:dyDescent="0.2">
      <c r="A3320" s="5">
        <v>3259</v>
      </c>
      <c r="B3320" s="138">
        <f>'Acct Summary 7-8'!I78</f>
        <v>66376</v>
      </c>
      <c r="C3320" s="2" t="s">
        <v>573</v>
      </c>
      <c r="D3320" s="2" t="str">
        <f t="shared" si="50"/>
        <v>Error?</v>
      </c>
    </row>
    <row r="3321" spans="1:4" x14ac:dyDescent="0.2">
      <c r="A3321" s="5">
        <v>3260</v>
      </c>
      <c r="B3321" s="138">
        <f>'Acct Summary 7-8'!I79</f>
        <v>33911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100287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268637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80876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14001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355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363869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19647</v>
      </c>
      <c r="D3387" s="2" t="str">
        <f t="shared" si="51"/>
        <v>Error?</v>
      </c>
    </row>
    <row r="3388" spans="1:4" x14ac:dyDescent="0.2">
      <c r="A3388" s="5">
        <v>3327</v>
      </c>
      <c r="B3388" s="138">
        <f>'Expenditures 15-22'!D217</f>
        <v>15562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19647</v>
      </c>
      <c r="C3390" s="2" t="s">
        <v>573</v>
      </c>
      <c r="D3390" s="2" t="str">
        <f t="shared" si="51"/>
        <v>Error?</v>
      </c>
    </row>
    <row r="3391" spans="1:4" x14ac:dyDescent="0.2">
      <c r="A3391" s="5">
        <v>3330</v>
      </c>
      <c r="B3391" s="138">
        <f>'Expenditures 15-22'!K217</f>
        <v>15562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1833446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63685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10060</v>
      </c>
      <c r="D3417" s="2" t="str">
        <f t="shared" si="52"/>
        <v>Error?</v>
      </c>
    </row>
    <row r="3418" spans="1:4" x14ac:dyDescent="0.2">
      <c r="A3418" s="10">
        <v>3357</v>
      </c>
      <c r="D3418" s="2" t="str">
        <f t="shared" si="52"/>
        <v>OK</v>
      </c>
    </row>
    <row r="3419" spans="1:4" x14ac:dyDescent="0.2">
      <c r="A3419" s="5">
        <v>3358</v>
      </c>
      <c r="B3419" s="138">
        <f>'Assets-Liab 5-6'!F4</f>
        <v>137369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146089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29536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80221</v>
      </c>
      <c r="C3446" s="2" t="s">
        <v>573</v>
      </c>
      <c r="D3446" s="2" t="str">
        <f t="shared" si="52"/>
        <v>Error?</v>
      </c>
    </row>
    <row r="3447" spans="1:4" x14ac:dyDescent="0.2">
      <c r="A3447" s="5">
        <v>3386</v>
      </c>
      <c r="B3447" s="138">
        <f>'Tax Sched 23'!D16</f>
        <v>78629</v>
      </c>
      <c r="C3447" s="2" t="s">
        <v>573</v>
      </c>
      <c r="D3447" s="2" t="str">
        <f t="shared" si="52"/>
        <v>Error?</v>
      </c>
    </row>
    <row r="3448" spans="1:4" x14ac:dyDescent="0.2">
      <c r="A3448" s="5">
        <v>3387</v>
      </c>
      <c r="B3448" s="138">
        <f>'Tax Sched 23'!C16</f>
        <v>1592</v>
      </c>
      <c r="D3448" s="2" t="str">
        <f t="shared" si="52"/>
        <v>Error?</v>
      </c>
    </row>
    <row r="3449" spans="1:4" x14ac:dyDescent="0.2">
      <c r="A3449" s="5">
        <v>3388</v>
      </c>
      <c r="B3449" s="138">
        <f>'Tax Sched 23'!F16</f>
        <v>73108</v>
      </c>
      <c r="C3449" s="2" t="s">
        <v>573</v>
      </c>
      <c r="D3449" s="2" t="str">
        <f t="shared" si="52"/>
        <v>Error?</v>
      </c>
    </row>
    <row r="3450" spans="1:4" x14ac:dyDescent="0.2">
      <c r="A3450" s="5">
        <v>3389</v>
      </c>
      <c r="B3450" s="138">
        <f>'Tax Sched 23'!E16</f>
        <v>74700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53763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26863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80626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80626</v>
      </c>
      <c r="D3567" s="2" t="str">
        <f t="shared" si="54"/>
        <v>Error?</v>
      </c>
    </row>
    <row r="3568" spans="1:4" x14ac:dyDescent="0.2">
      <c r="A3568" s="5">
        <v>3507</v>
      </c>
      <c r="B3568" s="138">
        <f>'Assets-Liab 5-6'!K41</f>
        <v>80626</v>
      </c>
      <c r="C3568" s="2" t="s">
        <v>573</v>
      </c>
      <c r="D3568" s="2" t="str">
        <f t="shared" si="54"/>
        <v>Error?</v>
      </c>
    </row>
    <row r="3569" spans="1:4" x14ac:dyDescent="0.2">
      <c r="A3569" s="5">
        <v>3508</v>
      </c>
      <c r="B3569" s="138">
        <f>'Acct Summary 7-8'!K4</f>
        <v>29411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29411</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29411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29411</v>
      </c>
      <c r="C3588" s="2" t="s">
        <v>573</v>
      </c>
      <c r="D3588" s="2" t="str">
        <f t="shared" si="55"/>
        <v>Error?</v>
      </c>
    </row>
    <row r="3589" spans="1:4" x14ac:dyDescent="0.2">
      <c r="A3589" s="5">
        <v>3528</v>
      </c>
      <c r="B3589" s="138">
        <f>'Acct Summary 7-8'!K79</f>
        <v>51215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80626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29411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28577</v>
      </c>
      <c r="C3725" s="2" t="s">
        <v>573</v>
      </c>
      <c r="D3725" s="2" t="str">
        <f t="shared" si="57"/>
        <v>Error?</v>
      </c>
    </row>
    <row r="3726" spans="1:4" x14ac:dyDescent="0.2">
      <c r="A3726" s="5">
        <v>3665</v>
      </c>
      <c r="B3726" s="138">
        <f>'Tax Sched 23'!D13</f>
        <v>27921</v>
      </c>
      <c r="C3726" s="2" t="s">
        <v>573</v>
      </c>
      <c r="D3726" s="2" t="str">
        <f t="shared" si="57"/>
        <v>Error?</v>
      </c>
    </row>
    <row r="3727" spans="1:4" x14ac:dyDescent="0.2">
      <c r="A3727" s="5">
        <v>3666</v>
      </c>
      <c r="B3727" s="138">
        <f>'Tax Sched 23'!C13</f>
        <v>656</v>
      </c>
      <c r="D3727" s="2" t="str">
        <f t="shared" si="57"/>
        <v>Error?</v>
      </c>
    </row>
    <row r="3728" spans="1:4" x14ac:dyDescent="0.2">
      <c r="A3728" s="5">
        <v>3667</v>
      </c>
      <c r="B3728" s="138">
        <f>'Tax Sched 23'!F13</f>
        <v>30108</v>
      </c>
      <c r="C3728" s="2" t="s">
        <v>573</v>
      </c>
      <c r="D3728" s="2" t="str">
        <f t="shared" si="57"/>
        <v>Error?</v>
      </c>
    </row>
    <row r="3729" spans="1:4" x14ac:dyDescent="0.2">
      <c r="A3729" s="5">
        <v>3668</v>
      </c>
      <c r="B3729" s="138">
        <f>'Tax Sched 23'!E13</f>
        <v>30764</v>
      </c>
      <c r="D3729" s="2" t="str">
        <f t="shared" si="57"/>
        <v>Error?</v>
      </c>
    </row>
    <row r="3730" spans="1:4" x14ac:dyDescent="0.2">
      <c r="A3730" s="5">
        <v>3669</v>
      </c>
      <c r="B3730" s="138">
        <f>'ICR Computation 30'!E10</f>
        <v>86953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253261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4848321</v>
      </c>
      <c r="C4122" s="2" t="s">
        <v>573</v>
      </c>
      <c r="D4122" s="2" t="str">
        <f t="shared" si="63"/>
        <v>Error?</v>
      </c>
    </row>
    <row r="4123" spans="1:4" x14ac:dyDescent="0.2">
      <c r="A4123" s="5">
        <v>4062</v>
      </c>
      <c r="B4123" s="138">
        <f>'Acct Summary 7-8'!D10</f>
        <v>427368</v>
      </c>
      <c r="C4123" s="2" t="s">
        <v>573</v>
      </c>
      <c r="D4123" s="2" t="str">
        <f t="shared" si="63"/>
        <v>Error?</v>
      </c>
    </row>
    <row r="4124" spans="1:4" x14ac:dyDescent="0.2">
      <c r="A4124" s="5">
        <v>4063</v>
      </c>
      <c r="B4124" s="138">
        <f>'Acct Summary 7-8'!E10</f>
        <v>372594</v>
      </c>
      <c r="C4124" s="2" t="s">
        <v>573</v>
      </c>
      <c r="D4124" s="2" t="str">
        <f t="shared" si="63"/>
        <v>Error?</v>
      </c>
    </row>
    <row r="4125" spans="1:4" x14ac:dyDescent="0.2">
      <c r="A4125" s="5">
        <v>4064</v>
      </c>
      <c r="B4125" s="138">
        <f>'Acct Summary 7-8'!F10</f>
        <v>220498</v>
      </c>
      <c r="C4125" s="2" t="s">
        <v>573</v>
      </c>
      <c r="D4125" s="2" t="str">
        <f t="shared" si="63"/>
        <v>Error?</v>
      </c>
    </row>
    <row r="4126" spans="1:4" x14ac:dyDescent="0.2">
      <c r="A4126" s="5">
        <v>4065</v>
      </c>
      <c r="B4126" s="138">
        <f>'Acct Summary 7-8'!G10</f>
        <v>136311</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29633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29411</v>
      </c>
      <c r="C4130" s="2" t="s">
        <v>573</v>
      </c>
      <c r="D4130" s="2" t="str">
        <f t="shared" si="63"/>
        <v>Error?</v>
      </c>
    </row>
    <row r="4131" spans="1:4" x14ac:dyDescent="0.2">
      <c r="A4131" s="5">
        <v>4070</v>
      </c>
      <c r="B4131" s="138">
        <f>'Acct Summary 7-8'!C18</f>
        <v>253261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4367363</v>
      </c>
      <c r="C4136" s="2" t="s">
        <v>573</v>
      </c>
      <c r="D4136" s="2" t="str">
        <f t="shared" si="63"/>
        <v>Error?</v>
      </c>
    </row>
    <row r="4137" spans="1:4" x14ac:dyDescent="0.2">
      <c r="A4137" s="5">
        <v>4076</v>
      </c>
      <c r="B4137" s="138">
        <f>'Acct Summary 7-8'!D19</f>
        <v>403360</v>
      </c>
      <c r="C4137" s="2" t="s">
        <v>573</v>
      </c>
      <c r="D4137" s="2" t="str">
        <f t="shared" si="63"/>
        <v>Error?</v>
      </c>
    </row>
    <row r="4138" spans="1:4" x14ac:dyDescent="0.2">
      <c r="A4138" s="5">
        <v>4077</v>
      </c>
      <c r="B4138" s="138">
        <f>'Acct Summary 7-8'!E19</f>
        <v>428403</v>
      </c>
      <c r="C4138" s="2" t="s">
        <v>573</v>
      </c>
      <c r="D4138" s="2" t="str">
        <f t="shared" si="63"/>
        <v>Error?</v>
      </c>
    </row>
    <row r="4139" spans="1:4" x14ac:dyDescent="0.2">
      <c r="A4139" s="5">
        <v>4078</v>
      </c>
      <c r="B4139" s="138">
        <f>'Acct Summary 7-8'!F19</f>
        <v>164581</v>
      </c>
      <c r="C4139" s="2" t="s">
        <v>573</v>
      </c>
      <c r="D4139" s="2" t="str">
        <f t="shared" si="63"/>
        <v>Error?</v>
      </c>
    </row>
    <row r="4140" spans="1:4" x14ac:dyDescent="0.2">
      <c r="A4140" s="5">
        <v>4079</v>
      </c>
      <c r="B4140" s="138">
        <f>'Acct Summary 7-8'!G19</f>
        <v>111166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3200000</v>
      </c>
      <c r="C4171" s="2" t="s">
        <v>573</v>
      </c>
      <c r="D4171" s="2" t="str">
        <f t="shared" si="64"/>
        <v>Error?</v>
      </c>
    </row>
    <row r="4172" spans="1:4" x14ac:dyDescent="0.2">
      <c r="A4172" s="5">
        <v>4111</v>
      </c>
      <c r="B4172" s="138">
        <f>'Short-Term Long-Term Debt 24'!J49</f>
        <v>3184232</v>
      </c>
      <c r="C4172" s="2" t="s">
        <v>573</v>
      </c>
      <c r="D4172" s="2" t="str">
        <f t="shared" si="64"/>
        <v>Error?</v>
      </c>
    </row>
    <row r="4173" spans="1:4" x14ac:dyDescent="0.2">
      <c r="A4173" s="5">
        <v>4112</v>
      </c>
      <c r="B4173" s="138">
        <f>'Short-Term Long-Term Debt 24'!H49</f>
        <v>345000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3642.1000000000004</v>
      </c>
      <c r="C4265" s="2" t="s">
        <v>573</v>
      </c>
      <c r="D4265" s="2" t="str">
        <f t="shared" si="65"/>
        <v>Error?</v>
      </c>
      <c r="E4265" s="128"/>
    </row>
    <row r="4266" spans="1:5" x14ac:dyDescent="0.2">
      <c r="A4266" s="12">
        <v>4205</v>
      </c>
      <c r="B4266" s="138">
        <f>('FP Info 3'!F10)*100000</f>
        <v>657.6</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4500</v>
      </c>
      <c r="C4268" s="2" t="s">
        <v>573</v>
      </c>
      <c r="D4268" s="2" t="str">
        <f t="shared" si="65"/>
        <v>Error?</v>
      </c>
    </row>
    <row r="4269" spans="1:5" x14ac:dyDescent="0.2">
      <c r="A4269" s="12">
        <v>4208</v>
      </c>
      <c r="B4269" s="138">
        <f>'FP Info 3'!J16</f>
        <v>4733610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17033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18324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8950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623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30505</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42067</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61527048</v>
      </c>
      <c r="D4995" s="2" t="str">
        <f t="shared" si="77"/>
        <v>Error?</v>
      </c>
    </row>
    <row r="4996" spans="1:4" x14ac:dyDescent="0.2">
      <c r="A4996" s="12">
        <v>4935</v>
      </c>
      <c r="B4996" s="138">
        <f>'FP Info 3'!H31</f>
        <v>8490732.6239999998</v>
      </c>
      <c r="D4996" s="2" t="str">
        <f t="shared" si="77"/>
        <v>Error?</v>
      </c>
    </row>
    <row r="4997" spans="1:4" x14ac:dyDescent="0.2">
      <c r="A4997" s="12">
        <v>4936</v>
      </c>
      <c r="B4997" s="138">
        <f>'FP Info 3'!H37</f>
        <v>3200000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28577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2266111</v>
      </c>
      <c r="D5061" s="2" t="str">
        <f t="shared" si="78"/>
        <v>Error?</v>
      </c>
    </row>
    <row r="5062" spans="1:4" x14ac:dyDescent="0.2">
      <c r="A5062" s="10">
        <v>5001</v>
      </c>
      <c r="D5062" s="2" t="str">
        <f t="shared" si="78"/>
        <v>OK</v>
      </c>
    </row>
    <row r="5063" spans="1:4" x14ac:dyDescent="0.2">
      <c r="A5063" s="5">
        <v>5002</v>
      </c>
      <c r="B5063" s="138">
        <f>'Revenues 9-14'!C7</f>
        <v>22862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2317550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149716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149716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72384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72384</v>
      </c>
      <c r="C5087" s="2" t="s">
        <v>573</v>
      </c>
      <c r="D5087" s="2" t="str">
        <f t="shared" si="78"/>
        <v>Error?</v>
      </c>
    </row>
    <row r="5088" spans="1:4" x14ac:dyDescent="0.2">
      <c r="A5088" s="5">
        <v>5027</v>
      </c>
      <c r="B5088" s="138">
        <f>'Revenues 9-14'!C65</f>
        <v>52027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52027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61110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8872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69982</v>
      </c>
      <c r="C5096" s="2" t="s">
        <v>573</v>
      </c>
      <c r="D5096" s="2" t="str">
        <f t="shared" si="78"/>
        <v>Error?</v>
      </c>
    </row>
    <row r="5097" spans="1:4" x14ac:dyDescent="0.2">
      <c r="A5097" s="5">
        <v>5036</v>
      </c>
      <c r="B5097" s="138">
        <f>'Revenues 9-14'!C77</f>
        <v>8127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8127</v>
      </c>
      <c r="C5102" s="2" t="s">
        <v>573</v>
      </c>
      <c r="D5102" s="2" t="str">
        <f t="shared" si="78"/>
        <v>Error?</v>
      </c>
    </row>
    <row r="5103" spans="1:4" x14ac:dyDescent="0.2">
      <c r="A5103" s="5">
        <v>5042</v>
      </c>
      <c r="B5103" s="138">
        <f>'Revenues 9-14'!C84</f>
        <v>50445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50445</v>
      </c>
      <c r="C5112" s="2" t="s">
        <v>573</v>
      </c>
      <c r="D5112" s="2" t="str">
        <f t="shared" si="78"/>
        <v>Error?</v>
      </c>
    </row>
    <row r="5113" spans="1:4" x14ac:dyDescent="0.2">
      <c r="A5113" s="5">
        <v>5052</v>
      </c>
      <c r="B5113" s="138">
        <f>'Revenues 9-14'!C95</f>
        <v>97506</v>
      </c>
      <c r="D5113" s="2" t="str">
        <f t="shared" si="78"/>
        <v>Error?</v>
      </c>
    </row>
    <row r="5114" spans="1:4" x14ac:dyDescent="0.2">
      <c r="A5114" s="5">
        <v>5053</v>
      </c>
      <c r="B5114" s="138">
        <f>'Revenues 9-14'!C96</f>
        <v>1351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1153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2818</v>
      </c>
      <c r="D5119" s="2" t="str">
        <f t="shared" ref="D5119:D5182" si="79">IF(ISBLANK(B5119),"OK",IF(A5119-B5119=0,"OK","Error?"))</f>
        <v>Error?</v>
      </c>
    </row>
    <row r="5120" spans="1:4" x14ac:dyDescent="0.2">
      <c r="A5120" s="5">
        <v>5059</v>
      </c>
      <c r="B5120" s="138">
        <f>'Revenues 9-14'!C108</f>
        <v>111778</v>
      </c>
      <c r="C5120" s="2" t="s">
        <v>573</v>
      </c>
      <c r="D5120" s="2" t="str">
        <f t="shared" si="79"/>
        <v>Error?</v>
      </c>
    </row>
    <row r="5121" spans="1:4" x14ac:dyDescent="0.2">
      <c r="A5121" s="5">
        <v>5060</v>
      </c>
      <c r="B5121" s="138">
        <f>'Revenues 9-14'!C109</f>
        <v>2832009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1367363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1367363</v>
      </c>
      <c r="C5132" s="2" t="s">
        <v>573</v>
      </c>
      <c r="D5132" s="2" t="str">
        <f t="shared" si="79"/>
        <v>Error?</v>
      </c>
    </row>
    <row r="5133" spans="1:4" x14ac:dyDescent="0.2">
      <c r="A5133" s="5">
        <v>5072</v>
      </c>
      <c r="B5133" s="138">
        <f>'Revenues 9-14'!C125</f>
        <v>12571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12571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4582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11118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2470</v>
      </c>
      <c r="D5167" s="2" t="str">
        <f t="shared" si="79"/>
        <v>Error?</v>
      </c>
    </row>
    <row r="5168" spans="1:4" x14ac:dyDescent="0.2">
      <c r="A5168" s="5">
        <v>5107</v>
      </c>
      <c r="B5168" s="138">
        <f>'Revenues 9-14'!C148</f>
        <v>5270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21819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53871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1421234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42067</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30505</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70498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16455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86953</v>
      </c>
      <c r="C5246" s="2" t="s">
        <v>573</v>
      </c>
      <c r="D5246" s="2" t="str">
        <f t="shared" si="80"/>
        <v>Error?</v>
      </c>
    </row>
    <row r="5247" spans="1:4" x14ac:dyDescent="0.2">
      <c r="A5247" s="5">
        <v>5186</v>
      </c>
      <c r="B5247" s="138">
        <f>'Revenues 9-14'!C200</f>
        <v>146435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146435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500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269245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341817</v>
      </c>
      <c r="C5326" s="2" t="s">
        <v>573</v>
      </c>
      <c r="D5326" s="2" t="str">
        <f t="shared" si="82"/>
        <v>Error?</v>
      </c>
    </row>
    <row r="5327" spans="1:5" x14ac:dyDescent="0.2">
      <c r="A5327" s="5">
        <v>5266</v>
      </c>
      <c r="B5327" s="138">
        <f>'Revenues 9-14'!C268</f>
        <v>4595060</v>
      </c>
      <c r="C5327" s="2" t="s">
        <v>573</v>
      </c>
      <c r="D5327" s="2" t="str">
        <f t="shared" si="82"/>
        <v>Error?</v>
      </c>
    </row>
    <row r="5328" spans="1:5" x14ac:dyDescent="0.2">
      <c r="A5328" s="5">
        <v>5267</v>
      </c>
      <c r="B5328" s="138">
        <f>'Revenues 9-14'!D5</f>
        <v>402308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402308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10930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10930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14130</v>
      </c>
      <c r="C5355" s="2" t="s">
        <v>573</v>
      </c>
      <c r="D5355" s="2" t="str">
        <f t="shared" si="82"/>
        <v>Error?</v>
      </c>
    </row>
    <row r="5356" spans="1:4" x14ac:dyDescent="0.2">
      <c r="A5356" s="5">
        <v>5295</v>
      </c>
      <c r="B5356" s="138">
        <f>'Revenues 9-14'!D109</f>
        <v>427368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427368</v>
      </c>
      <c r="C5508" s="2" t="s">
        <v>573</v>
      </c>
      <c r="D5508" s="2" t="str">
        <f t="shared" si="85"/>
        <v>Error?</v>
      </c>
    </row>
    <row r="5509" spans="1:4" x14ac:dyDescent="0.2">
      <c r="A5509" s="5">
        <v>5448</v>
      </c>
      <c r="B5509" s="138">
        <f>'Revenues 9-14'!E5</f>
        <v>371389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371389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1205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1205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372594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372594</v>
      </c>
      <c r="C5552" s="2" t="s">
        <v>573</v>
      </c>
      <c r="D5552" s="2" t="str">
        <f t="shared" si="85"/>
        <v>Error?</v>
      </c>
    </row>
    <row r="5553" spans="1:4" x14ac:dyDescent="0.2">
      <c r="A5553" s="5">
        <v>5492</v>
      </c>
      <c r="B5553" s="138">
        <f>'Revenues 9-14'!F5</f>
        <v>114308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114308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5765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5765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120073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38096</v>
      </c>
      <c r="D5615" s="2" t="str">
        <f t="shared" si="86"/>
        <v>Error?</v>
      </c>
    </row>
    <row r="5616" spans="1:4" x14ac:dyDescent="0.2">
      <c r="A5616" s="10">
        <v>5555</v>
      </c>
      <c r="D5616" s="2" t="str">
        <f t="shared" si="86"/>
        <v>OK</v>
      </c>
    </row>
    <row r="5617" spans="1:5" x14ac:dyDescent="0.2">
      <c r="A5617" s="5">
        <v>5556</v>
      </c>
      <c r="B5617" s="138">
        <f>'Revenues 9-14'!F153</f>
        <v>62329</v>
      </c>
      <c r="D5617" s="2" t="str">
        <f t="shared" si="86"/>
        <v>Error?</v>
      </c>
    </row>
    <row r="5618" spans="1:5" x14ac:dyDescent="0.2">
      <c r="A5618" s="5">
        <v>5557</v>
      </c>
      <c r="B5618" s="138">
        <f>'Revenues 9-14'!F155</f>
        <v>100425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100425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100425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220498</v>
      </c>
      <c r="C5720" s="2" t="s">
        <v>573</v>
      </c>
      <c r="D5720" s="2" t="str">
        <f t="shared" si="88"/>
        <v>Error?</v>
      </c>
    </row>
    <row r="5721" spans="1:4" x14ac:dyDescent="0.2">
      <c r="A5721" s="5">
        <v>5660</v>
      </c>
      <c r="B5721" s="138">
        <f>'Revenues 9-14'!G5</f>
        <v>53986</v>
      </c>
      <c r="D5721" s="2" t="str">
        <f t="shared" si="88"/>
        <v>Error?</v>
      </c>
    </row>
    <row r="5722" spans="1:4" x14ac:dyDescent="0.2">
      <c r="A5722" s="5">
        <v>5661</v>
      </c>
      <c r="B5722" s="138">
        <f>'Revenues 9-14'!G7</f>
        <v>0</v>
      </c>
      <c r="D5722" s="2" t="str">
        <f t="shared" si="88"/>
        <v>Error?</v>
      </c>
    </row>
    <row r="5723" spans="1:4" x14ac:dyDescent="0.2">
      <c r="A5723" s="5">
        <v>5662</v>
      </c>
      <c r="B5723" s="138">
        <f>'Revenues 9-14'!G8</f>
        <v>80221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134207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2104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2104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136311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28577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28577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1056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1056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29633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28578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28578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833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833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29411</v>
      </c>
      <c r="C6023" s="2" t="s">
        <v>573</v>
      </c>
      <c r="D6023" s="2" t="str">
        <f t="shared" si="93"/>
        <v>Error?</v>
      </c>
    </row>
    <row r="6024" spans="1:5" x14ac:dyDescent="0.2">
      <c r="A6024" s="5">
        <v>5963</v>
      </c>
      <c r="B6024" s="138">
        <f>'Revenues 9-14'!G109</f>
        <v>136311</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29633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29411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22121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357.9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145015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145015</v>
      </c>
      <c r="D6215" s="2" t="str">
        <f t="shared" si="96"/>
        <v>Error?</v>
      </c>
      <c r="E6215" s="2" t="s">
        <v>190</v>
      </c>
    </row>
    <row r="6216" spans="1:5" x14ac:dyDescent="0.2">
      <c r="A6216">
        <v>6155</v>
      </c>
      <c r="B6216" s="138">
        <f>'Assets-Liab 5-6'!J41</f>
        <v>145015</v>
      </c>
      <c r="D6216" s="2" t="str">
        <f t="shared" si="96"/>
        <v>Error?</v>
      </c>
      <c r="E6216" s="2" t="s">
        <v>190</v>
      </c>
    </row>
    <row r="6217" spans="1:5" x14ac:dyDescent="0.2">
      <c r="A6217">
        <v>6156</v>
      </c>
      <c r="B6217" s="138">
        <f>'Assets-Liab 5-6'!J4</f>
        <v>34578</v>
      </c>
      <c r="D6217" s="2" t="str">
        <f t="shared" si="96"/>
        <v>Error?</v>
      </c>
      <c r="E6217" s="2" t="s">
        <v>190</v>
      </c>
    </row>
    <row r="6218" spans="1:5" x14ac:dyDescent="0.2">
      <c r="A6218">
        <v>6157</v>
      </c>
      <c r="B6218" s="138">
        <f>'Assets-Liab 5-6'!J5</f>
        <v>110437</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152476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152476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152476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172299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172299</v>
      </c>
      <c r="D6229" s="2" t="str">
        <f t="shared" si="96"/>
        <v>Error?</v>
      </c>
      <c r="E6229" s="2" t="s">
        <v>190</v>
      </c>
    </row>
    <row r="6230" spans="1:5" x14ac:dyDescent="0.2">
      <c r="A6230">
        <v>6169</v>
      </c>
      <c r="B6230" s="138">
        <f>'Acct Summary 7-8'!J20</f>
        <v>-19823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-19823</v>
      </c>
      <c r="D6263" s="2" t="str">
        <f t="shared" si="96"/>
        <v>Error?</v>
      </c>
      <c r="E6263" s="2" t="s">
        <v>190</v>
      </c>
    </row>
    <row r="6264" spans="1:5" x14ac:dyDescent="0.2">
      <c r="A6264">
        <v>6203</v>
      </c>
      <c r="B6264" s="138">
        <f>'Acct Summary 7-8'!J79</f>
        <v>164838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145015</v>
      </c>
      <c r="D6266" s="2" t="str">
        <f t="shared" si="96"/>
        <v>Error?</v>
      </c>
      <c r="E6266" s="2" t="s">
        <v>190</v>
      </c>
    </row>
    <row r="6267" spans="1:5" x14ac:dyDescent="0.2">
      <c r="A6267">
        <v>6206</v>
      </c>
      <c r="B6267" s="138">
        <f>'Acct Summary 7-8'!C82</f>
        <v>444215</v>
      </c>
      <c r="D6267" s="2" t="str">
        <f t="shared" si="96"/>
        <v>Error?</v>
      </c>
      <c r="E6267" s="2" t="s">
        <v>190</v>
      </c>
    </row>
    <row r="6268" spans="1:5" x14ac:dyDescent="0.2">
      <c r="A6268">
        <v>6207</v>
      </c>
      <c r="B6268" s="138">
        <f>'Acct Summary 7-8'!D82</f>
        <v>24008</v>
      </c>
      <c r="D6268" s="2" t="str">
        <f t="shared" si="96"/>
        <v>Error?</v>
      </c>
      <c r="E6268" s="2" t="s">
        <v>190</v>
      </c>
    </row>
    <row r="6269" spans="1:5" x14ac:dyDescent="0.2">
      <c r="A6269">
        <v>6208</v>
      </c>
      <c r="B6269" s="138">
        <f>'Acct Summary 7-8'!E82</f>
        <v>-55809</v>
      </c>
      <c r="D6269" s="2" t="str">
        <f t="shared" si="96"/>
        <v>Error?</v>
      </c>
      <c r="E6269" s="2" t="s">
        <v>190</v>
      </c>
    </row>
    <row r="6270" spans="1:5" x14ac:dyDescent="0.2">
      <c r="A6270">
        <v>6209</v>
      </c>
      <c r="B6270" s="138">
        <f>'Acct Summary 7-8'!F82</f>
        <v>55917</v>
      </c>
      <c r="D6270" s="2" t="str">
        <f t="shared" si="96"/>
        <v>Error?</v>
      </c>
      <c r="E6270" s="2" t="s">
        <v>190</v>
      </c>
    </row>
    <row r="6271" spans="1:5" x14ac:dyDescent="0.2">
      <c r="A6271">
        <v>6210</v>
      </c>
      <c r="B6271" s="138">
        <f>'Acct Summary 7-8'!G82</f>
        <v>25145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66376</v>
      </c>
      <c r="D6273" s="2" t="str">
        <f t="shared" si="97"/>
        <v>Error?</v>
      </c>
      <c r="E6273" s="2" t="s">
        <v>190</v>
      </c>
    </row>
    <row r="6274" spans="1:5" x14ac:dyDescent="0.2">
      <c r="A6274">
        <v>6213</v>
      </c>
      <c r="B6274" s="138">
        <f>'Acct Summary 7-8'!J82</f>
        <v>-19823</v>
      </c>
      <c r="D6274" s="2" t="str">
        <f t="shared" si="97"/>
        <v>Error?</v>
      </c>
      <c r="E6274" s="2" t="s">
        <v>190</v>
      </c>
    </row>
    <row r="6275" spans="1:5" x14ac:dyDescent="0.2">
      <c r="A6275">
        <v>6214</v>
      </c>
      <c r="B6275" s="138">
        <f>'Acct Summary 7-8'!K82</f>
        <v>29411</v>
      </c>
      <c r="D6275" s="2" t="str">
        <f t="shared" si="97"/>
        <v>Error?</v>
      </c>
      <c r="E6275" s="2" t="s">
        <v>190</v>
      </c>
    </row>
    <row r="6276" spans="1:5" x14ac:dyDescent="0.2">
      <c r="A6276">
        <v>6215</v>
      </c>
      <c r="B6276" s="138">
        <f>'Acct Summary 7-8'!C83</f>
        <v>0.13188795899438382</v>
      </c>
      <c r="D6276" s="2" t="str">
        <f t="shared" si="97"/>
        <v>Error?</v>
      </c>
      <c r="E6276" s="2" t="s">
        <v>190</v>
      </c>
    </row>
    <row r="6277" spans="1:5" x14ac:dyDescent="0.2">
      <c r="A6277">
        <v>6216</v>
      </c>
      <c r="B6277" s="138">
        <f>'Acct Summary 7-8'!D83</f>
        <v>3.4227953494008541E-2</v>
      </c>
      <c r="D6277" s="2" t="str">
        <f t="shared" si="97"/>
        <v>Error?</v>
      </c>
      <c r="E6277" s="2" t="s">
        <v>190</v>
      </c>
    </row>
    <row r="6278" spans="1:5" x14ac:dyDescent="0.2">
      <c r="A6278">
        <v>6217</v>
      </c>
      <c r="B6278" s="138">
        <f>'Acct Summary 7-8'!E83</f>
        <v>-3.5393835616438358</v>
      </c>
      <c r="D6278" s="2" t="str">
        <f t="shared" si="97"/>
        <v>Error?</v>
      </c>
      <c r="E6278" s="2" t="s">
        <v>190</v>
      </c>
    </row>
    <row r="6279" spans="1:5" x14ac:dyDescent="0.2">
      <c r="A6279">
        <v>6218</v>
      </c>
      <c r="B6279" s="138">
        <f>'Acct Summary 7-8'!F83</f>
        <v>9.9181601464390617E-2</v>
      </c>
      <c r="D6279" s="2" t="str">
        <f t="shared" si="97"/>
        <v>Error?</v>
      </c>
      <c r="E6279" s="2" t="s">
        <v>190</v>
      </c>
    </row>
    <row r="6280" spans="1:5" x14ac:dyDescent="0.2">
      <c r="A6280">
        <v>6219</v>
      </c>
      <c r="B6280" s="138">
        <f>'Acct Summary 7-8'!G83</f>
        <v>0.10773258155457108</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0.66186046047842695</v>
      </c>
      <c r="D6282" s="2" t="str">
        <f t="shared" si="97"/>
        <v>Error?</v>
      </c>
      <c r="E6282" s="2" t="s">
        <v>190</v>
      </c>
    </row>
    <row r="6283" spans="1:5" x14ac:dyDescent="0.2">
      <c r="A6283">
        <v>6222</v>
      </c>
      <c r="B6283" s="138">
        <f>'Acct Summary 7-8'!J83</f>
        <v>-0.13669620384098197</v>
      </c>
      <c r="D6283" s="2" t="str">
        <f t="shared" si="97"/>
        <v>Error?</v>
      </c>
      <c r="E6283" s="2" t="s">
        <v>190</v>
      </c>
    </row>
    <row r="6284" spans="1:5" x14ac:dyDescent="0.2">
      <c r="A6284">
        <v>6223</v>
      </c>
      <c r="B6284" s="138">
        <f>'Acct Summary 7-8'!K83</f>
        <v>0.364783072458016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150397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150397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2079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2079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14130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152476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6536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30268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39369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173763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11116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105</v>
      </c>
      <c r="D6981" s="2" t="str">
        <f t="shared" si="108"/>
        <v>Error?</v>
      </c>
    </row>
    <row r="6982" spans="1:4" x14ac:dyDescent="0.2">
      <c r="A6982">
        <v>6921</v>
      </c>
      <c r="B6982" s="138">
        <f>'Expenditures 15-22'!K85</f>
        <v>105</v>
      </c>
      <c r="D6982" s="2" t="str">
        <f t="shared" si="108"/>
        <v>Error?</v>
      </c>
    </row>
    <row r="6983" spans="1:4" x14ac:dyDescent="0.2">
      <c r="A6983">
        <v>6922</v>
      </c>
      <c r="B6983" s="138">
        <f>'Expenditures 15-22'!H86</f>
        <v>58873</v>
      </c>
      <c r="D6983" s="2" t="str">
        <f t="shared" si="108"/>
        <v>Error?</v>
      </c>
    </row>
    <row r="6984" spans="1:4" x14ac:dyDescent="0.2">
      <c r="A6984">
        <v>6923</v>
      </c>
      <c r="B6984" s="138">
        <f>'Expenditures 15-22'!K86</f>
        <v>58873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38163</v>
      </c>
      <c r="D6987" s="2" t="str">
        <f t="shared" si="108"/>
        <v>Error?</v>
      </c>
    </row>
    <row r="6988" spans="1:4" x14ac:dyDescent="0.2">
      <c r="A6988">
        <v>6927</v>
      </c>
      <c r="B6988" s="138">
        <f>'Expenditures 15-22'!K88</f>
        <v>38163</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97141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172299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152476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892</v>
      </c>
      <c r="D7073" s="2" t="str">
        <f t="shared" si="109"/>
        <v>Error?</v>
      </c>
    </row>
    <row r="7074" spans="1:4" x14ac:dyDescent="0.2">
      <c r="A7074">
        <v>7013</v>
      </c>
      <c r="B7074" s="138">
        <f>'Expenditures 15-22'!K216</f>
        <v>892</v>
      </c>
      <c r="D7074" s="2" t="str">
        <f t="shared" si="109"/>
        <v>Error?</v>
      </c>
    </row>
    <row r="7075" spans="1:4" x14ac:dyDescent="0.2">
      <c r="A7075">
        <v>7014</v>
      </c>
      <c r="B7075" s="138">
        <f>'Expenditures 15-22'!D218</f>
        <v>3071</v>
      </c>
      <c r="D7075" s="2" t="str">
        <f t="shared" si="109"/>
        <v>Error?</v>
      </c>
    </row>
    <row r="7076" spans="1:4" x14ac:dyDescent="0.2">
      <c r="A7076">
        <v>7015</v>
      </c>
      <c r="B7076" s="138">
        <f>'Expenditures 15-22'!K218</f>
        <v>3071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122</v>
      </c>
      <c r="D7079" s="2" t="str">
        <f t="shared" si="109"/>
        <v>Error?</v>
      </c>
    </row>
    <row r="7080" spans="1:4" x14ac:dyDescent="0.2">
      <c r="A7080">
        <v>7019</v>
      </c>
      <c r="B7080" s="138">
        <f>'Expenditures 15-22'!K226</f>
        <v>122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164</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164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58456</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58456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41456</v>
      </c>
      <c r="D7172" s="2" t="str">
        <f t="shared" si="111"/>
        <v>Error?</v>
      </c>
    </row>
    <row r="7173" spans="1:4" x14ac:dyDescent="0.2">
      <c r="A7173">
        <v>7112</v>
      </c>
      <c r="B7173" s="138">
        <f>'Expenditures 15-22'!D325</f>
        <v>43426</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7093</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91975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21704</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21704</v>
      </c>
      <c r="D7198" s="2" t="str">
        <f t="shared" si="111"/>
        <v>Error?</v>
      </c>
    </row>
    <row r="7199" spans="1:4" x14ac:dyDescent="0.2">
      <c r="A7199">
        <v>7138</v>
      </c>
      <c r="B7199" s="138">
        <f>'Expenditures 15-22'!C330</f>
        <v>41456</v>
      </c>
      <c r="D7199" s="2" t="str">
        <f t="shared" si="111"/>
        <v>Error?</v>
      </c>
    </row>
    <row r="7200" spans="1:4" x14ac:dyDescent="0.2">
      <c r="A7200">
        <v>7139</v>
      </c>
      <c r="B7200" s="138">
        <f>'Expenditures 15-22'!D330</f>
        <v>123750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7093</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172299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41456</v>
      </c>
      <c r="D7216" s="2" t="str">
        <f t="shared" si="111"/>
        <v>Error?</v>
      </c>
    </row>
    <row r="7217" spans="1:4" x14ac:dyDescent="0.2">
      <c r="A7217">
        <v>7156</v>
      </c>
      <c r="B7217" s="138">
        <f>'Expenditures 15-22'!D342</f>
        <v>123750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7093</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172299</v>
      </c>
      <c r="D7224" s="2" t="str">
        <f t="shared" si="111"/>
        <v>Error?</v>
      </c>
    </row>
    <row r="7225" spans="1:4" x14ac:dyDescent="0.2">
      <c r="A7225">
        <v>7164</v>
      </c>
      <c r="B7225" s="138">
        <f>'Expenditures 15-22'!K343</f>
        <v>-19823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8369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732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128165</v>
      </c>
      <c r="D7251" s="2" t="str">
        <f t="shared" si="112"/>
        <v>Error?</v>
      </c>
    </row>
    <row r="7252" spans="1:4" x14ac:dyDescent="0.2">
      <c r="A7252">
        <f t="shared" si="113"/>
        <v>7191</v>
      </c>
      <c r="B7252" s="138">
        <f>'Expenditures 15-22'!D9</f>
        <v>42676</v>
      </c>
      <c r="D7252" s="2" t="str">
        <f t="shared" si="112"/>
        <v>Error?</v>
      </c>
    </row>
    <row r="7253" spans="1:4" x14ac:dyDescent="0.2">
      <c r="A7253">
        <f t="shared" si="113"/>
        <v>7192</v>
      </c>
      <c r="B7253" s="138">
        <f>'Expenditures 15-22'!E9</f>
        <v>1628</v>
      </c>
      <c r="D7253" s="2" t="str">
        <f t="shared" si="112"/>
        <v>Error?</v>
      </c>
    </row>
    <row r="7254" spans="1:4" x14ac:dyDescent="0.2">
      <c r="A7254">
        <f t="shared" si="113"/>
        <v>7193</v>
      </c>
      <c r="B7254" s="138">
        <f>'Expenditures 15-22'!F9</f>
        <v>1294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8451</v>
      </c>
      <c r="D7263" s="2" t="str">
        <f t="shared" si="112"/>
        <v>Error?</v>
      </c>
    </row>
    <row r="7264" spans="1:4" x14ac:dyDescent="0.2">
      <c r="A7264">
        <f t="shared" si="113"/>
        <v>7203</v>
      </c>
      <c r="B7264" s="138">
        <f>'Expenditures 15-22'!D17</f>
        <v>2665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278964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6647</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5270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11917</v>
      </c>
      <c r="D7719" s="2" t="str">
        <f t="shared" si="126"/>
        <v>Error?</v>
      </c>
      <c r="E7719" s="2" t="s">
        <v>827</v>
      </c>
    </row>
    <row r="7720" spans="1:6" x14ac:dyDescent="0.2">
      <c r="A7720">
        <v>7659</v>
      </c>
      <c r="B7720" s="138">
        <f>'Rest Tax Levies-Tort Im 25'!H14</f>
        <v>22862</v>
      </c>
      <c r="D7720" s="2" t="str">
        <f t="shared" si="126"/>
        <v>Error?</v>
      </c>
      <c r="E7720" s="2" t="s">
        <v>827</v>
      </c>
    </row>
    <row r="7721" spans="1:6" x14ac:dyDescent="0.2">
      <c r="A7721">
        <v>7660</v>
      </c>
      <c r="B7721" s="138">
        <f>'Rest Tax Levies-Tort Im 25'!K14</f>
        <v>11917</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62283</v>
      </c>
      <c r="D7797" s="2" t="str">
        <f t="shared" si="127"/>
        <v>Error?</v>
      </c>
      <c r="E7797" s="4" t="s">
        <v>1903</v>
      </c>
    </row>
    <row r="7798" spans="1:5" x14ac:dyDescent="0.2">
      <c r="A7798">
        <v>7737</v>
      </c>
      <c r="B7798" s="138">
        <f>'Contracts Paid in CY 29'!F141</f>
        <v>62283</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8" t="s">
        <v>1191</v>
      </c>
      <c r="B2" s="2388"/>
      <c r="C2" s="2388"/>
      <c r="D2" s="2388"/>
      <c r="E2" s="2388"/>
      <c r="F2" s="2388"/>
      <c r="G2" s="2388"/>
      <c r="H2" s="2388"/>
      <c r="I2" s="2388"/>
      <c r="J2" s="2388"/>
      <c r="K2" s="2388"/>
      <c r="L2" s="2388"/>
    </row>
    <row r="3" spans="1:29" ht="13.5" customHeight="1" x14ac:dyDescent="0.2">
      <c r="A3" s="2419" t="s">
        <v>1190</v>
      </c>
      <c r="B3" s="2419"/>
      <c r="C3" s="2419"/>
      <c r="D3" s="2419"/>
      <c r="E3" s="2419"/>
      <c r="F3" s="2419"/>
      <c r="G3" s="2419"/>
      <c r="H3" s="2419"/>
      <c r="I3" s="2419"/>
      <c r="J3" s="2419"/>
      <c r="K3" s="2419"/>
      <c r="L3" s="2419"/>
    </row>
    <row r="4" spans="1:29" ht="13.5" customHeight="1" x14ac:dyDescent="0.2">
      <c r="A4" s="2388" t="s">
        <v>1987</v>
      </c>
      <c r="B4" s="2409"/>
      <c r="C4" s="2409"/>
      <c r="D4" s="2409"/>
      <c r="E4" s="2409"/>
      <c r="F4" s="2409"/>
      <c r="G4" s="2409"/>
      <c r="H4" s="2409"/>
      <c r="I4" s="2409"/>
      <c r="J4" s="2409"/>
      <c r="K4" s="2409"/>
      <c r="L4" s="240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0" t="str">
        <f>COVER!A17</f>
        <v>Earlville CUSD 9</v>
      </c>
      <c r="B7" s="2411"/>
      <c r="C7" s="2411"/>
      <c r="D7" s="2412"/>
      <c r="E7" s="2413">
        <f>COVER!A13</f>
        <v>35050009026</v>
      </c>
      <c r="F7" s="2414"/>
      <c r="G7" s="2420" t="str">
        <f>COVER!T23</f>
        <v>066-005100</v>
      </c>
      <c r="H7" s="2421"/>
      <c r="I7" s="2421"/>
      <c r="J7" s="2421"/>
      <c r="K7" s="2421"/>
      <c r="L7" s="242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3"/>
      <c r="B9" s="2424"/>
      <c r="C9" s="2424"/>
      <c r="D9" s="2424"/>
      <c r="E9" s="2424"/>
      <c r="F9" s="2425"/>
      <c r="G9" s="2394" t="str">
        <f>COVER!T13</f>
        <v>Mack &amp; Associates, P.C.</v>
      </c>
      <c r="H9" s="2426"/>
      <c r="I9" s="2426"/>
      <c r="J9" s="2426"/>
      <c r="K9" s="2426"/>
      <c r="L9" s="2427"/>
    </row>
    <row r="10" spans="1:29" ht="13.5" customHeight="1" x14ac:dyDescent="0.2">
      <c r="A10" s="2400" t="str">
        <f>COVER!A38</f>
        <v>Rich Faivre</v>
      </c>
      <c r="B10" s="2401"/>
      <c r="C10" s="2401"/>
      <c r="D10" s="2401"/>
      <c r="E10" s="2401"/>
      <c r="F10" s="2402"/>
      <c r="G10" s="2394" t="str">
        <f>COVER!T17</f>
        <v>116 E. Washington St., Suite One</v>
      </c>
      <c r="H10" s="2395"/>
      <c r="I10" s="2395"/>
      <c r="J10" s="2395"/>
      <c r="K10" s="2395"/>
      <c r="L10" s="2396"/>
    </row>
    <row r="11" spans="1:29" ht="13.5" customHeight="1" x14ac:dyDescent="0.2">
      <c r="A11" s="1184" t="s">
        <v>1519</v>
      </c>
      <c r="B11" s="1185"/>
      <c r="C11" s="1186"/>
      <c r="D11" s="1191"/>
      <c r="E11" s="1186"/>
      <c r="F11" s="1190"/>
      <c r="G11" s="2394" t="str">
        <f>COVER!T19</f>
        <v>Morris</v>
      </c>
      <c r="H11" s="2395"/>
      <c r="I11" s="2395"/>
      <c r="J11" s="2395"/>
      <c r="K11" s="2395"/>
      <c r="L11" s="2396"/>
    </row>
    <row r="12" spans="1:29" ht="13.5" customHeight="1" x14ac:dyDescent="0.2">
      <c r="A12" s="2403" t="s">
        <v>1518</v>
      </c>
      <c r="B12" s="2404"/>
      <c r="C12" s="2404"/>
      <c r="D12" s="2404"/>
      <c r="E12" s="2404"/>
      <c r="F12" s="2405"/>
      <c r="G12" s="2397"/>
      <c r="H12" s="2398"/>
      <c r="I12" s="2398"/>
      <c r="J12" s="2398"/>
      <c r="K12" s="2398"/>
      <c r="L12" s="2399"/>
    </row>
    <row r="13" spans="1:29" ht="13.5" customHeight="1" x14ac:dyDescent="0.2">
      <c r="A13" s="2394"/>
      <c r="B13" s="2395"/>
      <c r="C13" s="2395"/>
      <c r="D13" s="2395"/>
      <c r="E13" s="2395"/>
      <c r="F13" s="2396"/>
      <c r="G13" s="2389" t="s">
        <v>1520</v>
      </c>
      <c r="H13" s="2390"/>
      <c r="I13" s="2406" t="str">
        <f>COVER!T25</f>
        <v>tmack@mackcpas.com</v>
      </c>
      <c r="J13" s="2407"/>
      <c r="K13" s="2407"/>
      <c r="L13" s="2408"/>
    </row>
    <row r="14" spans="1:29" ht="13.5" customHeight="1" x14ac:dyDescent="0.2">
      <c r="A14" s="2394" t="str">
        <f>COVER!A19</f>
        <v>415 W Union Street</v>
      </c>
      <c r="B14" s="2395"/>
      <c r="C14" s="2395"/>
      <c r="D14" s="2395"/>
      <c r="E14" s="2395"/>
      <c r="F14" s="2396"/>
      <c r="G14" s="1195" t="s">
        <v>1185</v>
      </c>
      <c r="H14" s="1193"/>
      <c r="I14" s="1193"/>
      <c r="J14" s="1193"/>
      <c r="K14" s="1193"/>
      <c r="L14" s="1194"/>
    </row>
    <row r="15" spans="1:29" ht="13.5" customHeight="1" x14ac:dyDescent="0.2">
      <c r="A15" s="2394" t="str">
        <f>COVER!A21</f>
        <v>Earlville</v>
      </c>
      <c r="B15" s="2395"/>
      <c r="C15" s="2395"/>
      <c r="D15" s="2395"/>
      <c r="E15" s="2395"/>
      <c r="F15" s="2396"/>
      <c r="G15" s="2391" t="str">
        <f>COVER!T15</f>
        <v>Tawnya Mack, CPA</v>
      </c>
      <c r="H15" s="2392"/>
      <c r="I15" s="2392"/>
      <c r="J15" s="2392"/>
      <c r="K15" s="2392"/>
      <c r="L15" s="2393"/>
    </row>
    <row r="16" spans="1:29" ht="12.2" customHeight="1" x14ac:dyDescent="0.2">
      <c r="A16" s="2416">
        <f>COVER!A25</f>
        <v>60518</v>
      </c>
      <c r="B16" s="2417"/>
      <c r="C16" s="2417"/>
      <c r="D16" s="2417"/>
      <c r="E16" s="2417"/>
      <c r="F16" s="2418"/>
      <c r="G16" s="2428"/>
      <c r="H16" s="2429"/>
      <c r="I16" s="2429"/>
      <c r="J16" s="2429"/>
      <c r="K16" s="2429"/>
      <c r="L16" s="2430"/>
    </row>
    <row r="17" spans="1:13" ht="12.2" customHeight="1" x14ac:dyDescent="0.2">
      <c r="A17" s="2431"/>
      <c r="B17" s="2417"/>
      <c r="C17" s="2417"/>
      <c r="D17" s="2417"/>
      <c r="E17" s="2417"/>
      <c r="F17" s="2418"/>
      <c r="G17" s="1195" t="s">
        <v>1184</v>
      </c>
      <c r="H17" s="1193"/>
      <c r="I17" s="1193"/>
      <c r="J17" s="1193"/>
      <c r="K17" s="1197" t="s">
        <v>1183</v>
      </c>
      <c r="L17" s="1190"/>
      <c r="M17" s="1183"/>
    </row>
    <row r="18" spans="1:13" ht="12.2" customHeight="1" x14ac:dyDescent="0.2">
      <c r="A18" s="2400"/>
      <c r="B18" s="2401"/>
      <c r="C18" s="2401"/>
      <c r="D18" s="2401"/>
      <c r="E18" s="2401"/>
      <c r="F18" s="2402"/>
      <c r="G18" s="2410" t="str">
        <f>COVER!T21</f>
        <v>815-942-3306</v>
      </c>
      <c r="H18" s="2411"/>
      <c r="I18" s="2411"/>
      <c r="J18" s="2411"/>
      <c r="K18" s="2410" t="str">
        <f>COVER!X21</f>
        <v>815-942-9430</v>
      </c>
      <c r="L18" s="241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2" t="str">
        <f>'Single Audit Cover'!A7</f>
        <v>Earlville CUSD 9</v>
      </c>
      <c r="B1" s="2409"/>
      <c r="C1" s="2409"/>
      <c r="D1" s="2409"/>
    </row>
    <row r="2" spans="1:11" s="1212" customFormat="1" ht="12.75" x14ac:dyDescent="0.2">
      <c r="A2" s="2433">
        <f>'Single Audit Cover'!E7</f>
        <v>35050009026</v>
      </c>
      <c r="B2" s="2434"/>
      <c r="C2" s="2434"/>
      <c r="D2" s="2434"/>
    </row>
    <row r="3" spans="1:11" s="1212" customFormat="1" ht="12.75" x14ac:dyDescent="0.2">
      <c r="A3" s="2432" t="s">
        <v>1513</v>
      </c>
      <c r="B3" s="2409"/>
      <c r="C3" s="2409"/>
      <c r="D3" s="240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6" t="str">
        <f>'Single Audit Cover'!A7</f>
        <v>Earlville CUSD 9</v>
      </c>
      <c r="B1" s="2436"/>
      <c r="C1" s="2436"/>
      <c r="D1" s="2436"/>
      <c r="E1" s="2436"/>
    </row>
    <row r="2" spans="1:5" x14ac:dyDescent="0.2">
      <c r="A2" s="2437">
        <f>'Single Audit Cover'!E7</f>
        <v>35050009026</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7" t="s">
        <v>1243</v>
      </c>
    </row>
    <row r="10" spans="1:5" x14ac:dyDescent="0.2">
      <c r="A10" s="1258" t="s">
        <v>1242</v>
      </c>
      <c r="B10" s="1259" t="s">
        <v>1241</v>
      </c>
      <c r="C10" s="1259"/>
      <c r="D10" s="1260">
        <f>SUM('Acct Summary 7-8'!C7:K7)</f>
        <v>341817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22121</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-17033</v>
      </c>
    </row>
    <row r="19" spans="1:4" ht="13.5" thickBot="1" x14ac:dyDescent="0.25">
      <c r="A19" s="1262" t="s">
        <v>1235</v>
      </c>
      <c r="D19" s="1263">
        <f>SUM(D10:D17)</f>
        <v>346905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8"/>
      <c r="B24" s="2438"/>
      <c r="D24" s="1265"/>
    </row>
    <row r="25" spans="1:4" x14ac:dyDescent="0.2">
      <c r="A25" s="2435"/>
      <c r="B25" s="2435"/>
      <c r="D25" s="1265"/>
    </row>
    <row r="26" spans="1:4" x14ac:dyDescent="0.2">
      <c r="A26" s="2435"/>
      <c r="B26" s="2435"/>
      <c r="D26" s="1265"/>
    </row>
    <row r="27" spans="1:4" x14ac:dyDescent="0.2">
      <c r="A27" s="2435"/>
      <c r="B27" s="2435"/>
      <c r="D27" s="1265"/>
    </row>
    <row r="28" spans="1:4" x14ac:dyDescent="0.2">
      <c r="A28" s="2435"/>
      <c r="B28" s="2435"/>
      <c r="D28" s="1265"/>
    </row>
    <row r="29" spans="1:4" x14ac:dyDescent="0.2">
      <c r="A29" s="2435"/>
      <c r="B29" s="2435"/>
      <c r="D29" s="1265"/>
    </row>
    <row r="30" spans="1:4" x14ac:dyDescent="0.2">
      <c r="A30" s="2435"/>
      <c r="B30" s="2435"/>
      <c r="D30" s="1265"/>
    </row>
    <row r="32" spans="1:4" x14ac:dyDescent="0.2">
      <c r="A32" s="1257" t="s">
        <v>1233</v>
      </c>
      <c r="D32" s="1260">
        <f>SUM(D19:D30)</f>
        <v>346905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5"/>
      <c r="B40" s="2435"/>
      <c r="D40" s="1265"/>
    </row>
    <row r="41" spans="1:4" x14ac:dyDescent="0.2">
      <c r="A41" s="2435"/>
      <c r="B41" s="2435"/>
      <c r="D41" s="1268"/>
    </row>
    <row r="42" spans="1:4" x14ac:dyDescent="0.2">
      <c r="A42" s="2435"/>
      <c r="B42" s="2435"/>
      <c r="D42" s="1268"/>
    </row>
    <row r="43" spans="1:4" x14ac:dyDescent="0.2">
      <c r="A43" s="2435"/>
      <c r="B43" s="2435"/>
      <c r="D43" s="1268"/>
    </row>
    <row r="44" spans="1:4" x14ac:dyDescent="0.2">
      <c r="A44" s="2435"/>
      <c r="B44" s="2435"/>
      <c r="D44" s="1268"/>
    </row>
    <row r="45" spans="1:4" x14ac:dyDescent="0.2">
      <c r="A45" s="2435"/>
      <c r="B45" s="2435"/>
      <c r="D45" s="1268"/>
    </row>
    <row r="47" spans="1:4" x14ac:dyDescent="0.2">
      <c r="B47" s="1269" t="s">
        <v>1227</v>
      </c>
      <c r="C47" s="1269"/>
      <c r="D47" s="1270">
        <f>SUM(D35:D45)</f>
        <v>0</v>
      </c>
    </row>
    <row r="49" spans="2:4" x14ac:dyDescent="0.2">
      <c r="B49" s="1269" t="s">
        <v>1226</v>
      </c>
      <c r="C49" s="1269"/>
      <c r="D49" s="1270">
        <f>D32-D47</f>
        <v>346905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Earlville CUSD 9</v>
      </c>
      <c r="C1" s="2440"/>
      <c r="D1" s="2440"/>
      <c r="E1" s="2440"/>
      <c r="F1" s="2440"/>
      <c r="G1" s="2440"/>
      <c r="H1" s="2440"/>
      <c r="I1" s="2440"/>
      <c r="J1" s="2440"/>
      <c r="K1" s="2440"/>
      <c r="L1" s="2440"/>
      <c r="M1" s="2440"/>
    </row>
    <row r="2" spans="2:14" ht="15" x14ac:dyDescent="0.2">
      <c r="B2" s="2441">
        <f>'Single Audit Cover'!E7</f>
        <v>35050009026</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Earlville CUSD 9</v>
      </c>
      <c r="B1" s="2453"/>
      <c r="C1" s="2453"/>
      <c r="D1" s="2453"/>
      <c r="E1" s="2453"/>
      <c r="F1" s="2453"/>
    </row>
    <row r="2" spans="1:7" ht="13.5" customHeight="1" x14ac:dyDescent="0.2">
      <c r="A2" s="2441">
        <f>'Single Audit Cover'!E7</f>
        <v>35050009026</v>
      </c>
      <c r="B2" s="2441"/>
      <c r="C2" s="2441"/>
      <c r="D2" s="2441"/>
      <c r="E2" s="2441"/>
      <c r="F2" s="2441"/>
      <c r="G2" s="1272"/>
    </row>
    <row r="3" spans="1:7" ht="15.75" customHeight="1" x14ac:dyDescent="0.2">
      <c r="A3" s="2454" t="s">
        <v>1271</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3" t="s">
        <v>1728</v>
      </c>
      <c r="C6" s="317"/>
      <c r="D6" s="317"/>
    </row>
    <row r="7" spans="1:7" ht="60.95" customHeight="1" x14ac:dyDescent="0.2">
      <c r="A7" s="2452" t="s">
        <v>1729</v>
      </c>
      <c r="B7" s="2452"/>
      <c r="C7" s="2452"/>
      <c r="D7" s="2452"/>
      <c r="E7" s="2452"/>
      <c r="F7" s="2452"/>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2" t="s">
        <v>1731</v>
      </c>
      <c r="B13" s="2452"/>
      <c r="C13" s="2452"/>
      <c r="D13" s="2452"/>
      <c r="E13" s="2452"/>
      <c r="F13" s="2452"/>
    </row>
    <row r="14" spans="1:7" ht="9.75" customHeight="1" x14ac:dyDescent="0.2">
      <c r="C14" s="1257"/>
      <c r="D14" s="1257"/>
    </row>
    <row r="15" spans="1:7" ht="13.5" customHeight="1" x14ac:dyDescent="0.2">
      <c r="C15" s="1846" t="s">
        <v>1270</v>
      </c>
      <c r="D15" s="2450" t="s">
        <v>1269</v>
      </c>
      <c r="E15" s="2450"/>
      <c r="F15" s="2450"/>
    </row>
    <row r="16" spans="1:7" ht="13.5" customHeight="1" x14ac:dyDescent="0.2">
      <c r="A16" s="1279"/>
      <c r="B16" s="1273" t="s">
        <v>1268</v>
      </c>
      <c r="C16" s="1846" t="s">
        <v>1267</v>
      </c>
      <c r="D16" s="2451" t="s">
        <v>1588</v>
      </c>
      <c r="E16" s="2451"/>
      <c r="F16" s="2451"/>
    </row>
    <row r="17" spans="1:6" ht="20.45" customHeight="1" x14ac:dyDescent="0.2">
      <c r="A17" s="1280"/>
      <c r="B17" s="1281"/>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1732</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8" colorId="8" zoomScale="110" zoomScaleNormal="110" workbookViewId="0">
      <selection activeCell="D120" sqref="D12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2073</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2064</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t="s">
        <v>2082</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Earlville CUSD 9</v>
      </c>
      <c r="C1" s="2468"/>
      <c r="D1" s="2468"/>
      <c r="E1" s="2468"/>
      <c r="F1" s="2468"/>
      <c r="G1" s="2468"/>
      <c r="H1" s="2468"/>
      <c r="I1" s="2468"/>
      <c r="J1" s="1406"/>
    </row>
    <row r="2" spans="2:10" s="317" customFormat="1" ht="12.75" customHeight="1" x14ac:dyDescent="0.2">
      <c r="B2" s="2469">
        <f>'Single Audit Cover'!E7</f>
        <v>35050009026</v>
      </c>
      <c r="C2" s="2470"/>
      <c r="D2" s="2470"/>
      <c r="E2" s="2470"/>
      <c r="F2" s="2470"/>
      <c r="G2" s="2470"/>
      <c r="H2" s="2470"/>
      <c r="I2" s="2470"/>
      <c r="J2" s="1406"/>
    </row>
    <row r="3" spans="2:10" s="317" customFormat="1" ht="12.75" customHeight="1" x14ac:dyDescent="0.2">
      <c r="B3" s="2471" t="s">
        <v>1285</v>
      </c>
      <c r="C3" s="2472"/>
      <c r="D3" s="2472"/>
      <c r="E3" s="2472"/>
      <c r="F3" s="2472"/>
      <c r="G3" s="2472"/>
      <c r="H3" s="2472"/>
      <c r="I3" s="2472"/>
      <c r="J3" s="1407"/>
    </row>
    <row r="4" spans="2:10" s="317" customFormat="1" ht="12.75" customHeight="1" x14ac:dyDescent="0.2">
      <c r="B4" s="2471" t="str">
        <f>'Single Audit Cover'!A4</f>
        <v>Year Ending June 30, 2019</v>
      </c>
      <c r="C4" s="2472"/>
      <c r="D4" s="2472"/>
      <c r="E4" s="2472"/>
      <c r="F4" s="2472"/>
      <c r="G4" s="2472"/>
      <c r="H4" s="2472"/>
      <c r="I4" s="247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1" t="s">
        <v>1284</v>
      </c>
      <c r="C7" s="2472"/>
      <c r="D7" s="2472"/>
      <c r="E7" s="2472"/>
      <c r="F7" s="2472"/>
      <c r="G7" s="2472"/>
      <c r="H7" s="2472"/>
      <c r="I7" s="247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3"/>
      <c r="D11" s="247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4"/>
      <c r="E29" s="2474"/>
      <c r="F29" s="2474"/>
      <c r="G29" s="2474"/>
      <c r="H29" s="2474"/>
      <c r="I29" s="247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5" t="s">
        <v>1751</v>
      </c>
      <c r="D37" s="2476"/>
      <c r="E37" s="2476"/>
      <c r="F37" s="2477"/>
      <c r="G37" s="2475" t="s">
        <v>1592</v>
      </c>
      <c r="H37" s="2476"/>
      <c r="I37" s="2477"/>
    </row>
    <row r="38" spans="2:9" ht="16.5" customHeight="1" x14ac:dyDescent="0.2">
      <c r="B38" s="1428"/>
      <c r="C38" s="2463"/>
      <c r="D38" s="2464"/>
      <c r="E38" s="2464"/>
      <c r="F38" s="2465"/>
      <c r="G38" s="2478"/>
      <c r="H38" s="2479"/>
      <c r="I38" s="2480"/>
    </row>
    <row r="39" spans="2:9" ht="16.5" customHeight="1" x14ac:dyDescent="0.2">
      <c r="B39" s="1428"/>
      <c r="C39" s="2463"/>
      <c r="D39" s="2464"/>
      <c r="E39" s="2464"/>
      <c r="F39" s="2465"/>
      <c r="G39" s="2466"/>
      <c r="H39" s="2466"/>
      <c r="I39" s="2466"/>
    </row>
    <row r="40" spans="2:9" ht="16.5" customHeight="1" x14ac:dyDescent="0.2">
      <c r="B40" s="1428"/>
      <c r="C40" s="2463"/>
      <c r="D40" s="2464"/>
      <c r="E40" s="2464"/>
      <c r="F40" s="2465"/>
      <c r="G40" s="2466"/>
      <c r="H40" s="2466"/>
      <c r="I40" s="2466"/>
    </row>
    <row r="41" spans="2:9" ht="16.5" customHeight="1" x14ac:dyDescent="0.2">
      <c r="B41" s="1428"/>
      <c r="C41" s="2463"/>
      <c r="D41" s="2464"/>
      <c r="E41" s="2464"/>
      <c r="F41" s="2465"/>
      <c r="G41" s="2466"/>
      <c r="H41" s="2466"/>
      <c r="I41" s="2466"/>
    </row>
    <row r="42" spans="2:9" ht="16.5" customHeight="1" x14ac:dyDescent="0.2">
      <c r="B42" s="1428"/>
      <c r="C42" s="2463"/>
      <c r="D42" s="2464"/>
      <c r="E42" s="2464"/>
      <c r="F42" s="2465"/>
      <c r="G42" s="2466"/>
      <c r="H42" s="2466"/>
      <c r="I42" s="2466"/>
    </row>
    <row r="43" spans="2:9" ht="16.5" customHeight="1" x14ac:dyDescent="0.2">
      <c r="B43" s="1428"/>
      <c r="C43" s="2456" t="s">
        <v>1593</v>
      </c>
      <c r="D43" s="2457"/>
      <c r="E43" s="2457"/>
      <c r="F43" s="2458"/>
      <c r="G43" s="2459">
        <f>SUM(G38:I42)</f>
        <v>0</v>
      </c>
      <c r="H43" s="2459"/>
      <c r="I43" s="2459"/>
    </row>
    <row r="44" spans="2:9" ht="12.75" customHeight="1" x14ac:dyDescent="0.2"/>
    <row r="45" spans="2:9" ht="12.75" customHeight="1" x14ac:dyDescent="0.2">
      <c r="B45" s="1419" t="s">
        <v>2062</v>
      </c>
      <c r="D45" s="2460">
        <v>0</v>
      </c>
      <c r="E45" s="246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62"/>
      <c r="F49" s="2462"/>
      <c r="G49" s="246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Earlville CUSD 9</v>
      </c>
      <c r="C1" s="2467"/>
      <c r="D1" s="2467"/>
      <c r="E1" s="2467"/>
      <c r="F1" s="2467"/>
      <c r="G1" s="2467"/>
      <c r="H1" s="2467"/>
      <c r="I1" s="2467"/>
      <c r="J1" s="2467"/>
      <c r="K1" s="2467"/>
      <c r="L1" s="1371"/>
      <c r="M1" s="1371"/>
    </row>
    <row r="2" spans="1:13" ht="12" customHeight="1" x14ac:dyDescent="0.2">
      <c r="B2" s="2469">
        <f>'Single Audit Cover'!E7</f>
        <v>35050009026</v>
      </c>
      <c r="C2" s="2469"/>
      <c r="D2" s="2469"/>
      <c r="E2" s="2469"/>
      <c r="F2" s="2469"/>
      <c r="G2" s="2469"/>
      <c r="H2" s="2469"/>
      <c r="I2" s="2469"/>
      <c r="J2" s="2469"/>
      <c r="K2" s="2469"/>
      <c r="L2" s="1372"/>
      <c r="M2" s="1373"/>
    </row>
    <row r="3" spans="1:13" ht="10.35" customHeight="1" x14ac:dyDescent="0.2">
      <c r="B3" s="2483" t="s">
        <v>1285</v>
      </c>
      <c r="C3" s="2483"/>
      <c r="D3" s="2483"/>
      <c r="E3" s="2483"/>
      <c r="F3" s="2483"/>
      <c r="G3" s="2483"/>
      <c r="H3" s="2483"/>
      <c r="I3" s="2483"/>
      <c r="J3" s="2483"/>
      <c r="K3" s="2483"/>
      <c r="L3" s="1374"/>
      <c r="M3" s="1374"/>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1296</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2"/>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2"/>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6"/>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2"/>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1"/>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Earlville CUSD 9</v>
      </c>
      <c r="C1" s="2490"/>
      <c r="D1" s="2490"/>
      <c r="E1" s="2490"/>
      <c r="F1" s="2490"/>
      <c r="G1" s="2490"/>
      <c r="H1" s="2490"/>
      <c r="I1" s="2490"/>
      <c r="J1" s="2490"/>
      <c r="K1" s="2490"/>
      <c r="L1" s="1449"/>
    </row>
    <row r="2" spans="1:12" ht="12.75" customHeight="1" x14ac:dyDescent="0.2">
      <c r="B2" s="2491">
        <f>'Single Audit Cover'!E7</f>
        <v>35050009026</v>
      </c>
      <c r="C2" s="2491"/>
      <c r="D2" s="2491"/>
      <c r="E2" s="2491"/>
      <c r="F2" s="2491"/>
      <c r="G2" s="2491"/>
      <c r="H2" s="2491"/>
      <c r="I2" s="2491"/>
      <c r="J2" s="2491"/>
      <c r="K2" s="2491"/>
      <c r="L2" s="1450"/>
    </row>
    <row r="3" spans="1:12" ht="12.75" customHeight="1" x14ac:dyDescent="0.2">
      <c r="B3" s="2483" t="s">
        <v>1285</v>
      </c>
      <c r="C3" s="2483"/>
      <c r="D3" s="2483"/>
      <c r="E3" s="2483"/>
      <c r="F3" s="2483"/>
      <c r="G3" s="2483"/>
      <c r="H3" s="2483"/>
      <c r="I3" s="2483"/>
      <c r="J3" s="2483"/>
      <c r="K3" s="2483"/>
      <c r="L3" s="1374"/>
    </row>
    <row r="4" spans="1:12" ht="12.75" customHeight="1" x14ac:dyDescent="0.2">
      <c r="B4" s="2483" t="str">
        <f>'Single Audit Cover'!A4</f>
        <v>Year Ending June 30, 2019</v>
      </c>
      <c r="C4" s="2483"/>
      <c r="D4" s="2483"/>
      <c r="E4" s="2483"/>
      <c r="F4" s="2483"/>
      <c r="G4" s="2483"/>
      <c r="H4" s="2483"/>
      <c r="I4" s="2483"/>
      <c r="J4" s="2483"/>
      <c r="K4" s="2483"/>
      <c r="L4" s="1374"/>
    </row>
    <row r="5" spans="1:12" ht="5.25" customHeight="1" x14ac:dyDescent="0.2">
      <c r="B5" s="1257" t="s">
        <v>1169</v>
      </c>
      <c r="C5" s="1257"/>
      <c r="L5" s="322"/>
    </row>
    <row r="6" spans="1:12" ht="30.75" customHeight="1" x14ac:dyDescent="0.2">
      <c r="A6" s="322"/>
      <c r="B6" s="2492" t="s">
        <v>1308</v>
      </c>
      <c r="C6" s="2492"/>
      <c r="D6" s="2492"/>
      <c r="E6" s="2492"/>
      <c r="F6" s="2492"/>
      <c r="G6" s="2492"/>
      <c r="H6" s="2492"/>
      <c r="I6" s="2492"/>
      <c r="J6" s="2492"/>
      <c r="K6" s="249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4"/>
      <c r="G12" s="2474"/>
      <c r="H12" s="2474"/>
      <c r="I12" s="2474"/>
      <c r="J12" s="2474"/>
      <c r="K12" s="247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c r="E14" s="2487"/>
      <c r="F14" s="2487"/>
      <c r="H14" s="1459" t="s">
        <v>1303</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c r="E16" s="2488"/>
      <c r="F16" s="2488"/>
      <c r="G16" s="2488"/>
      <c r="H16" s="2488"/>
      <c r="I16" s="2488"/>
      <c r="J16" s="2488"/>
      <c r="K16" s="2488"/>
      <c r="L16" s="322"/>
    </row>
    <row r="17" spans="2:12" ht="13.5" customHeight="1" x14ac:dyDescent="0.2">
      <c r="B17" s="1384" t="s">
        <v>1301</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2"/>
      <c r="C20" s="2482"/>
      <c r="D20" s="2482"/>
      <c r="E20" s="2482"/>
      <c r="F20" s="2482"/>
      <c r="G20" s="2482"/>
      <c r="H20" s="2482"/>
      <c r="I20" s="2482"/>
      <c r="J20" s="2482"/>
      <c r="K20" s="248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7" t="str">
        <f>'Single Audit Cover'!A7</f>
        <v>Earlville CUSD 9</v>
      </c>
      <c r="C1" s="2467"/>
      <c r="D1" s="2467"/>
      <c r="E1" s="1469"/>
    </row>
    <row r="2" spans="2:5" s="1279" customFormat="1" ht="12.75" customHeight="1" x14ac:dyDescent="0.2">
      <c r="B2" s="2469">
        <f>'Single Audit Cover'!E7</f>
        <v>35050009026</v>
      </c>
      <c r="C2" s="2469"/>
      <c r="D2" s="2469"/>
      <c r="E2" s="1470"/>
    </row>
    <row r="3" spans="2:5" ht="12.75" customHeight="1" x14ac:dyDescent="0.2">
      <c r="B3" s="2483" t="s">
        <v>1766</v>
      </c>
      <c r="C3" s="2483"/>
      <c r="D3" s="2483"/>
      <c r="E3" s="1271"/>
    </row>
    <row r="4" spans="2:5" s="1279" customFormat="1" ht="12.75" customHeight="1" x14ac:dyDescent="0.2">
      <c r="B4" s="2493" t="str">
        <f>'Single Audit Cover'!A4</f>
        <v>Year Ending June 30, 2019</v>
      </c>
      <c r="C4" s="2493"/>
      <c r="D4" s="249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0" colorId="8" zoomScale="110" zoomScaleNormal="110" workbookViewId="0">
      <selection activeCell="S28" sqref="S2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61527048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3.6421000000000002E-2</v>
      </c>
      <c r="E10" s="356" t="s">
        <v>1005</v>
      </c>
      <c r="F10" s="355">
        <v>6.5760000000000002E-3</v>
      </c>
      <c r="G10" s="356" t="s">
        <v>1005</v>
      </c>
      <c r="H10" s="355">
        <v>2E-3</v>
      </c>
      <c r="I10" s="356" t="s">
        <v>1006</v>
      </c>
      <c r="J10" s="1732">
        <f>ROUND(D10+F10+H10,5)</f>
        <v>4.4999999999999998E-2</v>
      </c>
      <c r="K10" s="222"/>
      <c r="L10" s="355">
        <v>5.0000000000000001E-4</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5272559</v>
      </c>
      <c r="E16" s="356"/>
      <c r="F16" s="1733">
        <f>SUM('Acct Summary 7-8'!C17,'Acct Summary 7-8'!D17,'Acct Summary 7-8'!F17)</f>
        <v>4682043</v>
      </c>
      <c r="G16" s="356"/>
      <c r="H16" s="1733">
        <f>SUM(D16-F16)</f>
        <v>590516</v>
      </c>
      <c r="I16" s="222"/>
      <c r="J16" s="1733">
        <f>SUM('Acct Summary 7-8'!C81,'Acct Summary 7-8'!D81,'Acct Summary 7-8'!F81,'Acct Summary 7-8'!I81)</f>
        <v>4733610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8490732.6239999998</v>
      </c>
      <c r="I31" s="368"/>
      <c r="J31" s="222"/>
      <c r="K31" s="222"/>
      <c r="L31" s="222"/>
      <c r="M31" s="222"/>
    </row>
    <row r="32" spans="1:13" ht="13.35" customHeight="1" x14ac:dyDescent="0.2">
      <c r="B32" s="369" t="s">
        <v>2073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3200000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Earlville CUSD 9</v>
      </c>
      <c r="E7" s="391"/>
      <c r="G7" s="252"/>
      <c r="H7" s="387"/>
      <c r="I7" s="387"/>
      <c r="J7" s="387"/>
      <c r="K7" s="387"/>
      <c r="L7" s="329"/>
      <c r="M7" s="329"/>
      <c r="N7" s="329"/>
      <c r="O7" s="329"/>
      <c r="P7" s="329"/>
    </row>
    <row r="8" spans="1:18" ht="12.75" x14ac:dyDescent="0.2">
      <c r="A8" s="329"/>
      <c r="B8" s="329"/>
      <c r="C8" s="389" t="s">
        <v>1125</v>
      </c>
      <c r="D8" s="392">
        <f>COVER!A13</f>
        <v>35050009026</v>
      </c>
      <c r="E8" s="393"/>
      <c r="G8" s="329"/>
      <c r="H8" s="329"/>
      <c r="I8" s="329"/>
      <c r="J8" s="329"/>
      <c r="K8" s="329"/>
      <c r="L8" s="329"/>
      <c r="M8" s="329"/>
      <c r="N8" s="329"/>
      <c r="O8" s="329"/>
      <c r="P8" s="329"/>
    </row>
    <row r="9" spans="1:18" ht="12.75" x14ac:dyDescent="0.2">
      <c r="A9" s="329"/>
      <c r="B9" s="329"/>
      <c r="C9" s="389" t="s">
        <v>713</v>
      </c>
      <c r="D9" s="394" t="str">
        <f>COVER!A15</f>
        <v>LaSalle, Dekalb, and Lee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4733610</v>
      </c>
      <c r="I12" s="404"/>
      <c r="J12" s="404"/>
      <c r="K12" s="405">
        <f>TRUNC((H12/H13*100000),5)/100000</f>
        <v>0.89778227230000007</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5272559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4682043</v>
      </c>
      <c r="I17" s="404"/>
      <c r="J17" s="416"/>
      <c r="K17" s="405">
        <f>TRUNC((H17/H18*100000),5)/100000</f>
        <v>0.88800201190000005</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5272559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4733610</v>
      </c>
      <c r="I24" s="422"/>
      <c r="J24" s="422"/>
      <c r="K24" s="423">
        <f>TRUNC(((H24/H25*100000)/100000),2)</f>
        <v>363.96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13005.674999999999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2353409.5860000001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3200000</v>
      </c>
      <c r="I32" s="420"/>
      <c r="J32" s="420"/>
      <c r="K32" s="423">
        <f>TRUNC(100-((((H32/H33*100))*100)/100),2)</f>
        <v>62.31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8490732.6239999998</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18"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9"/>
      <c r="D3" s="1560"/>
      <c r="E3" s="1560"/>
      <c r="F3" s="1560"/>
      <c r="G3" s="1560"/>
      <c r="H3" s="1560"/>
      <c r="I3" s="1560"/>
      <c r="J3" s="1560"/>
      <c r="K3" s="1560"/>
      <c r="L3" s="1560"/>
      <c r="M3" s="1561"/>
      <c r="N3" s="1562"/>
    </row>
    <row r="4" spans="1:14" ht="13.5" customHeight="1" x14ac:dyDescent="0.2">
      <c r="A4" s="463" t="s">
        <v>1651</v>
      </c>
      <c r="B4" s="464"/>
      <c r="C4" s="465">
        <v>1833446</v>
      </c>
      <c r="D4" s="466">
        <v>63685</v>
      </c>
      <c r="E4" s="466">
        <v>10060</v>
      </c>
      <c r="F4" s="466">
        <v>137369</v>
      </c>
      <c r="G4" s="466">
        <v>146089</v>
      </c>
      <c r="H4" s="466"/>
      <c r="I4" s="466">
        <v>29536</v>
      </c>
      <c r="J4" s="467">
        <v>34578</v>
      </c>
      <c r="K4" s="466">
        <v>53763</v>
      </c>
      <c r="L4" s="466"/>
      <c r="M4" s="468"/>
      <c r="N4" s="469"/>
    </row>
    <row r="5" spans="1:14" x14ac:dyDescent="0.2">
      <c r="A5" s="463" t="s">
        <v>992</v>
      </c>
      <c r="B5" s="470">
        <v>120</v>
      </c>
      <c r="C5" s="465">
        <v>1534678</v>
      </c>
      <c r="D5" s="466">
        <v>637730</v>
      </c>
      <c r="E5" s="466">
        <v>5708</v>
      </c>
      <c r="F5" s="466">
        <v>426415</v>
      </c>
      <c r="G5" s="466">
        <v>87804</v>
      </c>
      <c r="H5" s="466"/>
      <c r="I5" s="466">
        <v>70751</v>
      </c>
      <c r="J5" s="467">
        <v>110437</v>
      </c>
      <c r="K5" s="471">
        <v>26863</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3368124</v>
      </c>
      <c r="D13" s="1737">
        <f t="shared" ref="D13:L13" si="0">SUM(D4:D12)</f>
        <v>701415</v>
      </c>
      <c r="E13" s="1737">
        <f t="shared" si="0"/>
        <v>15768</v>
      </c>
      <c r="F13" s="1737">
        <f t="shared" si="0"/>
        <v>563784</v>
      </c>
      <c r="G13" s="1737">
        <f t="shared" si="0"/>
        <v>233893</v>
      </c>
      <c r="H13" s="1737">
        <f t="shared" si="0"/>
        <v>0</v>
      </c>
      <c r="I13" s="1737">
        <f t="shared" si="0"/>
        <v>100287</v>
      </c>
      <c r="J13" s="1737">
        <f t="shared" si="0"/>
        <v>145015</v>
      </c>
      <c r="K13" s="1737">
        <f t="shared" si="0"/>
        <v>80626</v>
      </c>
      <c r="L13" s="1737">
        <f t="shared" si="0"/>
        <v>0</v>
      </c>
      <c r="M13" s="468"/>
      <c r="N13" s="469"/>
    </row>
    <row r="14" spans="1:14" ht="18" customHeight="1" thickTop="1" x14ac:dyDescent="0.2">
      <c r="A14" s="2117" t="s">
        <v>147</v>
      </c>
      <c r="B14" s="211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160300</v>
      </c>
      <c r="N16" s="484"/>
    </row>
    <row r="17" spans="1:14" s="485" customFormat="1" ht="12.75" customHeight="1" x14ac:dyDescent="0.2">
      <c r="A17" s="482" t="s">
        <v>1403</v>
      </c>
      <c r="B17" s="483">
        <v>230</v>
      </c>
      <c r="C17" s="477"/>
      <c r="D17" s="477"/>
      <c r="E17" s="477"/>
      <c r="F17" s="477"/>
      <c r="G17" s="477"/>
      <c r="H17" s="477"/>
      <c r="I17" s="477"/>
      <c r="J17" s="477"/>
      <c r="K17" s="477"/>
      <c r="L17" s="477"/>
      <c r="M17" s="467">
        <v>4389903</v>
      </c>
      <c r="N17" s="484"/>
    </row>
    <row r="18" spans="1:14" s="485" customFormat="1" ht="12.75" customHeight="1" x14ac:dyDescent="0.2">
      <c r="A18" s="482" t="s">
        <v>1404</v>
      </c>
      <c r="B18" s="483">
        <v>240</v>
      </c>
      <c r="C18" s="477"/>
      <c r="D18" s="477"/>
      <c r="E18" s="477"/>
      <c r="F18" s="477"/>
      <c r="G18" s="477"/>
      <c r="H18" s="477"/>
      <c r="I18" s="477"/>
      <c r="J18" s="477"/>
      <c r="K18" s="477"/>
      <c r="L18" s="477"/>
      <c r="M18" s="467">
        <v>4646</v>
      </c>
      <c r="N18" s="484"/>
    </row>
    <row r="19" spans="1:14" s="485" customFormat="1" ht="12.75" customHeight="1" x14ac:dyDescent="0.2">
      <c r="A19" s="482" t="s">
        <v>1405</v>
      </c>
      <c r="B19" s="483">
        <v>250</v>
      </c>
      <c r="C19" s="477"/>
      <c r="D19" s="477"/>
      <c r="E19" s="477"/>
      <c r="F19" s="477"/>
      <c r="G19" s="477"/>
      <c r="H19" s="477"/>
      <c r="I19" s="477"/>
      <c r="J19" s="477"/>
      <c r="K19" s="477"/>
      <c r="L19" s="477"/>
      <c r="M19" s="467">
        <v>256606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15768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3184232</v>
      </c>
    </row>
    <row r="23" spans="1:14" ht="13.5" customHeight="1" thickBot="1" x14ac:dyDescent="0.25">
      <c r="A23" s="1736" t="s">
        <v>643</v>
      </c>
      <c r="B23" s="1741"/>
      <c r="C23" s="468"/>
      <c r="D23" s="468"/>
      <c r="E23" s="468"/>
      <c r="F23" s="468"/>
      <c r="G23" s="468"/>
      <c r="H23" s="468"/>
      <c r="I23" s="468"/>
      <c r="J23" s="468"/>
      <c r="K23" s="468"/>
      <c r="L23" s="468"/>
      <c r="M23" s="1688">
        <f>SUM(M15:M22)</f>
        <v>4811455</v>
      </c>
      <c r="N23" s="1688">
        <f>SUM(N21:N22)</f>
        <v>3200000</v>
      </c>
    </row>
    <row r="24" spans="1:14" ht="18" customHeight="1" thickTop="1" x14ac:dyDescent="0.2">
      <c r="A24" s="2119" t="s">
        <v>598</v>
      </c>
      <c r="B24" s="212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v>491</v>
      </c>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491</v>
      </c>
      <c r="H34" s="1740">
        <f t="shared" si="1"/>
        <v>0</v>
      </c>
      <c r="I34" s="1740">
        <f t="shared" si="1"/>
        <v>0</v>
      </c>
      <c r="J34" s="1740">
        <f t="shared" si="1"/>
        <v>0</v>
      </c>
      <c r="K34" s="1740">
        <f t="shared" si="1"/>
        <v>0</v>
      </c>
      <c r="L34" s="1721">
        <f>SUM(L33)</f>
        <v>0</v>
      </c>
      <c r="M34" s="468"/>
      <c r="N34" s="480"/>
    </row>
    <row r="35" spans="1:14" ht="18" customHeight="1" thickTop="1" x14ac:dyDescent="0.2">
      <c r="A35" s="2121" t="s">
        <v>529</v>
      </c>
      <c r="B35" s="212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3200000</v>
      </c>
    </row>
    <row r="37" spans="1:14" ht="13.5" thickBot="1" x14ac:dyDescent="0.25">
      <c r="A37" s="1736" t="s">
        <v>653</v>
      </c>
      <c r="B37" s="1741"/>
      <c r="C37" s="477"/>
      <c r="D37" s="477"/>
      <c r="E37" s="477"/>
      <c r="F37" s="477"/>
      <c r="G37" s="477"/>
      <c r="H37" s="477"/>
      <c r="I37" s="477"/>
      <c r="J37" s="477"/>
      <c r="K37" s="477"/>
      <c r="L37" s="480"/>
      <c r="M37" s="468"/>
      <c r="N37" s="1688">
        <f>SUM(N36:N36)</f>
        <v>3200000</v>
      </c>
    </row>
    <row r="38" spans="1:14" s="329" customFormat="1" ht="13.5" customHeight="1" thickTop="1" x14ac:dyDescent="0.2">
      <c r="A38" s="496" t="s">
        <v>420</v>
      </c>
      <c r="B38" s="483">
        <v>714</v>
      </c>
      <c r="C38" s="466">
        <v>309092</v>
      </c>
      <c r="D38" s="466"/>
      <c r="E38" s="466"/>
      <c r="F38" s="466"/>
      <c r="G38" s="466">
        <v>233402</v>
      </c>
      <c r="H38" s="466"/>
      <c r="I38" s="466"/>
      <c r="J38" s="467"/>
      <c r="K38" s="466"/>
      <c r="L38" s="481"/>
      <c r="M38" s="497"/>
      <c r="N38" s="497"/>
    </row>
    <row r="39" spans="1:14" s="329" customFormat="1" ht="13.5" customHeight="1" x14ac:dyDescent="0.2">
      <c r="A39" s="496" t="s">
        <v>342</v>
      </c>
      <c r="B39" s="483">
        <v>730</v>
      </c>
      <c r="C39" s="466">
        <v>3059032</v>
      </c>
      <c r="D39" s="466">
        <v>701415</v>
      </c>
      <c r="E39" s="466">
        <v>15768</v>
      </c>
      <c r="F39" s="466">
        <v>563784</v>
      </c>
      <c r="G39" s="466"/>
      <c r="H39" s="466"/>
      <c r="I39" s="466">
        <v>100287</v>
      </c>
      <c r="J39" s="467">
        <v>145015</v>
      </c>
      <c r="K39" s="466">
        <v>80626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4811455</v>
      </c>
      <c r="N40" s="497"/>
    </row>
    <row r="41" spans="1:14" ht="13.5" customHeight="1" thickBot="1" x14ac:dyDescent="0.25">
      <c r="A41" s="1736" t="s">
        <v>655</v>
      </c>
      <c r="B41" s="1706"/>
      <c r="C41" s="1688">
        <f>(SUM(C34,C37,C38,C39))</f>
        <v>3368124</v>
      </c>
      <c r="D41" s="1688">
        <f t="shared" ref="D41:L41" si="2">SUM(D34,D37,D38:D39)</f>
        <v>701415</v>
      </c>
      <c r="E41" s="1688">
        <f t="shared" si="2"/>
        <v>15768</v>
      </c>
      <c r="F41" s="1688">
        <f t="shared" si="2"/>
        <v>563784</v>
      </c>
      <c r="G41" s="1688">
        <f t="shared" si="2"/>
        <v>233893</v>
      </c>
      <c r="H41" s="1688">
        <f t="shared" si="2"/>
        <v>0</v>
      </c>
      <c r="I41" s="1688">
        <f t="shared" si="2"/>
        <v>100287</v>
      </c>
      <c r="J41" s="1688">
        <f t="shared" si="2"/>
        <v>145015</v>
      </c>
      <c r="K41" s="1688">
        <f t="shared" si="2"/>
        <v>80626</v>
      </c>
      <c r="L41" s="1688">
        <f t="shared" si="2"/>
        <v>0</v>
      </c>
      <c r="M41" s="1688">
        <f>SUM(M40)</f>
        <v>4811455</v>
      </c>
      <c r="N41" s="1688">
        <f>SUM(N37)</f>
        <v>3200000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51" activePane="bottomLeft" state="frozen"/>
      <selection pane="bottomLeft" activeCell="I81" sqref="I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3"/>
      <c r="D3" s="1574"/>
      <c r="E3" s="1574"/>
      <c r="F3" s="1574"/>
      <c r="G3" s="1574"/>
      <c r="H3" s="1574"/>
      <c r="I3" s="1574"/>
      <c r="J3" s="1574"/>
      <c r="K3" s="1575"/>
      <c r="L3" s="506"/>
    </row>
    <row r="4" spans="1:13" ht="15.75" customHeight="1" x14ac:dyDescent="0.2">
      <c r="A4" s="1928" t="s">
        <v>1499</v>
      </c>
      <c r="B4" s="1929">
        <v>1000</v>
      </c>
      <c r="C4" s="1742">
        <f>'Revenues 9-14'!C109</f>
        <v>2832009</v>
      </c>
      <c r="D4" s="1742">
        <f>'Revenues 9-14'!D109</f>
        <v>427368</v>
      </c>
      <c r="E4" s="1742">
        <f>'Revenues 9-14'!E109</f>
        <v>372594</v>
      </c>
      <c r="F4" s="1742">
        <f>'Revenues 9-14'!F109</f>
        <v>120073</v>
      </c>
      <c r="G4" s="1742">
        <f>'Revenues 9-14'!G109</f>
        <v>136311</v>
      </c>
      <c r="H4" s="1742">
        <f>'Revenues 9-14'!H109</f>
        <v>0</v>
      </c>
      <c r="I4" s="1742">
        <f>'Revenues 9-14'!I109</f>
        <v>29633</v>
      </c>
      <c r="J4" s="1742">
        <f>'Revenues 9-14'!J109</f>
        <v>152476</v>
      </c>
      <c r="K4" s="1742">
        <f>'Revenues 9-14'!K109</f>
        <v>29411</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1421234</v>
      </c>
      <c r="D6" s="1743">
        <f>'Revenues 9-14'!D170</f>
        <v>0</v>
      </c>
      <c r="E6" s="1743">
        <f>'Revenues 9-14'!E170</f>
        <v>0</v>
      </c>
      <c r="F6" s="1743">
        <f>'Revenues 9-14'!F170</f>
        <v>100425</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341817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4595060</v>
      </c>
      <c r="D8" s="1688">
        <f t="shared" ref="D8:K8" si="0">SUM(D4:D7)</f>
        <v>427368</v>
      </c>
      <c r="E8" s="1688">
        <f t="shared" si="0"/>
        <v>372594</v>
      </c>
      <c r="F8" s="1688">
        <f t="shared" si="0"/>
        <v>220498</v>
      </c>
      <c r="G8" s="1688">
        <f t="shared" si="0"/>
        <v>136311</v>
      </c>
      <c r="H8" s="1688">
        <f t="shared" si="0"/>
        <v>0</v>
      </c>
      <c r="I8" s="1688">
        <f t="shared" si="0"/>
        <v>29633</v>
      </c>
      <c r="J8" s="1688">
        <f t="shared" si="0"/>
        <v>152476</v>
      </c>
      <c r="K8" s="1688">
        <f t="shared" si="0"/>
        <v>29411</v>
      </c>
      <c r="L8" s="347"/>
    </row>
    <row r="9" spans="1:13" ht="15.75" thickTop="1" x14ac:dyDescent="0.2">
      <c r="A9" s="514" t="s">
        <v>1653</v>
      </c>
      <c r="B9" s="515">
        <v>3998</v>
      </c>
      <c r="C9" s="481">
        <v>253261</v>
      </c>
      <c r="D9" s="516"/>
      <c r="E9" s="481"/>
      <c r="F9" s="481"/>
      <c r="G9" s="517"/>
      <c r="H9" s="481"/>
      <c r="I9" s="509" t="s">
        <v>1169</v>
      </c>
      <c r="J9" s="478"/>
      <c r="K9" s="481"/>
      <c r="L9" s="347"/>
    </row>
    <row r="10" spans="1:13" s="519" customFormat="1" ht="13.5" thickBot="1" x14ac:dyDescent="0.25">
      <c r="A10" s="1736" t="s">
        <v>1173</v>
      </c>
      <c r="B10" s="1709"/>
      <c r="C10" s="1688">
        <f>SUM(C8:C9)</f>
        <v>4848321</v>
      </c>
      <c r="D10" s="1688">
        <f t="shared" ref="D10:K10" si="1">SUM(D8:D9)</f>
        <v>427368</v>
      </c>
      <c r="E10" s="1688">
        <f t="shared" si="1"/>
        <v>372594</v>
      </c>
      <c r="F10" s="1688">
        <f t="shared" si="1"/>
        <v>220498</v>
      </c>
      <c r="G10" s="1688">
        <f t="shared" si="1"/>
        <v>136311</v>
      </c>
      <c r="H10" s="1688">
        <f t="shared" si="1"/>
        <v>0</v>
      </c>
      <c r="I10" s="1688">
        <f t="shared" si="1"/>
        <v>29633</v>
      </c>
      <c r="J10" s="1688">
        <f t="shared" si="1"/>
        <v>152476</v>
      </c>
      <c r="K10" s="1688">
        <f t="shared" si="1"/>
        <v>29411</v>
      </c>
      <c r="L10" s="518"/>
    </row>
    <row r="11" spans="1:13" s="519" customFormat="1" ht="16.7" customHeight="1" thickTop="1" x14ac:dyDescent="0.2">
      <c r="A11" s="2117" t="s">
        <v>1176</v>
      </c>
      <c r="B11" s="2118"/>
      <c r="C11" s="1570"/>
      <c r="D11" s="1571"/>
      <c r="E11" s="1571"/>
      <c r="F11" s="1571"/>
      <c r="G11" s="1571"/>
      <c r="H11" s="1571"/>
      <c r="I11" s="1571"/>
      <c r="J11" s="1571"/>
      <c r="K11" s="1572"/>
      <c r="L11" s="518"/>
    </row>
    <row r="12" spans="1:13" ht="15.75" customHeight="1" x14ac:dyDescent="0.2">
      <c r="A12" s="1576" t="s">
        <v>456</v>
      </c>
      <c r="B12" s="1578">
        <v>1000</v>
      </c>
      <c r="C12" s="1742">
        <f>'Expenditures 15-22'!K33</f>
        <v>2689442</v>
      </c>
      <c r="D12" s="520" t="s">
        <v>1169</v>
      </c>
      <c r="E12" s="468" t="s">
        <v>1169</v>
      </c>
      <c r="F12" s="468" t="s">
        <v>1169</v>
      </c>
      <c r="G12" s="1742">
        <f>'Expenditures 15-22'!K229</f>
        <v>49200</v>
      </c>
      <c r="H12" s="521"/>
      <c r="I12" s="468" t="s">
        <v>1169</v>
      </c>
      <c r="J12" s="468" t="s">
        <v>1169</v>
      </c>
      <c r="K12" s="521" t="s">
        <v>1169</v>
      </c>
      <c r="L12" s="347"/>
    </row>
    <row r="13" spans="1:13" ht="15.75" customHeight="1" x14ac:dyDescent="0.2">
      <c r="A13" s="1576" t="s">
        <v>457</v>
      </c>
      <c r="B13" s="1578">
        <v>2000</v>
      </c>
      <c r="C13" s="1743">
        <f>'Expenditures 15-22'!K74</f>
        <v>1231644</v>
      </c>
      <c r="D13" s="1743">
        <f>'Expenditures 15-22'!K129</f>
        <v>403360</v>
      </c>
      <c r="E13" s="469" t="s">
        <v>1169</v>
      </c>
      <c r="F13" s="1743">
        <f>'Expenditures 15-22'!K184</f>
        <v>164581</v>
      </c>
      <c r="G13" s="1743">
        <f>'Expenditures 15-22'!K279</f>
        <v>60096</v>
      </c>
      <c r="H13" s="1743">
        <f>'Expenditures 15-22'!K303</f>
        <v>0</v>
      </c>
      <c r="I13" s="468" t="s">
        <v>1169</v>
      </c>
      <c r="J13" s="1743">
        <f>'Expenditures 15-22'!K330</f>
        <v>172299</v>
      </c>
      <c r="K13" s="1747">
        <f>'Expenditures 15-22'!K352</f>
        <v>0</v>
      </c>
      <c r="L13" s="347"/>
    </row>
    <row r="14" spans="1:13" ht="15.75" customHeight="1" x14ac:dyDescent="0.2">
      <c r="A14" s="1576" t="s">
        <v>449</v>
      </c>
      <c r="B14" s="1578">
        <v>3000</v>
      </c>
      <c r="C14" s="1743">
        <f>'Expenditures 15-22'!K75</f>
        <v>20850</v>
      </c>
      <c r="D14" s="1743">
        <f>'Expenditures 15-22'!K130</f>
        <v>0</v>
      </c>
      <c r="E14" s="520" t="s">
        <v>1169</v>
      </c>
      <c r="F14" s="1743">
        <f>'Expenditures 15-22'!K185</f>
        <v>0</v>
      </c>
      <c r="G14" s="1743">
        <f>'Expenditures 15-22'!K280</f>
        <v>1870</v>
      </c>
      <c r="H14" s="512"/>
      <c r="I14" s="468" t="s">
        <v>1169</v>
      </c>
      <c r="J14" s="468" t="s">
        <v>1169</v>
      </c>
      <c r="K14" s="512" t="s">
        <v>1169</v>
      </c>
      <c r="L14" s="347"/>
    </row>
    <row r="15" spans="1:13" ht="15.75" customHeight="1" x14ac:dyDescent="0.2">
      <c r="A15" s="1576" t="s">
        <v>107</v>
      </c>
      <c r="B15" s="1578">
        <v>4000</v>
      </c>
      <c r="C15" s="1743">
        <f>'Expenditures 15-22'!K102</f>
        <v>172166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428403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4114102</v>
      </c>
      <c r="D17" s="1688">
        <f t="shared" si="2"/>
        <v>403360</v>
      </c>
      <c r="E17" s="1688">
        <f t="shared" si="2"/>
        <v>428403</v>
      </c>
      <c r="F17" s="1688">
        <f t="shared" si="2"/>
        <v>164581</v>
      </c>
      <c r="G17" s="1688">
        <f t="shared" si="2"/>
        <v>111166</v>
      </c>
      <c r="H17" s="1688">
        <f t="shared" si="2"/>
        <v>0</v>
      </c>
      <c r="I17" s="468"/>
      <c r="J17" s="1688">
        <f>SUM(J12:J16)</f>
        <v>172299</v>
      </c>
      <c r="K17" s="1688">
        <f>SUM(K12:K16)</f>
        <v>0</v>
      </c>
      <c r="L17" s="347"/>
    </row>
    <row r="18" spans="1:12" ht="15" customHeight="1" thickTop="1" x14ac:dyDescent="0.2">
      <c r="A18" s="1744" t="s">
        <v>1654</v>
      </c>
      <c r="B18" s="1745">
        <v>4180</v>
      </c>
      <c r="C18" s="1742">
        <f t="shared" ref="C18:H18" si="3">C9</f>
        <v>253261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4367363</v>
      </c>
      <c r="D19" s="1688">
        <f t="shared" si="4"/>
        <v>403360</v>
      </c>
      <c r="E19" s="1688">
        <f t="shared" si="4"/>
        <v>428403</v>
      </c>
      <c r="F19" s="1688">
        <f t="shared" si="4"/>
        <v>164581</v>
      </c>
      <c r="G19" s="1688">
        <f t="shared" si="4"/>
        <v>111166</v>
      </c>
      <c r="H19" s="1688">
        <f t="shared" si="4"/>
        <v>0</v>
      </c>
      <c r="I19" s="468"/>
      <c r="J19" s="1688">
        <f>SUM(J17:J18)</f>
        <v>172299</v>
      </c>
      <c r="K19" s="1688">
        <f>SUM(K17:K18)</f>
        <v>0</v>
      </c>
      <c r="L19" s="347"/>
    </row>
    <row r="20" spans="1:12" ht="16.5" thickTop="1" thickBot="1" x14ac:dyDescent="0.25">
      <c r="A20" s="2133" t="s">
        <v>1655</v>
      </c>
      <c r="B20" s="2134"/>
      <c r="C20" s="1746">
        <f>C8-C17</f>
        <v>480958</v>
      </c>
      <c r="D20" s="1746">
        <f t="shared" ref="D20:K20" si="5">D8-D17</f>
        <v>24008</v>
      </c>
      <c r="E20" s="1746">
        <f t="shared" si="5"/>
        <v>-55809</v>
      </c>
      <c r="F20" s="1746">
        <f t="shared" si="5"/>
        <v>55917</v>
      </c>
      <c r="G20" s="1746">
        <f t="shared" si="5"/>
        <v>25145</v>
      </c>
      <c r="H20" s="1746">
        <f t="shared" si="5"/>
        <v>0</v>
      </c>
      <c r="I20" s="1746">
        <f t="shared" si="5"/>
        <v>29633</v>
      </c>
      <c r="J20" s="1746">
        <f t="shared" si="5"/>
        <v>-19823</v>
      </c>
      <c r="K20" s="1746">
        <f t="shared" si="5"/>
        <v>29411</v>
      </c>
      <c r="L20" s="347"/>
    </row>
    <row r="21" spans="1:12" ht="16.7" customHeight="1" thickTop="1" x14ac:dyDescent="0.2">
      <c r="A21" s="2145" t="s">
        <v>595</v>
      </c>
      <c r="B21" s="2146"/>
      <c r="C21" s="1570"/>
      <c r="D21" s="1571"/>
      <c r="E21" s="1571"/>
      <c r="F21" s="1571"/>
      <c r="G21" s="1571"/>
      <c r="H21" s="1571"/>
      <c r="I21" s="1571"/>
      <c r="J21" s="1571"/>
      <c r="K21" s="1572"/>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v>36743</v>
      </c>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7" t="s">
        <v>374</v>
      </c>
      <c r="B44" s="2148"/>
      <c r="C44" s="1703">
        <f>SUM(C24:C43)</f>
        <v>0</v>
      </c>
      <c r="D44" s="1703">
        <f t="shared" ref="D44:K44" si="6">SUM(D24:D43)</f>
        <v>0</v>
      </c>
      <c r="E44" s="1703">
        <f t="shared" si="6"/>
        <v>0</v>
      </c>
      <c r="F44" s="1703">
        <f t="shared" si="6"/>
        <v>0</v>
      </c>
      <c r="G44" s="1703">
        <f t="shared" si="6"/>
        <v>0</v>
      </c>
      <c r="H44" s="1703">
        <f t="shared" si="6"/>
        <v>0</v>
      </c>
      <c r="I44" s="1703">
        <f t="shared" si="6"/>
        <v>36743</v>
      </c>
      <c r="J44" s="1703">
        <f t="shared" si="6"/>
        <v>0</v>
      </c>
      <c r="K44" s="1703">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v>36743</v>
      </c>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3" t="s">
        <v>440</v>
      </c>
      <c r="B76" s="2124"/>
      <c r="C76" s="1703">
        <f t="shared" ref="C76:K76" si="7">SUM(C47:C75)</f>
        <v>36743</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5" t="s">
        <v>1177</v>
      </c>
      <c r="B77" s="2126"/>
      <c r="C77" s="1703">
        <f t="shared" ref="C77:K77" si="8">C44-C76</f>
        <v>-36743</v>
      </c>
      <c r="D77" s="1703">
        <f t="shared" si="8"/>
        <v>0</v>
      </c>
      <c r="E77" s="1703">
        <f t="shared" si="8"/>
        <v>0</v>
      </c>
      <c r="F77" s="1703">
        <f t="shared" si="8"/>
        <v>0</v>
      </c>
      <c r="G77" s="1703">
        <f t="shared" si="8"/>
        <v>0</v>
      </c>
      <c r="H77" s="1703">
        <f t="shared" si="8"/>
        <v>0</v>
      </c>
      <c r="I77" s="1703">
        <f t="shared" si="8"/>
        <v>36743</v>
      </c>
      <c r="J77" s="1703">
        <f t="shared" si="8"/>
        <v>0</v>
      </c>
      <c r="K77" s="1703">
        <f t="shared" si="8"/>
        <v>0</v>
      </c>
      <c r="L77" s="347"/>
    </row>
    <row r="78" spans="1:12" ht="21.75" customHeight="1" thickTop="1" thickBot="1" x14ac:dyDescent="0.25">
      <c r="A78" s="2129" t="s">
        <v>597</v>
      </c>
      <c r="B78" s="2130"/>
      <c r="C78" s="1702">
        <f t="shared" ref="C78:K78" si="9">C20+C77</f>
        <v>444215</v>
      </c>
      <c r="D78" s="1702">
        <f t="shared" si="9"/>
        <v>24008</v>
      </c>
      <c r="E78" s="1702">
        <f t="shared" si="9"/>
        <v>-55809</v>
      </c>
      <c r="F78" s="1702">
        <f t="shared" si="9"/>
        <v>55917</v>
      </c>
      <c r="G78" s="1702">
        <f t="shared" si="9"/>
        <v>25145</v>
      </c>
      <c r="H78" s="1702">
        <f t="shared" si="9"/>
        <v>0</v>
      </c>
      <c r="I78" s="1702">
        <f t="shared" si="9"/>
        <v>66376</v>
      </c>
      <c r="J78" s="1702">
        <f t="shared" si="9"/>
        <v>-19823</v>
      </c>
      <c r="K78" s="1702">
        <f t="shared" si="9"/>
        <v>29411</v>
      </c>
      <c r="L78" s="533"/>
    </row>
    <row r="79" spans="1:12" ht="13.5" thickTop="1" x14ac:dyDescent="0.2">
      <c r="A79" s="1494" t="s">
        <v>1947</v>
      </c>
      <c r="B79" s="534"/>
      <c r="C79" s="478">
        <v>2923909</v>
      </c>
      <c r="D79" s="535">
        <v>677407</v>
      </c>
      <c r="E79" s="535">
        <v>71577</v>
      </c>
      <c r="F79" s="535">
        <v>507867</v>
      </c>
      <c r="G79" s="535">
        <v>208257</v>
      </c>
      <c r="H79" s="535"/>
      <c r="I79" s="535">
        <v>33911</v>
      </c>
      <c r="J79" s="535">
        <v>164838</v>
      </c>
      <c r="K79" s="535">
        <v>51215</v>
      </c>
      <c r="L79" s="347"/>
    </row>
    <row r="80" spans="1:12" x14ac:dyDescent="0.2">
      <c r="A80" s="2135" t="s">
        <v>1795</v>
      </c>
      <c r="B80" s="2136"/>
      <c r="C80" s="467"/>
      <c r="D80" s="467"/>
      <c r="E80" s="467"/>
      <c r="F80" s="467"/>
      <c r="G80" s="467"/>
      <c r="H80" s="467"/>
      <c r="I80" s="467"/>
      <c r="J80" s="467"/>
      <c r="K80" s="467"/>
      <c r="L80" s="347"/>
    </row>
    <row r="81" spans="1:12" ht="13.5" thickBot="1" x14ac:dyDescent="0.25">
      <c r="A81" s="2127" t="s">
        <v>1948</v>
      </c>
      <c r="B81" s="2128"/>
      <c r="C81" s="1688">
        <f>(SUM(C78:C80))</f>
        <v>3368124</v>
      </c>
      <c r="D81" s="1688">
        <f>SUM(D78:D80)</f>
        <v>701415</v>
      </c>
      <c r="E81" s="1688">
        <f t="shared" ref="E81:K81" si="10">SUM(E78:E80)</f>
        <v>15768</v>
      </c>
      <c r="F81" s="1688">
        <f t="shared" si="10"/>
        <v>563784</v>
      </c>
      <c r="G81" s="1688">
        <f t="shared" si="10"/>
        <v>233402</v>
      </c>
      <c r="H81" s="1688">
        <f t="shared" si="10"/>
        <v>0</v>
      </c>
      <c r="I81" s="1688">
        <f t="shared" si="10"/>
        <v>100287</v>
      </c>
      <c r="J81" s="1688">
        <f t="shared" si="10"/>
        <v>145015</v>
      </c>
      <c r="K81" s="1688">
        <f t="shared" si="10"/>
        <v>80626</v>
      </c>
      <c r="L81" s="347"/>
    </row>
    <row r="82" spans="1:12" ht="0.75" customHeight="1" thickTop="1" thickBot="1" x14ac:dyDescent="0.25">
      <c r="A82" s="536" t="s">
        <v>343</v>
      </c>
      <c r="B82" s="537"/>
      <c r="C82" s="538">
        <f>(C81-C79)</f>
        <v>444215</v>
      </c>
      <c r="D82" s="538">
        <f t="shared" ref="D82:K82" si="11">(D81-D79)</f>
        <v>24008</v>
      </c>
      <c r="E82" s="538">
        <f t="shared" si="11"/>
        <v>-55809</v>
      </c>
      <c r="F82" s="538">
        <f t="shared" si="11"/>
        <v>55917</v>
      </c>
      <c r="G82" s="538">
        <f t="shared" si="11"/>
        <v>25145</v>
      </c>
      <c r="H82" s="538">
        <f t="shared" si="11"/>
        <v>0</v>
      </c>
      <c r="I82" s="538">
        <f t="shared" si="11"/>
        <v>66376</v>
      </c>
      <c r="J82" s="538">
        <f t="shared" si="11"/>
        <v>-19823</v>
      </c>
      <c r="K82" s="538">
        <f t="shared" si="11"/>
        <v>29411</v>
      </c>
    </row>
    <row r="83" spans="1:12" ht="14.25" hidden="1" thickTop="1" thickBot="1" x14ac:dyDescent="0.25">
      <c r="A83" s="539" t="s">
        <v>344</v>
      </c>
      <c r="B83" s="464"/>
      <c r="C83" s="540">
        <f>C82/C81</f>
        <v>0.13188795899438382</v>
      </c>
      <c r="D83" s="540">
        <f t="shared" ref="D83:K83" si="12">D82/D81</f>
        <v>3.4227953494008541E-2</v>
      </c>
      <c r="E83" s="540">
        <f t="shared" si="12"/>
        <v>-3.5393835616438358</v>
      </c>
      <c r="F83" s="540">
        <f t="shared" si="12"/>
        <v>9.9181601464390617E-2</v>
      </c>
      <c r="G83" s="540">
        <f t="shared" si="12"/>
        <v>0.10773258155457108</v>
      </c>
      <c r="H83" s="540" t="e">
        <f t="shared" si="12"/>
        <v>#DIV/0!</v>
      </c>
      <c r="I83" s="540">
        <f t="shared" si="12"/>
        <v>0.66186046047842695</v>
      </c>
      <c r="J83" s="540">
        <f t="shared" si="12"/>
        <v>-0.13669620384098197</v>
      </c>
      <c r="K83" s="540">
        <f t="shared" si="12"/>
        <v>0.364783072458016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pane ySplit="2" topLeftCell="A156" activePane="bottomLeft" state="frozen"/>
      <selection pane="bottomLeft" activeCell="C159" sqref="C1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1802</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2266111</v>
      </c>
      <c r="D5" s="481">
        <v>402308</v>
      </c>
      <c r="E5" s="466">
        <v>371389</v>
      </c>
      <c r="F5" s="548">
        <v>114308</v>
      </c>
      <c r="G5" s="466">
        <v>53986</v>
      </c>
      <c r="H5" s="466"/>
      <c r="I5" s="466">
        <v>28577</v>
      </c>
      <c r="J5" s="467">
        <v>150397</v>
      </c>
      <c r="K5" s="466">
        <v>28578</v>
      </c>
    </row>
    <row r="6" spans="1:12" ht="15" x14ac:dyDescent="0.2">
      <c r="A6" s="463" t="s">
        <v>1662</v>
      </c>
      <c r="B6" s="470">
        <v>1130</v>
      </c>
      <c r="C6" s="466">
        <v>28577</v>
      </c>
      <c r="D6" s="466"/>
      <c r="E6" s="475"/>
      <c r="F6" s="475"/>
      <c r="G6" s="468"/>
      <c r="H6" s="468"/>
      <c r="I6" s="468"/>
      <c r="J6" s="468"/>
      <c r="K6" s="468"/>
    </row>
    <row r="7" spans="1:12" x14ac:dyDescent="0.2">
      <c r="A7" s="463" t="s">
        <v>110</v>
      </c>
      <c r="B7" s="549">
        <v>1140</v>
      </c>
      <c r="C7" s="466">
        <v>22862</v>
      </c>
      <c r="D7" s="466"/>
      <c r="E7" s="468"/>
      <c r="F7" s="467"/>
      <c r="G7" s="467"/>
      <c r="H7" s="467"/>
      <c r="I7" s="468"/>
      <c r="J7" s="468"/>
      <c r="K7" s="468"/>
    </row>
    <row r="8" spans="1:12" x14ac:dyDescent="0.2">
      <c r="A8" s="463" t="s">
        <v>413</v>
      </c>
      <c r="B8" s="470">
        <v>1150</v>
      </c>
      <c r="C8" s="475"/>
      <c r="D8" s="475"/>
      <c r="E8" s="477"/>
      <c r="F8" s="477"/>
      <c r="G8" s="481">
        <v>80221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2317550</v>
      </c>
      <c r="D12" s="1707">
        <f t="shared" si="0"/>
        <v>402308</v>
      </c>
      <c r="E12" s="1707">
        <f t="shared" si="0"/>
        <v>371389</v>
      </c>
      <c r="F12" s="1707">
        <f t="shared" si="0"/>
        <v>114308</v>
      </c>
      <c r="G12" s="1707">
        <f t="shared" si="0"/>
        <v>134207</v>
      </c>
      <c r="H12" s="1707">
        <f t="shared" si="0"/>
        <v>0</v>
      </c>
      <c r="I12" s="1707">
        <f t="shared" si="0"/>
        <v>28577</v>
      </c>
      <c r="J12" s="1707">
        <f t="shared" si="0"/>
        <v>150397</v>
      </c>
      <c r="K12" s="1688">
        <f t="shared" si="0"/>
        <v>28578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149716</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149716</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72384</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72384</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52027</v>
      </c>
      <c r="D65" s="466">
        <v>10930</v>
      </c>
      <c r="E65" s="466">
        <v>1205</v>
      </c>
      <c r="F65" s="467">
        <v>5765</v>
      </c>
      <c r="G65" s="466">
        <v>2104</v>
      </c>
      <c r="H65" s="466"/>
      <c r="I65" s="466">
        <v>1056</v>
      </c>
      <c r="J65" s="467">
        <v>2079</v>
      </c>
      <c r="K65" s="466">
        <v>833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52027</v>
      </c>
      <c r="D67" s="1688">
        <f t="shared" ref="D67:K67" si="2">SUM(D65:D66)</f>
        <v>10930</v>
      </c>
      <c r="E67" s="1688">
        <f t="shared" si="2"/>
        <v>1205</v>
      </c>
      <c r="F67" s="1688">
        <f t="shared" si="2"/>
        <v>5765</v>
      </c>
      <c r="G67" s="1688">
        <f t="shared" si="2"/>
        <v>2104</v>
      </c>
      <c r="H67" s="1688">
        <f t="shared" si="2"/>
        <v>0</v>
      </c>
      <c r="I67" s="1688">
        <f t="shared" si="2"/>
        <v>1056</v>
      </c>
      <c r="J67" s="1688">
        <f t="shared" si="2"/>
        <v>2079</v>
      </c>
      <c r="K67" s="1688">
        <f t="shared" si="2"/>
        <v>833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61110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8872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69982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8127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8127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50445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50445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97506</v>
      </c>
      <c r="D95" s="551"/>
      <c r="E95" s="521"/>
      <c r="F95" s="521"/>
      <c r="G95" s="521"/>
      <c r="H95" s="521"/>
      <c r="I95" s="521"/>
      <c r="J95" s="521"/>
      <c r="K95" s="521"/>
    </row>
    <row r="96" spans="1:11" ht="12.75" customHeight="1" x14ac:dyDescent="0.2">
      <c r="A96" s="463" t="s">
        <v>391</v>
      </c>
      <c r="B96" s="470">
        <v>1920</v>
      </c>
      <c r="C96" s="551">
        <v>1351</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1153</v>
      </c>
      <c r="D99" s="466"/>
      <c r="E99" s="466"/>
      <c r="F99" s="466"/>
      <c r="G99" s="466"/>
      <c r="H99" s="466"/>
      <c r="I99" s="468"/>
      <c r="J99" s="467"/>
      <c r="K99" s="466"/>
    </row>
    <row r="100" spans="1:12" ht="12.75" customHeight="1" x14ac:dyDescent="0.2">
      <c r="A100" s="463" t="s">
        <v>245</v>
      </c>
      <c r="B100" s="470">
        <v>1960</v>
      </c>
      <c r="C100" s="489"/>
      <c r="D100" s="489">
        <v>14130</v>
      </c>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8950</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2818</v>
      </c>
      <c r="D107" s="466"/>
      <c r="E107" s="466"/>
      <c r="F107" s="466"/>
      <c r="G107" s="466"/>
      <c r="H107" s="466"/>
      <c r="I107" s="466"/>
      <c r="J107" s="467"/>
      <c r="K107" s="466"/>
    </row>
    <row r="108" spans="1:12" ht="12.75" customHeight="1" thickBot="1" x14ac:dyDescent="0.25">
      <c r="A108" s="1708" t="s">
        <v>487</v>
      </c>
      <c r="B108" s="1712"/>
      <c r="C108" s="1707">
        <f>SUM(C95:C107)</f>
        <v>111778</v>
      </c>
      <c r="D108" s="1707">
        <f t="shared" ref="D108:K108" si="3">SUM(D95:D107)</f>
        <v>14130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2832009</v>
      </c>
      <c r="D109" s="1715">
        <f t="shared" si="4"/>
        <v>427368</v>
      </c>
      <c r="E109" s="1715">
        <f t="shared" si="4"/>
        <v>372594</v>
      </c>
      <c r="F109" s="1715">
        <f t="shared" si="4"/>
        <v>120073</v>
      </c>
      <c r="G109" s="1715">
        <f t="shared" si="4"/>
        <v>136311</v>
      </c>
      <c r="H109" s="1715">
        <f t="shared" si="4"/>
        <v>0</v>
      </c>
      <c r="I109" s="1715">
        <f t="shared" si="4"/>
        <v>29633</v>
      </c>
      <c r="J109" s="1715">
        <f t="shared" si="4"/>
        <v>152476</v>
      </c>
      <c r="K109" s="1702">
        <f t="shared" si="4"/>
        <v>29411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1367363</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1367363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12571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12571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4582</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6536</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11118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2470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5270</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38096</v>
      </c>
      <c r="G152" s="467"/>
      <c r="H152" s="468"/>
      <c r="I152" s="468"/>
      <c r="J152" s="468"/>
      <c r="K152" s="468"/>
    </row>
    <row r="153" spans="1:11" ht="12.75" customHeight="1" x14ac:dyDescent="0.2">
      <c r="A153" s="463" t="s">
        <v>1057</v>
      </c>
      <c r="B153" s="562">
        <v>3510</v>
      </c>
      <c r="C153" s="551"/>
      <c r="D153" s="466"/>
      <c r="E153" s="561"/>
      <c r="F153" s="466">
        <v>62329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100425</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21819</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623</v>
      </c>
      <c r="D168" s="580"/>
      <c r="E168" s="580"/>
      <c r="F168" s="580"/>
      <c r="G168" s="581"/>
      <c r="H168" s="582"/>
      <c r="I168" s="581"/>
      <c r="J168" s="581"/>
      <c r="K168" s="582"/>
    </row>
    <row r="169" spans="1:11" ht="12.75" customHeight="1" thickTop="1" thickBot="1" x14ac:dyDescent="0.25">
      <c r="A169" s="2151" t="s">
        <v>398</v>
      </c>
      <c r="B169" s="2152"/>
      <c r="C169" s="1722">
        <f t="shared" ref="C169:K169" si="6">SUM(C132,C141,C145,C146:C150,C155,C156:C167,C168)</f>
        <v>53871</v>
      </c>
      <c r="D169" s="1722">
        <f t="shared" si="6"/>
        <v>0</v>
      </c>
      <c r="E169" s="1722">
        <f t="shared" si="6"/>
        <v>0</v>
      </c>
      <c r="F169" s="1722">
        <f t="shared" si="6"/>
        <v>100425</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1421234</v>
      </c>
      <c r="D170" s="1715">
        <f t="shared" si="7"/>
        <v>0</v>
      </c>
      <c r="E170" s="1715">
        <f t="shared" si="7"/>
        <v>0</v>
      </c>
      <c r="F170" s="1715">
        <f t="shared" si="7"/>
        <v>100425</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v>42067</v>
      </c>
      <c r="D174" s="466"/>
      <c r="E174" s="467"/>
      <c r="F174" s="466"/>
      <c r="G174" s="466"/>
      <c r="H174" s="467"/>
      <c r="I174" s="467"/>
      <c r="J174" s="467"/>
      <c r="K174" s="467"/>
    </row>
    <row r="175" spans="1:11" ht="13.5" thickBot="1" x14ac:dyDescent="0.25">
      <c r="A175" s="2157" t="s">
        <v>1665</v>
      </c>
      <c r="B175" s="2158"/>
      <c r="C175" s="1707">
        <f>SUM(C173:C174)</f>
        <v>42067</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30505</v>
      </c>
      <c r="D180" s="466"/>
      <c r="E180" s="468"/>
      <c r="F180" s="466"/>
      <c r="G180" s="466"/>
      <c r="H180" s="466"/>
      <c r="I180" s="468"/>
      <c r="J180" s="468"/>
      <c r="K180" s="466"/>
    </row>
    <row r="181" spans="1:11" ht="13.5" thickBot="1" x14ac:dyDescent="0.25">
      <c r="A181" s="2159" t="s">
        <v>785</v>
      </c>
      <c r="B181" s="2160"/>
      <c r="C181" s="1707">
        <f>SUM(C177:C180)</f>
        <v>30505</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5" t="s">
        <v>1803</v>
      </c>
      <c r="B182" s="215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70498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16455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86953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146435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146435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v>500</v>
      </c>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18324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17033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269245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341817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4595060</v>
      </c>
      <c r="D268" s="1715">
        <f t="shared" si="12"/>
        <v>427368</v>
      </c>
      <c r="E268" s="1715">
        <f t="shared" si="12"/>
        <v>372594</v>
      </c>
      <c r="F268" s="1715">
        <f t="shared" si="12"/>
        <v>220498</v>
      </c>
      <c r="G268" s="1715">
        <f t="shared" si="12"/>
        <v>136311</v>
      </c>
      <c r="H268" s="1715">
        <f t="shared" si="12"/>
        <v>0</v>
      </c>
      <c r="I268" s="1715">
        <f t="shared" si="12"/>
        <v>29633</v>
      </c>
      <c r="J268" s="1715">
        <f t="shared" si="12"/>
        <v>152476</v>
      </c>
      <c r="K268" s="1702">
        <f t="shared" si="12"/>
        <v>29411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315" activePane="bottomLeft" state="frozen"/>
      <selection pane="bottomLeft" activeCell="L326" sqref="L32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9" t="s">
        <v>297</v>
      </c>
      <c r="B3" s="217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1402817</v>
      </c>
      <c r="D5" s="466">
        <v>320609</v>
      </c>
      <c r="E5" s="466">
        <v>13452</v>
      </c>
      <c r="F5" s="466">
        <v>115512</v>
      </c>
      <c r="G5" s="466"/>
      <c r="H5" s="466">
        <v>2187</v>
      </c>
      <c r="I5" s="467"/>
      <c r="J5" s="467"/>
      <c r="K5" s="1671">
        <f>SUM(C5:J5)</f>
        <v>1854577</v>
      </c>
      <c r="L5" s="466">
        <v>1850028</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30268</v>
      </c>
      <c r="D7" s="467">
        <v>8369</v>
      </c>
      <c r="E7" s="467"/>
      <c r="F7" s="467">
        <v>732</v>
      </c>
      <c r="G7" s="467"/>
      <c r="H7" s="467"/>
      <c r="I7" s="467"/>
      <c r="J7" s="467"/>
      <c r="K7" s="1671">
        <f t="shared" ref="K7:K32" si="0">SUM(C7:J7)</f>
        <v>39369</v>
      </c>
      <c r="L7" s="466">
        <v>42897</v>
      </c>
    </row>
    <row r="8" spans="1:14" x14ac:dyDescent="0.2">
      <c r="A8" s="1504" t="s">
        <v>164</v>
      </c>
      <c r="B8" s="614">
        <v>1200</v>
      </c>
      <c r="C8" s="466">
        <v>268637</v>
      </c>
      <c r="D8" s="466">
        <v>80876</v>
      </c>
      <c r="E8" s="466">
        <v>14001</v>
      </c>
      <c r="F8" s="466">
        <v>355</v>
      </c>
      <c r="G8" s="466"/>
      <c r="H8" s="466"/>
      <c r="I8" s="467"/>
      <c r="J8" s="467"/>
      <c r="K8" s="1671">
        <f t="shared" si="0"/>
        <v>363869</v>
      </c>
      <c r="L8" s="466">
        <v>470113</v>
      </c>
    </row>
    <row r="9" spans="1:14" x14ac:dyDescent="0.2">
      <c r="A9" s="1504" t="s">
        <v>721</v>
      </c>
      <c r="B9" s="614" t="s">
        <v>968</v>
      </c>
      <c r="C9" s="467">
        <v>128165</v>
      </c>
      <c r="D9" s="467">
        <v>42676</v>
      </c>
      <c r="E9" s="467">
        <v>1628</v>
      </c>
      <c r="F9" s="467">
        <v>1294</v>
      </c>
      <c r="G9" s="467"/>
      <c r="H9" s="467"/>
      <c r="I9" s="467"/>
      <c r="J9" s="467"/>
      <c r="K9" s="1671">
        <f t="shared" si="0"/>
        <v>173763</v>
      </c>
      <c r="L9" s="466">
        <v>72998</v>
      </c>
    </row>
    <row r="10" spans="1:14" x14ac:dyDescent="0.2">
      <c r="A10" s="1504" t="s">
        <v>722</v>
      </c>
      <c r="B10" s="614">
        <v>1250</v>
      </c>
      <c r="C10" s="466">
        <v>35383</v>
      </c>
      <c r="D10" s="466">
        <v>9674</v>
      </c>
      <c r="E10" s="466">
        <v>9420</v>
      </c>
      <c r="F10" s="466">
        <v>54758</v>
      </c>
      <c r="G10" s="466"/>
      <c r="H10" s="466">
        <v>860</v>
      </c>
      <c r="I10" s="467"/>
      <c r="J10" s="467"/>
      <c r="K10" s="1671">
        <f t="shared" si="0"/>
        <v>110095</v>
      </c>
      <c r="L10" s="466">
        <v>107890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71038</v>
      </c>
      <c r="D14" s="466">
        <v>6944</v>
      </c>
      <c r="E14" s="466">
        <v>17858</v>
      </c>
      <c r="F14" s="466">
        <v>33748</v>
      </c>
      <c r="G14" s="466"/>
      <c r="H14" s="466">
        <v>7065</v>
      </c>
      <c r="I14" s="467"/>
      <c r="J14" s="467"/>
      <c r="K14" s="1671">
        <f t="shared" si="0"/>
        <v>136653</v>
      </c>
      <c r="L14" s="466">
        <v>138815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8451</v>
      </c>
      <c r="D17" s="467">
        <v>2665</v>
      </c>
      <c r="E17" s="467"/>
      <c r="F17" s="467"/>
      <c r="G17" s="467"/>
      <c r="H17" s="467"/>
      <c r="I17" s="467"/>
      <c r="J17" s="467"/>
      <c r="K17" s="1671">
        <f t="shared" si="0"/>
        <v>11116</v>
      </c>
      <c r="L17" s="466">
        <v>11044</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1944759</v>
      </c>
      <c r="D33" s="1670">
        <f t="shared" ref="D33:L33" si="1">SUM(D5:D32)</f>
        <v>471813</v>
      </c>
      <c r="E33" s="1670">
        <f t="shared" si="1"/>
        <v>56359</v>
      </c>
      <c r="F33" s="1670">
        <f t="shared" si="1"/>
        <v>206399</v>
      </c>
      <c r="G33" s="1670">
        <f t="shared" si="1"/>
        <v>0</v>
      </c>
      <c r="H33" s="1670">
        <f t="shared" si="1"/>
        <v>10112</v>
      </c>
      <c r="I33" s="1670">
        <f t="shared" si="1"/>
        <v>0</v>
      </c>
      <c r="J33" s="1670">
        <f t="shared" si="1"/>
        <v>0</v>
      </c>
      <c r="K33" s="1670">
        <f t="shared" si="1"/>
        <v>2689442</v>
      </c>
      <c r="L33" s="1670">
        <f t="shared" si="1"/>
        <v>2693785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49929</v>
      </c>
      <c r="D36" s="481">
        <v>13913</v>
      </c>
      <c r="E36" s="481">
        <v>394</v>
      </c>
      <c r="F36" s="481">
        <v>375</v>
      </c>
      <c r="G36" s="481"/>
      <c r="H36" s="481">
        <v>385</v>
      </c>
      <c r="I36" s="467"/>
      <c r="J36" s="467"/>
      <c r="K36" s="1671">
        <f t="shared" ref="K36:K41" si="2">SUM(C36:J36)</f>
        <v>64996</v>
      </c>
      <c r="L36" s="466">
        <v>63016</v>
      </c>
    </row>
    <row r="37" spans="1:14" x14ac:dyDescent="0.2">
      <c r="A37" s="1504" t="s">
        <v>1090</v>
      </c>
      <c r="B37" s="614">
        <v>2120</v>
      </c>
      <c r="C37" s="466">
        <v>52154</v>
      </c>
      <c r="D37" s="466">
        <v>9151</v>
      </c>
      <c r="E37" s="466"/>
      <c r="F37" s="466">
        <v>2378</v>
      </c>
      <c r="G37" s="466"/>
      <c r="H37" s="466">
        <v>735</v>
      </c>
      <c r="I37" s="467"/>
      <c r="J37" s="467"/>
      <c r="K37" s="1671">
        <f t="shared" si="2"/>
        <v>64418</v>
      </c>
      <c r="L37" s="466">
        <v>62859</v>
      </c>
    </row>
    <row r="38" spans="1:14" x14ac:dyDescent="0.2">
      <c r="A38" s="1504" t="s">
        <v>198</v>
      </c>
      <c r="B38" s="614">
        <v>2130</v>
      </c>
      <c r="C38" s="466"/>
      <c r="D38" s="466"/>
      <c r="E38" s="466">
        <v>5341</v>
      </c>
      <c r="F38" s="466"/>
      <c r="G38" s="466"/>
      <c r="H38" s="466"/>
      <c r="I38" s="467"/>
      <c r="J38" s="467"/>
      <c r="K38" s="1671">
        <f t="shared" si="2"/>
        <v>5341</v>
      </c>
      <c r="L38" s="466">
        <v>4679</v>
      </c>
    </row>
    <row r="39" spans="1:14" x14ac:dyDescent="0.2">
      <c r="A39" s="1504" t="s">
        <v>199</v>
      </c>
      <c r="B39" s="614">
        <v>2140</v>
      </c>
      <c r="C39" s="466"/>
      <c r="D39" s="466"/>
      <c r="E39" s="466">
        <v>43801</v>
      </c>
      <c r="F39" s="466"/>
      <c r="G39" s="466"/>
      <c r="H39" s="466"/>
      <c r="I39" s="467"/>
      <c r="J39" s="467"/>
      <c r="K39" s="1671">
        <f t="shared" si="2"/>
        <v>43801</v>
      </c>
      <c r="L39" s="466">
        <v>43801</v>
      </c>
    </row>
    <row r="40" spans="1:14" x14ac:dyDescent="0.2">
      <c r="A40" s="1504" t="s">
        <v>200</v>
      </c>
      <c r="B40" s="614">
        <v>2150</v>
      </c>
      <c r="C40" s="466"/>
      <c r="D40" s="466"/>
      <c r="E40" s="466">
        <v>69962</v>
      </c>
      <c r="F40" s="466"/>
      <c r="G40" s="466"/>
      <c r="H40" s="466"/>
      <c r="I40" s="467"/>
      <c r="J40" s="467"/>
      <c r="K40" s="1671">
        <f t="shared" si="2"/>
        <v>69962</v>
      </c>
      <c r="L40" s="466">
        <v>69962</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102083</v>
      </c>
      <c r="D42" s="1670">
        <f t="shared" ref="D42:L42" si="3">SUM(D36:D41)</f>
        <v>23064</v>
      </c>
      <c r="E42" s="1670">
        <f t="shared" si="3"/>
        <v>119498</v>
      </c>
      <c r="F42" s="1670">
        <f t="shared" si="3"/>
        <v>2753</v>
      </c>
      <c r="G42" s="1670">
        <f t="shared" si="3"/>
        <v>0</v>
      </c>
      <c r="H42" s="1670">
        <f t="shared" si="3"/>
        <v>1120</v>
      </c>
      <c r="I42" s="1670">
        <f t="shared" si="3"/>
        <v>0</v>
      </c>
      <c r="J42" s="1670">
        <f t="shared" si="3"/>
        <v>0</v>
      </c>
      <c r="K42" s="1670">
        <f t="shared" si="3"/>
        <v>248518</v>
      </c>
      <c r="L42" s="1670">
        <f t="shared" si="3"/>
        <v>244317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12991</v>
      </c>
      <c r="D44" s="481">
        <v>9305</v>
      </c>
      <c r="E44" s="481">
        <v>2450</v>
      </c>
      <c r="F44" s="481"/>
      <c r="G44" s="481"/>
      <c r="H44" s="481">
        <v>2485</v>
      </c>
      <c r="I44" s="467"/>
      <c r="J44" s="467"/>
      <c r="K44" s="1672">
        <f>SUM(C44:J44)</f>
        <v>27231</v>
      </c>
      <c r="L44" s="481">
        <v>35501</v>
      </c>
    </row>
    <row r="45" spans="1:14" x14ac:dyDescent="0.2">
      <c r="A45" s="1504" t="s">
        <v>815</v>
      </c>
      <c r="B45" s="614">
        <v>2220</v>
      </c>
      <c r="C45" s="466">
        <v>17356</v>
      </c>
      <c r="D45" s="466"/>
      <c r="E45" s="466"/>
      <c r="F45" s="466">
        <v>1254</v>
      </c>
      <c r="G45" s="466"/>
      <c r="H45" s="466"/>
      <c r="I45" s="467"/>
      <c r="J45" s="467"/>
      <c r="K45" s="1672">
        <f>SUM(C45:J45)</f>
        <v>18610</v>
      </c>
      <c r="L45" s="466">
        <v>18550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30347</v>
      </c>
      <c r="D47" s="1670">
        <f t="shared" ref="D47:K47" si="4">SUM(D44:D46)</f>
        <v>9305</v>
      </c>
      <c r="E47" s="1670">
        <f t="shared" si="4"/>
        <v>2450</v>
      </c>
      <c r="F47" s="1670">
        <f t="shared" si="4"/>
        <v>1254</v>
      </c>
      <c r="G47" s="1670">
        <f t="shared" si="4"/>
        <v>0</v>
      </c>
      <c r="H47" s="1670">
        <f t="shared" si="4"/>
        <v>2485</v>
      </c>
      <c r="I47" s="1670">
        <f t="shared" si="4"/>
        <v>0</v>
      </c>
      <c r="J47" s="1670">
        <f t="shared" si="4"/>
        <v>0</v>
      </c>
      <c r="K47" s="1670">
        <f t="shared" si="4"/>
        <v>45841</v>
      </c>
      <c r="L47" s="1670">
        <f>SUM(L44:L46)</f>
        <v>54051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9143</v>
      </c>
      <c r="D49" s="481">
        <v>297</v>
      </c>
      <c r="E49" s="481">
        <v>41364</v>
      </c>
      <c r="F49" s="481">
        <v>2928</v>
      </c>
      <c r="G49" s="481">
        <v>8100</v>
      </c>
      <c r="H49" s="481">
        <v>10407</v>
      </c>
      <c r="I49" s="467"/>
      <c r="J49" s="467"/>
      <c r="K49" s="1672">
        <f>SUM(C49:J49)</f>
        <v>72239</v>
      </c>
      <c r="L49" s="481">
        <v>70413</v>
      </c>
    </row>
    <row r="50" spans="1:14" x14ac:dyDescent="0.2">
      <c r="A50" s="1504" t="s">
        <v>818</v>
      </c>
      <c r="B50" s="614">
        <v>2320</v>
      </c>
      <c r="C50" s="466">
        <v>120000</v>
      </c>
      <c r="D50" s="466">
        <v>29961</v>
      </c>
      <c r="E50" s="466">
        <v>2388</v>
      </c>
      <c r="F50" s="466">
        <v>3077</v>
      </c>
      <c r="G50" s="466"/>
      <c r="H50" s="466">
        <v>2026</v>
      </c>
      <c r="I50" s="467"/>
      <c r="J50" s="467"/>
      <c r="K50" s="1672">
        <f>SUM(C50:J50)</f>
        <v>157452</v>
      </c>
      <c r="L50" s="466">
        <v>159285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129143</v>
      </c>
      <c r="D53" s="1670">
        <f t="shared" ref="D53:L53" si="5">SUM(D49:D52)</f>
        <v>30258</v>
      </c>
      <c r="E53" s="1670">
        <f t="shared" si="5"/>
        <v>43752</v>
      </c>
      <c r="F53" s="1670">
        <f t="shared" si="5"/>
        <v>6005</v>
      </c>
      <c r="G53" s="1670">
        <f t="shared" si="5"/>
        <v>8100</v>
      </c>
      <c r="H53" s="1670">
        <f t="shared" si="5"/>
        <v>12433</v>
      </c>
      <c r="I53" s="1670">
        <f t="shared" si="5"/>
        <v>0</v>
      </c>
      <c r="J53" s="1670">
        <f t="shared" si="5"/>
        <v>0</v>
      </c>
      <c r="K53" s="1670">
        <f t="shared" si="5"/>
        <v>229691</v>
      </c>
      <c r="L53" s="1670">
        <f t="shared" si="5"/>
        <v>229698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175454</v>
      </c>
      <c r="D55" s="481">
        <v>40498</v>
      </c>
      <c r="E55" s="481">
        <v>-8</v>
      </c>
      <c r="F55" s="481">
        <v>11520</v>
      </c>
      <c r="G55" s="481"/>
      <c r="H55" s="481">
        <v>3714</v>
      </c>
      <c r="I55" s="467"/>
      <c r="J55" s="467"/>
      <c r="K55" s="1672">
        <f>SUM(C55:J55)</f>
        <v>231178</v>
      </c>
      <c r="L55" s="481">
        <v>227961</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175454</v>
      </c>
      <c r="D57" s="1674">
        <f t="shared" ref="D57:K57" si="6">SUM(D55:D56)</f>
        <v>40498</v>
      </c>
      <c r="E57" s="1674">
        <f t="shared" si="6"/>
        <v>-8</v>
      </c>
      <c r="F57" s="1674">
        <f t="shared" si="6"/>
        <v>11520</v>
      </c>
      <c r="G57" s="1674">
        <f t="shared" si="6"/>
        <v>0</v>
      </c>
      <c r="H57" s="1674">
        <f t="shared" si="6"/>
        <v>3714</v>
      </c>
      <c r="I57" s="1674">
        <f t="shared" si="6"/>
        <v>0</v>
      </c>
      <c r="J57" s="1674">
        <f t="shared" si="6"/>
        <v>0</v>
      </c>
      <c r="K57" s="1674">
        <f t="shared" si="6"/>
        <v>231178</v>
      </c>
      <c r="L57" s="1670">
        <f>SUM(L55:L56)</f>
        <v>227961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71191</v>
      </c>
      <c r="D60" s="466">
        <v>10601</v>
      </c>
      <c r="E60" s="466">
        <v>524</v>
      </c>
      <c r="F60" s="466">
        <v>1112</v>
      </c>
      <c r="G60" s="466"/>
      <c r="H60" s="466">
        <v>141</v>
      </c>
      <c r="I60" s="467"/>
      <c r="J60" s="467"/>
      <c r="K60" s="1672">
        <f t="shared" si="7"/>
        <v>83569</v>
      </c>
      <c r="L60" s="466">
        <v>84561</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74017</v>
      </c>
      <c r="D63" s="466">
        <v>30785</v>
      </c>
      <c r="E63" s="466">
        <v>5470</v>
      </c>
      <c r="F63" s="466">
        <v>61835</v>
      </c>
      <c r="G63" s="466"/>
      <c r="H63" s="466">
        <v>728</v>
      </c>
      <c r="I63" s="467"/>
      <c r="J63" s="467"/>
      <c r="K63" s="1672">
        <f t="shared" si="7"/>
        <v>172835</v>
      </c>
      <c r="L63" s="466">
        <v>174245</v>
      </c>
    </row>
    <row r="64" spans="1:14" s="609" customFormat="1" x14ac:dyDescent="0.2">
      <c r="A64" s="1509" t="s">
        <v>101</v>
      </c>
      <c r="B64" s="630">
        <v>2570</v>
      </c>
      <c r="C64" s="481"/>
      <c r="D64" s="481"/>
      <c r="E64" s="481">
        <v>15824</v>
      </c>
      <c r="F64" s="481"/>
      <c r="G64" s="481"/>
      <c r="H64" s="481"/>
      <c r="I64" s="467"/>
      <c r="J64" s="467"/>
      <c r="K64" s="1672">
        <f t="shared" si="7"/>
        <v>15824</v>
      </c>
      <c r="L64" s="481">
        <v>16824</v>
      </c>
    </row>
    <row r="65" spans="1:14" s="343" customFormat="1" ht="12.75" customHeight="1" thickBot="1" x14ac:dyDescent="0.25">
      <c r="A65" s="1668" t="s">
        <v>719</v>
      </c>
      <c r="B65" s="1669" t="s">
        <v>35</v>
      </c>
      <c r="C65" s="1670">
        <f>SUM(C59:C64)</f>
        <v>145208</v>
      </c>
      <c r="D65" s="1670">
        <f t="shared" ref="D65:L65" si="8">SUM(D59:D64)</f>
        <v>41386</v>
      </c>
      <c r="E65" s="1670">
        <f t="shared" si="8"/>
        <v>21818</v>
      </c>
      <c r="F65" s="1670">
        <f t="shared" si="8"/>
        <v>62947</v>
      </c>
      <c r="G65" s="1670">
        <f t="shared" si="8"/>
        <v>0</v>
      </c>
      <c r="H65" s="1670">
        <f t="shared" si="8"/>
        <v>869</v>
      </c>
      <c r="I65" s="1670">
        <f t="shared" si="8"/>
        <v>0</v>
      </c>
      <c r="J65" s="1670">
        <f t="shared" si="8"/>
        <v>0</v>
      </c>
      <c r="K65" s="1670">
        <f t="shared" si="8"/>
        <v>272228</v>
      </c>
      <c r="L65" s="1670">
        <f t="shared" si="8"/>
        <v>275630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35990</v>
      </c>
      <c r="D71" s="466">
        <v>68</v>
      </c>
      <c r="E71" s="466">
        <v>67572</v>
      </c>
      <c r="F71" s="466">
        <v>95136</v>
      </c>
      <c r="G71" s="466">
        <v>5065</v>
      </c>
      <c r="H71" s="466">
        <v>357</v>
      </c>
      <c r="I71" s="467"/>
      <c r="J71" s="467"/>
      <c r="K71" s="1672">
        <f>SUM(C71:J71)</f>
        <v>204188</v>
      </c>
      <c r="L71" s="466">
        <v>218554</v>
      </c>
      <c r="M71" s="609"/>
      <c r="N71" s="609"/>
    </row>
    <row r="72" spans="1:14" s="343" customFormat="1" ht="12.75" customHeight="1" thickBot="1" x14ac:dyDescent="0.25">
      <c r="A72" s="1668" t="s">
        <v>37</v>
      </c>
      <c r="B72" s="1675" t="s">
        <v>36</v>
      </c>
      <c r="C72" s="1670">
        <f>SUM(C67:C71)</f>
        <v>35990</v>
      </c>
      <c r="D72" s="1670">
        <f t="shared" ref="D72:K72" si="9">SUM(D67:D71)</f>
        <v>68</v>
      </c>
      <c r="E72" s="1670">
        <f t="shared" si="9"/>
        <v>67572</v>
      </c>
      <c r="F72" s="1670">
        <f t="shared" si="9"/>
        <v>95136</v>
      </c>
      <c r="G72" s="1670">
        <f t="shared" si="9"/>
        <v>5065</v>
      </c>
      <c r="H72" s="1670">
        <f t="shared" si="9"/>
        <v>357</v>
      </c>
      <c r="I72" s="1670">
        <f t="shared" si="9"/>
        <v>0</v>
      </c>
      <c r="J72" s="1670">
        <f t="shared" si="9"/>
        <v>0</v>
      </c>
      <c r="K72" s="1670">
        <f t="shared" si="9"/>
        <v>204188</v>
      </c>
      <c r="L72" s="1670">
        <f>SUM(L67:L71)</f>
        <v>218554</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618225</v>
      </c>
      <c r="D74" s="1677">
        <f t="shared" ref="D74:K74" si="10">SUM(D42,D47,D53,D57,D65,D72,D73)</f>
        <v>144579</v>
      </c>
      <c r="E74" s="1677">
        <f t="shared" si="10"/>
        <v>255082</v>
      </c>
      <c r="F74" s="1677">
        <f t="shared" si="10"/>
        <v>179615</v>
      </c>
      <c r="G74" s="1677">
        <f t="shared" si="10"/>
        <v>13165</v>
      </c>
      <c r="H74" s="1677">
        <f t="shared" si="10"/>
        <v>20978</v>
      </c>
      <c r="I74" s="1677">
        <f t="shared" si="10"/>
        <v>0</v>
      </c>
      <c r="J74" s="1677">
        <f t="shared" si="10"/>
        <v>0</v>
      </c>
      <c r="K74" s="1677">
        <f t="shared" si="10"/>
        <v>1231644</v>
      </c>
      <c r="L74" s="1677">
        <f>SUM(L42,L47,L53,L57,L65,L72,L73)</f>
        <v>1250211</v>
      </c>
    </row>
    <row r="75" spans="1:14" s="259" customFormat="1" ht="15.75" customHeight="1" thickTop="1" thickBot="1" x14ac:dyDescent="0.25">
      <c r="A75" s="1610" t="s">
        <v>47</v>
      </c>
      <c r="B75" s="1611" t="s">
        <v>575</v>
      </c>
      <c r="C75" s="573">
        <v>14495</v>
      </c>
      <c r="D75" s="573">
        <v>5355</v>
      </c>
      <c r="E75" s="573">
        <v>1000</v>
      </c>
      <c r="F75" s="573"/>
      <c r="G75" s="573"/>
      <c r="H75" s="573"/>
      <c r="I75" s="531"/>
      <c r="J75" s="531"/>
      <c r="K75" s="1670">
        <f>SUM(C75:J75)</f>
        <v>20850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26569</v>
      </c>
      <c r="F79" s="616"/>
      <c r="G79" s="616"/>
      <c r="H79" s="466">
        <v>35075</v>
      </c>
      <c r="I79" s="477"/>
      <c r="J79" s="477"/>
      <c r="K79" s="1671">
        <f t="shared" si="11"/>
        <v>61644</v>
      </c>
      <c r="L79" s="466">
        <v>61644</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13381</v>
      </c>
      <c r="F81" s="616"/>
      <c r="G81" s="616"/>
      <c r="H81" s="466"/>
      <c r="I81" s="477"/>
      <c r="J81" s="477"/>
      <c r="K81" s="1671">
        <f t="shared" si="11"/>
        <v>13381</v>
      </c>
      <c r="L81" s="466">
        <v>13381</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39950</v>
      </c>
      <c r="F84" s="616"/>
      <c r="G84" s="616"/>
      <c r="H84" s="1670">
        <f>SUM(H78:H83)</f>
        <v>35075</v>
      </c>
      <c r="I84" s="477"/>
      <c r="J84" s="477"/>
      <c r="K84" s="1670">
        <f>SUM(K78:K83)</f>
        <v>75025</v>
      </c>
      <c r="L84" s="1670">
        <f>SUM(L78:L83)</f>
        <v>75025</v>
      </c>
    </row>
    <row r="85" spans="1:12" ht="12.75" customHeight="1" thickTop="1" thickBot="1" x14ac:dyDescent="0.25">
      <c r="A85" s="1511" t="s">
        <v>255</v>
      </c>
      <c r="B85" s="635">
        <v>4210</v>
      </c>
      <c r="C85" s="616"/>
      <c r="D85" s="616"/>
      <c r="E85" s="636"/>
      <c r="F85" s="616"/>
      <c r="G85" s="616"/>
      <c r="H85" s="535">
        <v>105</v>
      </c>
      <c r="I85" s="477"/>
      <c r="J85" s="477"/>
      <c r="K85" s="1677">
        <f>H85</f>
        <v>105</v>
      </c>
      <c r="L85" s="530"/>
    </row>
    <row r="86" spans="1:12" ht="12.75" customHeight="1" thickTop="1" thickBot="1" x14ac:dyDescent="0.25">
      <c r="A86" s="1512" t="s">
        <v>699</v>
      </c>
      <c r="B86" s="637">
        <v>4220</v>
      </c>
      <c r="C86" s="616"/>
      <c r="D86" s="616"/>
      <c r="E86" s="638"/>
      <c r="F86" s="616"/>
      <c r="G86" s="616"/>
      <c r="H86" s="467">
        <v>58873</v>
      </c>
      <c r="I86" s="477"/>
      <c r="J86" s="477"/>
      <c r="K86" s="1677">
        <f t="shared" ref="K86:K98" si="12">H86</f>
        <v>58873</v>
      </c>
      <c r="L86" s="530">
        <v>57877</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38163</v>
      </c>
      <c r="I88" s="477"/>
      <c r="J88" s="477"/>
      <c r="K88" s="1677">
        <f t="shared" si="12"/>
        <v>38163</v>
      </c>
      <c r="L88" s="530">
        <v>38163</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97141</v>
      </c>
      <c r="I92" s="477"/>
      <c r="J92" s="477"/>
      <c r="K92" s="1677">
        <f t="shared" si="12"/>
        <v>97141</v>
      </c>
      <c r="L92" s="1670">
        <f>SUM(L85:L91)</f>
        <v>96040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39950</v>
      </c>
      <c r="F102" s="616"/>
      <c r="G102" s="616"/>
      <c r="H102" s="1677">
        <f>SUM(H84,H92,H100,H101)</f>
        <v>132216</v>
      </c>
      <c r="I102" s="477"/>
      <c r="J102" s="477"/>
      <c r="K102" s="1677">
        <f>SUM(K84,K92,K100,K101)</f>
        <v>172166</v>
      </c>
      <c r="L102" s="1677">
        <f>SUM(L84,L92,L100,L101)</f>
        <v>171065</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2577479</v>
      </c>
      <c r="D114" s="1670">
        <f t="shared" ref="D114:K114" si="13">SUM(D33,D74,D75,D102,D112,D113)</f>
        <v>621747</v>
      </c>
      <c r="E114" s="1670">
        <f t="shared" si="13"/>
        <v>352391</v>
      </c>
      <c r="F114" s="1670">
        <f t="shared" si="13"/>
        <v>386014</v>
      </c>
      <c r="G114" s="1670">
        <f t="shared" si="13"/>
        <v>13165</v>
      </c>
      <c r="H114" s="1670">
        <f>SUM(H33,H74,H75,H102,H112,H113)</f>
        <v>163306</v>
      </c>
      <c r="I114" s="1670">
        <f t="shared" si="13"/>
        <v>0</v>
      </c>
      <c r="J114" s="1670">
        <f t="shared" si="13"/>
        <v>0</v>
      </c>
      <c r="K114" s="1670">
        <f t="shared" si="13"/>
        <v>4114102</v>
      </c>
      <c r="L114" s="1670">
        <f>SUM(L33,L74,L75,L102,L112,L113)</f>
        <v>4115061</v>
      </c>
    </row>
    <row r="115" spans="1:14" ht="13.5" thickTop="1" x14ac:dyDescent="0.2">
      <c r="A115" s="2188" t="s">
        <v>996</v>
      </c>
      <c r="B115" s="2189"/>
      <c r="C115" s="618"/>
      <c r="D115" s="618"/>
      <c r="E115" s="618"/>
      <c r="F115" s="618"/>
      <c r="G115" s="618"/>
      <c r="H115" s="618"/>
      <c r="I115" s="618"/>
      <c r="J115" s="618"/>
      <c r="K115" s="1684">
        <f>'Revenues 9-14'!C268-'Expenditures 15-22'!K114</f>
        <v>480958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296</v>
      </c>
      <c r="B117" s="216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126675</v>
      </c>
      <c r="D124" s="466">
        <v>25267</v>
      </c>
      <c r="E124" s="466">
        <v>122841</v>
      </c>
      <c r="F124" s="466">
        <v>114927</v>
      </c>
      <c r="G124" s="466">
        <v>13650</v>
      </c>
      <c r="H124" s="466"/>
      <c r="I124" s="467"/>
      <c r="J124" s="467"/>
      <c r="K124" s="1670">
        <f>SUM(C124:J124)</f>
        <v>403360</v>
      </c>
      <c r="L124" s="466">
        <v>396694</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126675</v>
      </c>
      <c r="D127" s="1670">
        <f t="shared" ref="D127:L127" si="14">SUM(D122:D126)</f>
        <v>25267</v>
      </c>
      <c r="E127" s="1670">
        <f t="shared" si="14"/>
        <v>122841</v>
      </c>
      <c r="F127" s="1670">
        <f t="shared" si="14"/>
        <v>114927</v>
      </c>
      <c r="G127" s="1670">
        <f t="shared" si="14"/>
        <v>13650</v>
      </c>
      <c r="H127" s="1670">
        <f t="shared" si="14"/>
        <v>0</v>
      </c>
      <c r="I127" s="1670">
        <f t="shared" si="14"/>
        <v>0</v>
      </c>
      <c r="J127" s="1670">
        <f t="shared" si="14"/>
        <v>0</v>
      </c>
      <c r="K127" s="1670">
        <f t="shared" si="14"/>
        <v>403360</v>
      </c>
      <c r="L127" s="1670">
        <f t="shared" si="14"/>
        <v>396694</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126675</v>
      </c>
      <c r="D129" s="1677">
        <f t="shared" ref="D129:L129" si="15">SUM(D120,D127,D128)</f>
        <v>25267</v>
      </c>
      <c r="E129" s="1677">
        <f t="shared" si="15"/>
        <v>122841</v>
      </c>
      <c r="F129" s="1677">
        <f t="shared" si="15"/>
        <v>114927</v>
      </c>
      <c r="G129" s="1677">
        <f t="shared" si="15"/>
        <v>13650</v>
      </c>
      <c r="H129" s="1677">
        <f t="shared" si="15"/>
        <v>0</v>
      </c>
      <c r="I129" s="1677">
        <f t="shared" si="15"/>
        <v>0</v>
      </c>
      <c r="J129" s="1677">
        <f t="shared" si="15"/>
        <v>0</v>
      </c>
      <c r="K129" s="1677">
        <f t="shared" si="15"/>
        <v>403360</v>
      </c>
      <c r="L129" s="1677">
        <f t="shared" si="15"/>
        <v>396694</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8" t="s">
        <v>620</v>
      </c>
      <c r="B151" s="2160"/>
      <c r="C151" s="1670">
        <f>SUM(C129,C130,C139,C149,C150)</f>
        <v>126675</v>
      </c>
      <c r="D151" s="1670">
        <f t="shared" ref="D151:K151" si="16">SUM(D129,D130,D139,D149,D150)</f>
        <v>25267</v>
      </c>
      <c r="E151" s="1670">
        <f t="shared" si="16"/>
        <v>122841</v>
      </c>
      <c r="F151" s="1670">
        <f t="shared" si="16"/>
        <v>114927</v>
      </c>
      <c r="G151" s="1670">
        <f t="shared" si="16"/>
        <v>13650</v>
      </c>
      <c r="H151" s="1670">
        <f t="shared" si="16"/>
        <v>0</v>
      </c>
      <c r="I151" s="1670">
        <f t="shared" si="16"/>
        <v>0</v>
      </c>
      <c r="J151" s="1670">
        <f t="shared" si="16"/>
        <v>0</v>
      </c>
      <c r="K151" s="1670">
        <f t="shared" si="16"/>
        <v>403360</v>
      </c>
      <c r="L151" s="1670">
        <f>SUM(L129,L130,L139,L149,L150)</f>
        <v>396694</v>
      </c>
    </row>
    <row r="152" spans="1:14" ht="12.75" customHeight="1" thickTop="1" x14ac:dyDescent="0.2">
      <c r="A152" s="2181" t="s">
        <v>1178</v>
      </c>
      <c r="B152" s="2182"/>
      <c r="C152" s="618"/>
      <c r="D152" s="618"/>
      <c r="E152" s="618"/>
      <c r="F152" s="618"/>
      <c r="G152" s="618"/>
      <c r="H152" s="618"/>
      <c r="I152" s="618"/>
      <c r="J152" s="616"/>
      <c r="K152" s="1684">
        <f>'Revenues 9-14'!D268-'Expenditures 15-22'!K151</f>
        <v>24008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621</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82478</v>
      </c>
      <c r="I169" s="616"/>
      <c r="J169" s="616"/>
      <c r="K169" s="1671">
        <f>SUM(C169:H169)</f>
        <v>82478</v>
      </c>
      <c r="L169" s="656">
        <v>82478</v>
      </c>
    </row>
    <row r="170" spans="1:14" ht="33.75" customHeight="1" x14ac:dyDescent="0.2">
      <c r="A170" s="669" t="s">
        <v>1670</v>
      </c>
      <c r="B170" s="671" t="s">
        <v>31</v>
      </c>
      <c r="C170" s="616"/>
      <c r="D170" s="616"/>
      <c r="E170" s="616"/>
      <c r="F170" s="616"/>
      <c r="G170" s="616"/>
      <c r="H170" s="569">
        <v>345000</v>
      </c>
      <c r="I170" s="616"/>
      <c r="J170" s="616"/>
      <c r="K170" s="1671">
        <f>SUM(C170:J170)</f>
        <v>345000</v>
      </c>
      <c r="L170" s="569">
        <v>345000</v>
      </c>
    </row>
    <row r="171" spans="1:14" ht="15.75" customHeight="1" x14ac:dyDescent="0.2">
      <c r="A171" s="621" t="s">
        <v>766</v>
      </c>
      <c r="B171" s="672" t="s">
        <v>84</v>
      </c>
      <c r="C171" s="616"/>
      <c r="D171" s="616"/>
      <c r="E171" s="466"/>
      <c r="F171" s="616"/>
      <c r="G171" s="616"/>
      <c r="H171" s="569">
        <v>925</v>
      </c>
      <c r="I171" s="477"/>
      <c r="J171" s="616"/>
      <c r="K171" s="1671">
        <f>SUM(C171:J171)</f>
        <v>925</v>
      </c>
      <c r="L171" s="569">
        <v>925</v>
      </c>
    </row>
    <row r="172" spans="1:14" ht="12.75" customHeight="1" thickBot="1" x14ac:dyDescent="0.25">
      <c r="A172" s="1668" t="s">
        <v>638</v>
      </c>
      <c r="B172" s="1669" t="s">
        <v>492</v>
      </c>
      <c r="C172" s="616"/>
      <c r="D172" s="616"/>
      <c r="E172" s="1677">
        <f>SUM(E168,E169,E170,E171)</f>
        <v>0</v>
      </c>
      <c r="F172" s="616"/>
      <c r="G172" s="616"/>
      <c r="H172" s="1677">
        <f>SUM(H168,H169,H170,H171)</f>
        <v>428403</v>
      </c>
      <c r="I172" s="638"/>
      <c r="J172" s="616"/>
      <c r="K172" s="1677">
        <f>SUM(K168,K169,K170,K171)</f>
        <v>428403</v>
      </c>
      <c r="L172" s="1677">
        <f>SUM(L168,L169,L170,L171)</f>
        <v>428403</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428403</v>
      </c>
      <c r="I174" s="638"/>
      <c r="J174" s="616"/>
      <c r="K174" s="1677">
        <f>SUM(K160,K172,K173)</f>
        <v>428403</v>
      </c>
      <c r="L174" s="1677">
        <f>SUM(L160,L172,L173)</f>
        <v>428403</v>
      </c>
    </row>
    <row r="175" spans="1:14" ht="13.5" thickTop="1" x14ac:dyDescent="0.2">
      <c r="A175" s="2188" t="s">
        <v>996</v>
      </c>
      <c r="B175" s="2189"/>
      <c r="C175" s="616"/>
      <c r="D175" s="616"/>
      <c r="E175" s="616"/>
      <c r="F175" s="616"/>
      <c r="G175" s="616"/>
      <c r="H175" s="618"/>
      <c r="I175" s="616"/>
      <c r="J175" s="616"/>
      <c r="K175" s="1684">
        <f>'Revenues 9-14'!E268-'Expenditures 15-22'!K174</f>
        <v>-55809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110839</v>
      </c>
      <c r="D182" s="466">
        <v>68</v>
      </c>
      <c r="E182" s="466">
        <v>16032</v>
      </c>
      <c r="F182" s="466">
        <v>25878</v>
      </c>
      <c r="G182" s="466">
        <v>11446</v>
      </c>
      <c r="H182" s="466">
        <v>318</v>
      </c>
      <c r="I182" s="467"/>
      <c r="J182" s="467"/>
      <c r="K182" s="1671">
        <f>SUM(C182:J182)</f>
        <v>164581</v>
      </c>
      <c r="L182" s="466">
        <v>162741</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110839</v>
      </c>
      <c r="D184" s="1677">
        <f t="shared" ref="D184:J184" si="17">SUM(D180,D182,D183)</f>
        <v>68</v>
      </c>
      <c r="E184" s="1677">
        <f t="shared" si="17"/>
        <v>16032</v>
      </c>
      <c r="F184" s="1677">
        <f t="shared" si="17"/>
        <v>25878</v>
      </c>
      <c r="G184" s="1677">
        <f t="shared" si="17"/>
        <v>11446</v>
      </c>
      <c r="H184" s="1677">
        <f t="shared" si="17"/>
        <v>318</v>
      </c>
      <c r="I184" s="1677">
        <f t="shared" si="17"/>
        <v>0</v>
      </c>
      <c r="J184" s="1677">
        <f t="shared" si="17"/>
        <v>0</v>
      </c>
      <c r="K184" s="1677">
        <f>SUM(K180,K182,K183)</f>
        <v>164581</v>
      </c>
      <c r="L184" s="1677">
        <f>SUM(L180, L182:L183)</f>
        <v>162741</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110839</v>
      </c>
      <c r="D210" s="1670">
        <f>SUM(D184,D185)</f>
        <v>68</v>
      </c>
      <c r="E210" s="1670">
        <f>SUM(E184,E185,E196)</f>
        <v>16032</v>
      </c>
      <c r="F210" s="1670">
        <f>SUM(F184,F185)</f>
        <v>25878</v>
      </c>
      <c r="G210" s="1670">
        <f>SUM(G184,G185)</f>
        <v>11446</v>
      </c>
      <c r="H210" s="1670">
        <f>SUM(H184,H185,H196,H208,H209)</f>
        <v>318</v>
      </c>
      <c r="I210" s="1670">
        <f>SUM(I184,I185)</f>
        <v>0</v>
      </c>
      <c r="J210" s="1670">
        <f>SUM(J184,J185)</f>
        <v>0</v>
      </c>
      <c r="K210" s="1671">
        <f>SUM(K184,K185,K196,K208,K209)</f>
        <v>164581</v>
      </c>
      <c r="L210" s="1670">
        <f>SUM(L184,L185,L196,L208,L209)</f>
        <v>162741</v>
      </c>
    </row>
    <row r="211" spans="1:14" ht="13.5" thickTop="1" x14ac:dyDescent="0.2">
      <c r="A211" s="2188" t="s">
        <v>996</v>
      </c>
      <c r="B211" s="2189"/>
      <c r="C211" s="618"/>
      <c r="D211" s="618"/>
      <c r="E211" s="618"/>
      <c r="F211" s="618"/>
      <c r="G211" s="618"/>
      <c r="H211" s="618"/>
      <c r="I211" s="616"/>
      <c r="J211" s="616"/>
      <c r="K211" s="1684">
        <f>'Revenues 9-14'!F268-'Expenditures 15-22'!K210</f>
        <v>55917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965</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9612+3058+6977</f>
        <v>19647</v>
      </c>
      <c r="E215" s="616"/>
      <c r="F215" s="616"/>
      <c r="G215" s="616"/>
      <c r="H215" s="616"/>
      <c r="I215" s="616"/>
      <c r="J215" s="616"/>
      <c r="K215" s="1671">
        <f>D215</f>
        <v>19647</v>
      </c>
      <c r="L215" s="466">
        <v>22000</v>
      </c>
    </row>
    <row r="216" spans="1:14" x14ac:dyDescent="0.2">
      <c r="A216" s="1504" t="s">
        <v>163</v>
      </c>
      <c r="B216" s="614" t="s">
        <v>967</v>
      </c>
      <c r="C216" s="616"/>
      <c r="D216" s="467">
        <f>457+435</f>
        <v>892</v>
      </c>
      <c r="E216" s="616"/>
      <c r="F216" s="616"/>
      <c r="G216" s="616"/>
      <c r="H216" s="616"/>
      <c r="I216" s="616"/>
      <c r="J216" s="616"/>
      <c r="K216" s="1671">
        <f t="shared" ref="K216:K228" si="19">D216</f>
        <v>892</v>
      </c>
      <c r="L216" s="466"/>
    </row>
    <row r="217" spans="1:14" x14ac:dyDescent="0.2">
      <c r="A217" s="1504" t="s">
        <v>164</v>
      </c>
      <c r="B217" s="614">
        <v>1200</v>
      </c>
      <c r="C217" s="616"/>
      <c r="D217" s="466">
        <v>15562</v>
      </c>
      <c r="E217" s="616"/>
      <c r="F217" s="616"/>
      <c r="G217" s="616"/>
      <c r="H217" s="616"/>
      <c r="I217" s="616"/>
      <c r="J217" s="616"/>
      <c r="K217" s="1671">
        <f t="shared" si="19"/>
        <v>15562</v>
      </c>
      <c r="L217" s="466">
        <v>21000</v>
      </c>
    </row>
    <row r="218" spans="1:14" x14ac:dyDescent="0.2">
      <c r="A218" s="1504" t="s">
        <v>278</v>
      </c>
      <c r="B218" s="614" t="s">
        <v>968</v>
      </c>
      <c r="C218" s="616"/>
      <c r="D218" s="467">
        <v>3071</v>
      </c>
      <c r="E218" s="616"/>
      <c r="F218" s="616"/>
      <c r="G218" s="616"/>
      <c r="H218" s="616"/>
      <c r="I218" s="616"/>
      <c r="J218" s="616"/>
      <c r="K218" s="1671">
        <f t="shared" si="19"/>
        <v>3071</v>
      </c>
      <c r="L218" s="466">
        <v>3500</v>
      </c>
    </row>
    <row r="219" spans="1:14" x14ac:dyDescent="0.2">
      <c r="A219" s="1504" t="s">
        <v>279</v>
      </c>
      <c r="B219" s="614">
        <v>1250</v>
      </c>
      <c r="C219" s="616"/>
      <c r="D219" s="466">
        <f>231+6759</f>
        <v>6990</v>
      </c>
      <c r="E219" s="616"/>
      <c r="F219" s="616"/>
      <c r="G219" s="616"/>
      <c r="H219" s="616"/>
      <c r="I219" s="616"/>
      <c r="J219" s="616"/>
      <c r="K219" s="1671">
        <f t="shared" si="19"/>
        <v>6990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f>59+28+403+269+2157</f>
        <v>2916</v>
      </c>
      <c r="E223" s="616"/>
      <c r="F223" s="616"/>
      <c r="G223" s="616"/>
      <c r="H223" s="616"/>
      <c r="I223" s="616"/>
      <c r="J223" s="616"/>
      <c r="K223" s="1671">
        <f t="shared" si="19"/>
        <v>2916</v>
      </c>
      <c r="L223" s="466">
        <v>3700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122</v>
      </c>
      <c r="E226" s="616"/>
      <c r="F226" s="616"/>
      <c r="G226" s="616"/>
      <c r="H226" s="616"/>
      <c r="I226" s="616"/>
      <c r="J226" s="616"/>
      <c r="K226" s="1671">
        <f t="shared" si="19"/>
        <v>122</v>
      </c>
      <c r="L226" s="466">
        <v>150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49200</v>
      </c>
      <c r="E229" s="616"/>
      <c r="F229" s="616"/>
      <c r="G229" s="616"/>
      <c r="H229" s="616"/>
      <c r="I229" s="616"/>
      <c r="J229" s="616"/>
      <c r="K229" s="1670">
        <f>SUM(K215:K228)</f>
        <v>49200</v>
      </c>
      <c r="L229" s="1670">
        <f>SUM(L215:L228)</f>
        <v>50350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675</v>
      </c>
      <c r="E232" s="616"/>
      <c r="F232" s="616"/>
      <c r="G232" s="616"/>
      <c r="H232" s="616"/>
      <c r="I232" s="616"/>
      <c r="J232" s="616"/>
      <c r="K232" s="1671">
        <f t="shared" ref="K232:K237" si="20">D232</f>
        <v>675</v>
      </c>
      <c r="L232" s="466">
        <v>700</v>
      </c>
    </row>
    <row r="233" spans="1:12" x14ac:dyDescent="0.2">
      <c r="A233" s="1504" t="s">
        <v>1090</v>
      </c>
      <c r="B233" s="614">
        <v>2120</v>
      </c>
      <c r="C233" s="616"/>
      <c r="D233" s="466">
        <v>718</v>
      </c>
      <c r="E233" s="616"/>
      <c r="F233" s="616"/>
      <c r="G233" s="616"/>
      <c r="H233" s="616"/>
      <c r="I233" s="616"/>
      <c r="J233" s="616"/>
      <c r="K233" s="1671">
        <f t="shared" si="20"/>
        <v>718</v>
      </c>
      <c r="L233" s="466">
        <v>700</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1393</v>
      </c>
      <c r="E238" s="616"/>
      <c r="F238" s="616"/>
      <c r="G238" s="616"/>
      <c r="H238" s="616"/>
      <c r="I238" s="616"/>
      <c r="J238" s="616"/>
      <c r="K238" s="1670">
        <f>SUM(K232:K237)</f>
        <v>1393</v>
      </c>
      <c r="L238" s="1670">
        <f>SUM(L232:L237)</f>
        <v>1400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f>292+206</f>
        <v>498</v>
      </c>
      <c r="E240" s="616"/>
      <c r="F240" s="616"/>
      <c r="G240" s="616"/>
      <c r="H240" s="616"/>
      <c r="I240" s="616"/>
      <c r="J240" s="616"/>
      <c r="K240" s="1672">
        <f>D240</f>
        <v>498</v>
      </c>
      <c r="L240" s="481">
        <v>700</v>
      </c>
    </row>
    <row r="241" spans="1:12" x14ac:dyDescent="0.2">
      <c r="A241" s="1504" t="s">
        <v>815</v>
      </c>
      <c r="B241" s="614">
        <v>2220</v>
      </c>
      <c r="C241" s="616"/>
      <c r="D241" s="466">
        <v>799</v>
      </c>
      <c r="E241" s="616"/>
      <c r="F241" s="616"/>
      <c r="G241" s="616"/>
      <c r="H241" s="616"/>
      <c r="I241" s="616"/>
      <c r="J241" s="616"/>
      <c r="K241" s="1672">
        <f>D241</f>
        <v>799</v>
      </c>
      <c r="L241" s="466">
        <v>300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1297</v>
      </c>
      <c r="E243" s="616"/>
      <c r="F243" s="616"/>
      <c r="G243" s="616"/>
      <c r="H243" s="616"/>
      <c r="I243" s="616"/>
      <c r="J243" s="616"/>
      <c r="K243" s="1670">
        <f>SUM(K240:K242)</f>
        <v>1297</v>
      </c>
      <c r="L243" s="1670">
        <f>SUM(L240:L242)</f>
        <v>1000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f>445+115</f>
        <v>560</v>
      </c>
      <c r="E245" s="616"/>
      <c r="F245" s="616"/>
      <c r="G245" s="616"/>
      <c r="H245" s="616"/>
      <c r="I245" s="616"/>
      <c r="J245" s="616"/>
      <c r="K245" s="1672">
        <f>D245</f>
        <v>560</v>
      </c>
      <c r="L245" s="481">
        <v>600</v>
      </c>
    </row>
    <row r="246" spans="1:12" x14ac:dyDescent="0.2">
      <c r="A246" s="1504" t="s">
        <v>818</v>
      </c>
      <c r="B246" s="614">
        <v>2320</v>
      </c>
      <c r="C246" s="616"/>
      <c r="D246" s="466">
        <v>1737</v>
      </c>
      <c r="E246" s="616"/>
      <c r="F246" s="616"/>
      <c r="G246" s="616"/>
      <c r="H246" s="616"/>
      <c r="I246" s="616"/>
      <c r="J246" s="616"/>
      <c r="K246" s="1672">
        <f t="shared" ref="K246:K256" si="21">D246</f>
        <v>1737</v>
      </c>
      <c r="L246" s="466">
        <v>1600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2297</v>
      </c>
      <c r="E257" s="616"/>
      <c r="F257" s="616"/>
      <c r="G257" s="616"/>
      <c r="H257" s="616"/>
      <c r="I257" s="616"/>
      <c r="J257" s="616"/>
      <c r="K257" s="1670">
        <f>SUM(K245:K256)</f>
        <v>2297</v>
      </c>
      <c r="L257" s="1670">
        <f>SUM(L245:L256)</f>
        <v>2200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8319</v>
      </c>
      <c r="E259" s="616"/>
      <c r="F259" s="616"/>
      <c r="G259" s="616"/>
      <c r="H259" s="616"/>
      <c r="I259" s="616"/>
      <c r="J259" s="616"/>
      <c r="K259" s="1672">
        <f>D259</f>
        <v>8319</v>
      </c>
      <c r="L259" s="481">
        <v>8400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8319</v>
      </c>
      <c r="E261" s="616"/>
      <c r="F261" s="616"/>
      <c r="G261" s="616"/>
      <c r="H261" s="616"/>
      <c r="I261" s="616"/>
      <c r="J261" s="616"/>
      <c r="K261" s="1670">
        <f>SUM(K259:K260)</f>
        <v>8319</v>
      </c>
      <c r="L261" s="1670">
        <f>SUM(L259:L260)</f>
        <v>8400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9375</v>
      </c>
      <c r="E264" s="616"/>
      <c r="F264" s="616"/>
      <c r="G264" s="616"/>
      <c r="H264" s="616"/>
      <c r="I264" s="616"/>
      <c r="J264" s="616"/>
      <c r="K264" s="1672">
        <f t="shared" ref="K264:K269" si="22">D264</f>
        <v>9375</v>
      </c>
      <c r="L264" s="466">
        <v>8000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17372</v>
      </c>
      <c r="E266" s="616"/>
      <c r="F266" s="616"/>
      <c r="G266" s="616"/>
      <c r="H266" s="616"/>
      <c r="I266" s="616"/>
      <c r="J266" s="616"/>
      <c r="K266" s="1672">
        <f t="shared" si="22"/>
        <v>17372</v>
      </c>
      <c r="L266" s="466">
        <v>18000</v>
      </c>
    </row>
    <row r="267" spans="1:14" x14ac:dyDescent="0.2">
      <c r="A267" s="1504" t="s">
        <v>953</v>
      </c>
      <c r="B267" s="614">
        <v>2550</v>
      </c>
      <c r="C267" s="616"/>
      <c r="D267" s="466">
        <f>7399+25+3897</f>
        <v>11321</v>
      </c>
      <c r="E267" s="616"/>
      <c r="F267" s="616"/>
      <c r="G267" s="616"/>
      <c r="H267" s="616"/>
      <c r="I267" s="616"/>
      <c r="J267" s="616"/>
      <c r="K267" s="1672">
        <f t="shared" si="22"/>
        <v>11321</v>
      </c>
      <c r="L267" s="466">
        <v>8000</v>
      </c>
    </row>
    <row r="268" spans="1:14" x14ac:dyDescent="0.2">
      <c r="A268" s="1504" t="s">
        <v>100</v>
      </c>
      <c r="B268" s="614">
        <v>2560</v>
      </c>
      <c r="C268" s="616"/>
      <c r="D268" s="466">
        <v>8201</v>
      </c>
      <c r="E268" s="616"/>
      <c r="F268" s="616"/>
      <c r="G268" s="616"/>
      <c r="H268" s="616"/>
      <c r="I268" s="616"/>
      <c r="J268" s="616"/>
      <c r="K268" s="1672">
        <f t="shared" si="22"/>
        <v>8201</v>
      </c>
      <c r="L268" s="466">
        <v>9000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46269</v>
      </c>
      <c r="E270" s="616"/>
      <c r="F270" s="616"/>
      <c r="G270" s="616"/>
      <c r="H270" s="616"/>
      <c r="I270" s="616"/>
      <c r="J270" s="616"/>
      <c r="K270" s="1670">
        <f>SUM(K263:K269)</f>
        <v>46269</v>
      </c>
      <c r="L270" s="1670">
        <f>SUM(L263:L269)</f>
        <v>43000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521</v>
      </c>
      <c r="E276" s="616"/>
      <c r="F276" s="616"/>
      <c r="G276" s="616"/>
      <c r="H276" s="616"/>
      <c r="I276" s="616"/>
      <c r="J276" s="616"/>
      <c r="K276" s="1672">
        <f>D276</f>
        <v>521</v>
      </c>
      <c r="L276" s="466">
        <v>1200</v>
      </c>
    </row>
    <row r="277" spans="1:12" ht="12.75" customHeight="1" thickBot="1" x14ac:dyDescent="0.25">
      <c r="A277" s="1691" t="s">
        <v>37</v>
      </c>
      <c r="B277" s="1669" t="s">
        <v>36</v>
      </c>
      <c r="C277" s="616"/>
      <c r="D277" s="1670">
        <f>SUM(D272:D276)</f>
        <v>521</v>
      </c>
      <c r="E277" s="616"/>
      <c r="F277" s="616"/>
      <c r="G277" s="616"/>
      <c r="H277" s="616"/>
      <c r="I277" s="616"/>
      <c r="J277" s="616"/>
      <c r="K277" s="1670">
        <f>SUM(K272:K276)</f>
        <v>521</v>
      </c>
      <c r="L277" s="1670">
        <f>SUM(L272:L276)</f>
        <v>1200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60096</v>
      </c>
      <c r="E279" s="616"/>
      <c r="F279" s="616"/>
      <c r="G279" s="616"/>
      <c r="H279" s="616"/>
      <c r="I279" s="616"/>
      <c r="J279" s="616"/>
      <c r="K279" s="1677">
        <f>SUM(K238,K243,K257,K261,K270,K277,K278)</f>
        <v>60096</v>
      </c>
      <c r="L279" s="1677">
        <f>SUM(L238,L243,L257,L261,L270,L277,L278)</f>
        <v>57200</v>
      </c>
    </row>
    <row r="280" spans="1:12" ht="15.75" customHeight="1" thickTop="1" thickBot="1" x14ac:dyDescent="0.25">
      <c r="A280" s="1624" t="s">
        <v>875</v>
      </c>
      <c r="B280" s="1613">
        <v>3000</v>
      </c>
      <c r="C280" s="616"/>
      <c r="D280" s="576">
        <v>1870</v>
      </c>
      <c r="E280" s="616"/>
      <c r="F280" s="616"/>
      <c r="G280" s="616"/>
      <c r="H280" s="616"/>
      <c r="I280" s="616"/>
      <c r="J280" s="616"/>
      <c r="K280" s="1679">
        <f>D280</f>
        <v>1870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9" t="s">
        <v>505</v>
      </c>
      <c r="B295" s="2180"/>
      <c r="C295" s="616"/>
      <c r="D295" s="1670">
        <f>SUM(D229,D279,D280,D285)</f>
        <v>111166</v>
      </c>
      <c r="E295" s="616"/>
      <c r="F295" s="616"/>
      <c r="G295" s="616"/>
      <c r="H295" s="1670">
        <f>H293</f>
        <v>0</v>
      </c>
      <c r="I295" s="616"/>
      <c r="J295" s="616"/>
      <c r="K295" s="1670">
        <f>SUM(K229,K279,K280,K285,K293,K294)</f>
        <v>111166</v>
      </c>
      <c r="L295" s="1670">
        <f>SUM(L229,L279,L280,L285,L293,L294)</f>
        <v>107550</v>
      </c>
    </row>
    <row r="296" spans="1:14" ht="13.5" thickTop="1" x14ac:dyDescent="0.2">
      <c r="A296" s="2188" t="s">
        <v>996</v>
      </c>
      <c r="B296" s="2189"/>
      <c r="C296" s="616"/>
      <c r="D296" s="618"/>
      <c r="E296" s="616"/>
      <c r="F296" s="616"/>
      <c r="G296" s="616"/>
      <c r="H296" s="687"/>
      <c r="I296" s="616"/>
      <c r="J296" s="616"/>
      <c r="K296" s="1684">
        <f>'Revenues 9-14'!G268-'Expenditures 15-22'!K295</f>
        <v>25145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6" t="s">
        <v>277</v>
      </c>
      <c r="B312" s="2177"/>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2" t="s">
        <v>996</v>
      </c>
      <c r="B313" s="2173"/>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898</v>
      </c>
      <c r="B317" s="218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v>164</v>
      </c>
      <c r="E320" s="467"/>
      <c r="F320" s="467"/>
      <c r="G320" s="467"/>
      <c r="H320" s="467"/>
      <c r="I320" s="467"/>
      <c r="J320" s="467"/>
      <c r="K320" s="1671">
        <f t="shared" ref="K320:K327" si="24">SUM(C320:J320)</f>
        <v>164</v>
      </c>
      <c r="L320" s="467">
        <v>164</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v>58456</v>
      </c>
      <c r="E322" s="467"/>
      <c r="F322" s="467"/>
      <c r="G322" s="467"/>
      <c r="H322" s="467"/>
      <c r="I322" s="467"/>
      <c r="J322" s="467"/>
      <c r="K322" s="1671">
        <f t="shared" si="24"/>
        <v>58456</v>
      </c>
      <c r="L322" s="467">
        <v>58456</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41456</v>
      </c>
      <c r="D325" s="467">
        <v>43426</v>
      </c>
      <c r="E325" s="467"/>
      <c r="F325" s="467"/>
      <c r="G325" s="467">
        <v>7093</v>
      </c>
      <c r="H325" s="467"/>
      <c r="I325" s="467"/>
      <c r="J325" s="467"/>
      <c r="K325" s="1671">
        <f t="shared" si="24"/>
        <v>91975</v>
      </c>
      <c r="L325" s="467">
        <v>89070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v>21704</v>
      </c>
      <c r="E327" s="467"/>
      <c r="F327" s="467"/>
      <c r="G327" s="467"/>
      <c r="H327" s="467"/>
      <c r="I327" s="467"/>
      <c r="J327" s="467"/>
      <c r="K327" s="1671">
        <f t="shared" si="24"/>
        <v>21704</v>
      </c>
      <c r="L327" s="467">
        <v>21704</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41456</v>
      </c>
      <c r="D330" s="1670">
        <f t="shared" ref="D330:J330" si="25">SUM(D319:D329)</f>
        <v>123750</v>
      </c>
      <c r="E330" s="1670">
        <f t="shared" si="25"/>
        <v>0</v>
      </c>
      <c r="F330" s="1670">
        <f t="shared" si="25"/>
        <v>0</v>
      </c>
      <c r="G330" s="1670">
        <f t="shared" si="25"/>
        <v>7093</v>
      </c>
      <c r="H330" s="1670">
        <f t="shared" si="25"/>
        <v>0</v>
      </c>
      <c r="I330" s="1670">
        <f t="shared" si="25"/>
        <v>0</v>
      </c>
      <c r="J330" s="1670">
        <f t="shared" si="25"/>
        <v>0</v>
      </c>
      <c r="K330" s="1670">
        <f>SUM(K319:K329)</f>
        <v>172299</v>
      </c>
      <c r="L330" s="1670">
        <f>SUM(L319:L329)</f>
        <v>169394</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41456</v>
      </c>
      <c r="D342" s="1670">
        <f>SUM(D330)</f>
        <v>123750</v>
      </c>
      <c r="E342" s="1670">
        <f>SUM(E330)</f>
        <v>0</v>
      </c>
      <c r="F342" s="1670">
        <f>SUM(F330)</f>
        <v>0</v>
      </c>
      <c r="G342" s="1670">
        <f>SUM(G330)</f>
        <v>7093</v>
      </c>
      <c r="H342" s="1670">
        <f>SUM(H330,H334,H340)</f>
        <v>0</v>
      </c>
      <c r="I342" s="1670">
        <f>SUM(I330)</f>
        <v>0</v>
      </c>
      <c r="J342" s="1670">
        <f>SUM(J330)</f>
        <v>0</v>
      </c>
      <c r="K342" s="1670">
        <f>SUM(K330,K334,K340)</f>
        <v>172299</v>
      </c>
      <c r="L342" s="1677">
        <f>SUM(L330,L340,L341)</f>
        <v>169394</v>
      </c>
    </row>
    <row r="343" spans="1:14" ht="12.75" customHeight="1" thickTop="1" x14ac:dyDescent="0.2">
      <c r="A343" s="2174" t="s">
        <v>996</v>
      </c>
      <c r="B343" s="2175"/>
      <c r="C343" s="616"/>
      <c r="D343" s="616"/>
      <c r="E343" s="616"/>
      <c r="F343" s="616"/>
      <c r="G343" s="616"/>
      <c r="H343" s="616"/>
      <c r="I343" s="616"/>
      <c r="J343" s="616"/>
      <c r="K343" s="1684">
        <f>'Revenues 9-14'!J268-'Expenditures 15-22'!K342</f>
        <v>-19823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966</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8" t="s">
        <v>996</v>
      </c>
      <c r="B368" s="2189"/>
      <c r="C368" s="654"/>
      <c r="D368" s="654"/>
      <c r="E368" s="626"/>
      <c r="F368" s="626"/>
      <c r="G368" s="626"/>
      <c r="H368" s="626"/>
      <c r="I368" s="626"/>
      <c r="J368" s="623"/>
      <c r="K368" s="1671">
        <f>'Revenues 9-14'!K268-'Expenditures 15-22'!K367</f>
        <v>29411</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purl.org/dc/terms/"/>
    <ds:schemaRef ds:uri="http://schemas.microsoft.com/office/2006/documentManagement/types"/>
    <ds:schemaRef ds:uri="6ce3111e-7420-4802-b50a-75d4e9a0b980"/>
    <ds:schemaRef ds:uri="http://purl.org/dc/dcmitype/"/>
    <ds:schemaRef ds:uri="http://purl.org/dc/elements/1.1/"/>
    <ds:schemaRef ds:uri="http://schemas.microsoft.com/sharepoint/v3"/>
    <ds:schemaRef ds:uri="4d435f69-8686-490b-bd6d-b153bf22ab50"/>
    <ds:schemaRef ds:uri="http://schemas.microsoft.com/office/2006/metadata/properties"/>
    <ds:schemaRef ds:uri="http://schemas.microsoft.com/office/infopath/2007/PartnerControls"/>
    <ds:schemaRef ds:uri="http://schemas.openxmlformats.org/package/2006/metadata/core-properties"/>
    <ds:schemaRef ds:uri="d21dc803-237d-4c68-8692-8d731fd29118"/>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HEMBERGER MICHELLE</cp:lastModifiedBy>
  <cp:lastPrinted>2019-09-27T17:39:44Z</cp:lastPrinted>
  <dcterms:created xsi:type="dcterms:W3CDTF">2003-10-29T19:06:34Z</dcterms:created>
  <dcterms:modified xsi:type="dcterms:W3CDTF">2019-10-30T16:56:16Z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f889e915-8a2a-47be-aae7-e0b7ecbfc62c</vt:lpwstr>
  </property>
</Properties>
</file>