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C294DAA-1352-452D-884A-DD6ACCDF9627}" xr6:coauthVersionLast="36" xr6:coauthVersionMax="36" xr10:uidLastSave="{00000000-0000-0000-0000-000000000000}"/>
  <bookViews>
    <workbookView xWindow="-15" yWindow="13890" windowWidth="28830" windowHeight="6210" tabRatio="959" firstSheet="1" activeTab="1" xr2:uid="{00000000-000D-0000-FFFF-FFFF00000000}"/>
  </bookViews>
  <sheets>
    <sheet name="Shared Outsourced Services  (2)" sheetId="186"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 SEFA (2)" sheetId="183" r:id="rId30"/>
    <sheet name=" SEFA (3)"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8">' SEFA'!$B$1:$M$46</definedName>
    <definedName name="_xlnm.Print_Area" localSheetId="29">' SEFA (2)'!$B$1:$M$46</definedName>
    <definedName name="_xlnm.Print_Area" localSheetId="30">' SEFA (3)'!$B$1:$M$46</definedName>
    <definedName name="_xlnm.Print_Area" localSheetId="31">'SEFA NOTES'!$A$1:$F$52</definedName>
    <definedName name="_xlnm.Print_Area" localSheetId="27">'SEFA Reconcile'!$A$1:$E$49</definedName>
    <definedName name="_xlnm.Print_Area" localSheetId="32">'SF&amp;QC Sec-1'!$A$1:$J$63</definedName>
    <definedName name="_xlnm.Print_Area" localSheetId="34">'SF&amp;QC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0">'Shared Outsourced Services  (2)'!$5:$5</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18">#REF!</definedName>
    <definedName name="SCHADDRS" localSheetId="22">#REF!</definedName>
    <definedName name="SCHADDRS" localSheetId="5">#REF!</definedName>
    <definedName name="SCHADDRS" localSheetId="31">#REF!</definedName>
    <definedName name="SCHADDRS" localSheetId="27">#REF!</definedName>
    <definedName name="SCHADDRS" localSheetId="32">#REF!</definedName>
    <definedName name="SCHADDRS" localSheetId="33">#REF!</definedName>
    <definedName name="SCHADDRS" localSheetId="34">#REF!</definedName>
    <definedName name="SCHADDRS" localSheetId="0">#REF!</definedName>
    <definedName name="SCHADDRS" localSheetId="26">#REF!</definedName>
    <definedName name="SCHADDRS" localSheetId="25">#REF!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18">#REF!</definedName>
    <definedName name="SCHCTY" localSheetId="22">#REF!</definedName>
    <definedName name="SCHCTY" localSheetId="5">#REF!</definedName>
    <definedName name="SCHCTY" localSheetId="31">#REF!</definedName>
    <definedName name="SCHCTY" localSheetId="27">#REF!</definedName>
    <definedName name="SCHCTY" localSheetId="32">#REF!</definedName>
    <definedName name="SCHCTY" localSheetId="33">#REF!</definedName>
    <definedName name="SCHCTY" localSheetId="34">#REF!</definedName>
    <definedName name="SCHCTY" localSheetId="0">#REF!</definedName>
    <definedName name="SCHCTY" localSheetId="26">#REF!</definedName>
    <definedName name="SCHCTY" localSheetId="25">#REF!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18">#REF!</definedName>
    <definedName name="SCHNMBR" localSheetId="22">#REF!</definedName>
    <definedName name="SCHNMBR" localSheetId="5">#REF!</definedName>
    <definedName name="SCHNMBR" localSheetId="31">#REF!</definedName>
    <definedName name="SCHNMBR" localSheetId="27">#REF!</definedName>
    <definedName name="SCHNMBR" localSheetId="32">#REF!</definedName>
    <definedName name="SCHNMBR" localSheetId="33">#REF!</definedName>
    <definedName name="SCHNMBR" localSheetId="34">#REF!</definedName>
    <definedName name="SCHNMBR" localSheetId="0">#REF!</definedName>
    <definedName name="SCHNMBR" localSheetId="26">#REF!</definedName>
    <definedName name="SCHNMBR" localSheetId="25">#REF!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18">#REF!</definedName>
    <definedName name="SCHNME" localSheetId="22">#REF!</definedName>
    <definedName name="SCHNME" localSheetId="5">#REF!</definedName>
    <definedName name="SCHNME" localSheetId="31">#REF!</definedName>
    <definedName name="SCHNME" localSheetId="27">#REF!</definedName>
    <definedName name="SCHNME" localSheetId="32">#REF!</definedName>
    <definedName name="SCHNME" localSheetId="33">#REF!</definedName>
    <definedName name="SCHNME" localSheetId="34">#REF!</definedName>
    <definedName name="SCHNME" localSheetId="0">#REF!</definedName>
    <definedName name="SCHNME" localSheetId="26">#REF!</definedName>
    <definedName name="SCHNME" localSheetId="25">#REF!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18">#REF!</definedName>
    <definedName name="SUPT" localSheetId="22">#REF!</definedName>
    <definedName name="SUPT" localSheetId="5">#REF!</definedName>
    <definedName name="SUPT" localSheetId="31">#REF!</definedName>
    <definedName name="SUPT" localSheetId="27">#REF!</definedName>
    <definedName name="SUPT" localSheetId="32">#REF!</definedName>
    <definedName name="SUPT" localSheetId="33">#REF!</definedName>
    <definedName name="SUPT" localSheetId="34">#REF!</definedName>
    <definedName name="SUPT" localSheetId="0">#REF!</definedName>
    <definedName name="SUPT" localSheetId="26">#REF!</definedName>
    <definedName name="SUPT" localSheetId="25">#REF!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3" i="186" l="1"/>
  <c r="I33" i="186"/>
  <c r="H33" i="186"/>
  <c r="J32" i="186"/>
  <c r="I32" i="186"/>
  <c r="H32" i="186"/>
  <c r="J31" i="186"/>
  <c r="I31" i="186"/>
  <c r="H31" i="186"/>
  <c r="J30" i="186"/>
  <c r="I30" i="186"/>
  <c r="H30" i="186"/>
  <c r="J29" i="186"/>
  <c r="I29" i="186"/>
  <c r="H29" i="186"/>
  <c r="J28" i="186"/>
  <c r="I28" i="186"/>
  <c r="H28" i="186"/>
  <c r="J27" i="186"/>
  <c r="I27" i="186"/>
  <c r="H27" i="186"/>
  <c r="J26" i="186"/>
  <c r="I26" i="186"/>
  <c r="H26" i="186"/>
  <c r="J25" i="186"/>
  <c r="I25" i="186"/>
  <c r="H25" i="186"/>
  <c r="J24" i="186"/>
  <c r="I24" i="186"/>
  <c r="H24" i="186"/>
  <c r="J23" i="186"/>
  <c r="I23" i="186"/>
  <c r="H23" i="186"/>
  <c r="J22" i="186"/>
  <c r="I22" i="186"/>
  <c r="H22" i="186"/>
  <c r="J21" i="186"/>
  <c r="I21" i="186"/>
  <c r="H21" i="186"/>
  <c r="J20" i="186"/>
  <c r="I20" i="186"/>
  <c r="H20" i="186"/>
  <c r="J19" i="186"/>
  <c r="I19" i="186"/>
  <c r="H19" i="186"/>
  <c r="J18" i="186"/>
  <c r="I18" i="186"/>
  <c r="H18" i="186"/>
  <c r="J17" i="186"/>
  <c r="I17" i="186"/>
  <c r="H17" i="186"/>
  <c r="J16" i="186"/>
  <c r="I16" i="186"/>
  <c r="H16" i="186"/>
  <c r="J15" i="186"/>
  <c r="I15" i="186"/>
  <c r="H15" i="186"/>
  <c r="J14" i="186"/>
  <c r="I14" i="186"/>
  <c r="H14" i="186"/>
  <c r="J13" i="186"/>
  <c r="I13" i="186"/>
  <c r="H13" i="186"/>
  <c r="J12" i="186"/>
  <c r="J34" i="186" s="1"/>
  <c r="I12" i="186"/>
  <c r="H12" i="186"/>
  <c r="H34" i="186" s="1"/>
  <c r="J11" i="186"/>
  <c r="I11" i="186"/>
  <c r="I34" i="186" s="1"/>
  <c r="H11" i="186"/>
  <c r="C7" i="186"/>
  <c r="C6" i="186"/>
  <c r="K34" i="186" l="1"/>
  <c r="G33" i="8"/>
  <c r="C4" i="3" l="1"/>
  <c r="L27" i="185" l="1"/>
  <c r="L26" i="185"/>
  <c r="L25" i="185"/>
  <c r="L24" i="185"/>
  <c r="L23" i="185"/>
  <c r="L22" i="185"/>
  <c r="L21" i="185"/>
  <c r="L20" i="185"/>
  <c r="L19" i="185"/>
  <c r="L18" i="185"/>
  <c r="L17" i="185"/>
  <c r="L16" i="185"/>
  <c r="L15" i="185"/>
  <c r="L14" i="185"/>
  <c r="L13" i="185"/>
  <c r="L12" i="185"/>
  <c r="L11" i="185"/>
  <c r="B4" i="185"/>
  <c r="L27" i="183"/>
  <c r="L26" i="183"/>
  <c r="L25" i="183"/>
  <c r="L24" i="183"/>
  <c r="L23" i="183"/>
  <c r="L22" i="183"/>
  <c r="L21" i="183"/>
  <c r="L20" i="183"/>
  <c r="L19" i="183"/>
  <c r="L18" i="183"/>
  <c r="L17" i="183"/>
  <c r="L16" i="183"/>
  <c r="L15" i="183"/>
  <c r="L14" i="183"/>
  <c r="L13" i="183"/>
  <c r="L12" i="183"/>
  <c r="L11" i="183"/>
  <c r="B4" i="183"/>
  <c r="I13" i="11" l="1"/>
  <c r="D13" i="11"/>
  <c r="D5" i="29"/>
  <c r="G37" i="8" l="1"/>
  <c r="I12" i="11"/>
  <c r="G124" i="29"/>
  <c r="E124" i="29"/>
  <c r="E79" i="29"/>
  <c r="D75" i="29"/>
  <c r="D68" i="29"/>
  <c r="C55" i="29"/>
  <c r="F124" i="29"/>
  <c r="D28" i="4"/>
  <c r="H79" i="29"/>
  <c r="H44" i="29"/>
  <c r="H8" i="29"/>
  <c r="C168" i="5"/>
  <c r="C65" i="5"/>
  <c r="H170" i="29"/>
  <c r="H169" i="29"/>
  <c r="L169" i="29"/>
  <c r="E322" i="29"/>
  <c r="D274" i="29"/>
  <c r="D30" i="4"/>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6"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3"/>
  <c r="B2" i="179"/>
  <c r="B2" i="185"/>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C14" i="4" s="1"/>
  <c r="B2558" i="106" s="1"/>
  <c r="D2558" i="106" s="1"/>
  <c r="K130" i="29"/>
  <c r="K185" i="29"/>
  <c r="K122" i="29"/>
  <c r="F15" i="145" s="1"/>
  <c r="F19" i="145" s="1"/>
  <c r="K67" i="29"/>
  <c r="K64" i="29"/>
  <c r="F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5" i="127"/>
  <c r="B66" i="127"/>
  <c r="D26" i="108"/>
  <c r="E26" i="108"/>
  <c r="F26" i="108"/>
  <c r="G26" i="108"/>
  <c r="E27" i="108"/>
  <c r="G27" i="108"/>
  <c r="E28" i="108"/>
  <c r="F28" i="108"/>
  <c r="F36" i="108"/>
  <c r="G28" i="108"/>
  <c r="E30" i="108"/>
  <c r="D36" i="108"/>
  <c r="E31" i="108"/>
  <c r="G31" i="108"/>
  <c r="E33" i="108"/>
  <c r="G33"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F14" i="4"/>
  <c r="B2597" i="106" s="1"/>
  <c r="D2597" i="106" s="1"/>
  <c r="B2633" i="106"/>
  <c r="D2633" i="106" s="1"/>
  <c r="N22" i="3"/>
  <c r="B283" i="106" s="1"/>
  <c r="D283" i="106" s="1"/>
  <c r="D7" i="118"/>
  <c r="D8" i="118"/>
  <c r="D9" i="118"/>
  <c r="H14" i="118"/>
  <c r="H19" i="118"/>
  <c r="H24" i="118"/>
  <c r="H28" i="118"/>
  <c r="D22" i="37"/>
  <c r="J22" i="37"/>
  <c r="L22" i="37"/>
  <c r="D24" i="37"/>
  <c r="B4270" i="106" s="1"/>
  <c r="D4270" i="106" s="1"/>
  <c r="L5" i="11"/>
  <c r="B2056" i="106" s="1"/>
  <c r="D2056" i="106" s="1"/>
  <c r="D9" i="7"/>
  <c r="B1767" i="106" s="1"/>
  <c r="D1767" i="106" s="1"/>
  <c r="B5752" i="106"/>
  <c r="D5752" i="106" s="1"/>
  <c r="D17" i="7"/>
  <c r="B4104" i="106" s="1"/>
  <c r="D4104" i="106" s="1"/>
  <c r="B3647" i="106" l="1"/>
  <c r="D3647" i="106" s="1"/>
  <c r="H76" i="4"/>
  <c r="B3298" i="106" s="1"/>
  <c r="D3298" i="106" s="1"/>
  <c r="B1308" i="106"/>
  <c r="D1308" i="106" s="1"/>
  <c r="E174" i="29"/>
  <c r="B1309" i="106" s="1"/>
  <c r="D1309" i="106" s="1"/>
  <c r="D7245" i="106"/>
  <c r="D6103" i="106"/>
  <c r="L13" i="11"/>
  <c r="B2060" i="106" s="1"/>
  <c r="D2060" i="106" s="1"/>
  <c r="D69" i="36"/>
  <c r="F19" i="7"/>
  <c r="B1807" i="106" s="1"/>
  <c r="D1807" i="106" s="1"/>
  <c r="E34" i="108"/>
  <c r="F52" i="34"/>
  <c r="G39" i="108"/>
  <c r="D37" i="108"/>
  <c r="F37" i="108"/>
  <c r="F41" i="108" s="1"/>
  <c r="G43" i="108" s="1"/>
  <c r="D31" i="108"/>
  <c r="G30" i="108"/>
  <c r="D27" i="108"/>
  <c r="D41" i="108" s="1"/>
  <c r="E43" i="108" s="1"/>
  <c r="F38" i="34"/>
  <c r="B3254" i="106"/>
  <c r="D3254" i="106" s="1"/>
  <c r="K184" i="29"/>
  <c r="F13" i="4" s="1"/>
  <c r="B2596" i="106" s="1"/>
  <c r="D2596" i="106" s="1"/>
  <c r="E29" i="108"/>
  <c r="G29" i="108"/>
  <c r="J77" i="4"/>
  <c r="B6262" i="106" s="1"/>
  <c r="D6262" i="106" s="1"/>
  <c r="K76" i="4"/>
  <c r="B3586" i="106" s="1"/>
  <c r="D3586" i="106" s="1"/>
  <c r="D52" i="36"/>
  <c r="L342" i="29"/>
  <c r="D31" i="36"/>
  <c r="D11" i="37"/>
  <c r="H29" i="118"/>
  <c r="K28" i="118" s="1"/>
  <c r="O27" i="118" s="1"/>
  <c r="O29" i="118" s="1"/>
  <c r="H33" i="118"/>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44" i="36" l="1"/>
  <c r="L16" i="11"/>
  <c r="B2061" i="106" s="1"/>
  <c r="D2061" i="106" s="1"/>
  <c r="C114" i="29"/>
  <c r="B757" i="106" s="1"/>
  <c r="D757" i="106" s="1"/>
  <c r="B1328" i="106"/>
  <c r="D1328" i="106" s="1"/>
  <c r="B1317" i="106"/>
  <c r="D1317" i="106" s="1"/>
  <c r="B5527" i="106"/>
  <c r="D5527" i="106" s="1"/>
  <c r="F174" i="34"/>
  <c r="K342" i="29"/>
  <c r="F13" i="34" s="1"/>
  <c r="L114" i="29"/>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B7224" i="106"/>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D8" i="146" l="1"/>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<sst xmlns="http://schemas.openxmlformats.org/spreadsheetml/2006/main" count="5359" uniqueCount="2171">
  <si>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</si>
  <si>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</si>
  <si>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</si>
  <si>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</si>
  <si>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</si>
  <si>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</si>
  <si>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</si>
  <si>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</si>
  <si>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</si>
  <si>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</si>
  <si>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</si>
  <si>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</si>
  <si>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</si>
  <si>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</si>
  <si>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</si>
  <si>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</si>
  <si>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</si>
  <si>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</si>
  <si>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</si>
  <si>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</si>
  <si>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</si>
  <si>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</si>
  <si>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</si>
  <si>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</si>
  <si>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</si>
  <si>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</si>
  <si>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</si>
  <si>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</si>
  <si>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</si>
  <si>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</si>
  <si>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</si>
  <si>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</si>
  <si>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</si>
  <si>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</si>
  <si>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</si>
  <si>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</si>
  <si>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</si>
  <si>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</si>
  <si>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</si>
  <si>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</si>
  <si>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</si>
  <si>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</si>
  <si>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</si>
  <si>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</si>
  <si>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</si>
  <si>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</si>
  <si>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</si>
  <si>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</si>
  <si>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</si>
  <si>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</si>
  <si>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</si>
  <si>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</si>
  <si>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</si>
  <si>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</si>
  <si>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</si>
  <si>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</si>
  <si>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</si>
  <si>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</si>
  <si>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</si>
  <si>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</si>
  <si>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</si>
  <si>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</si>
  <si>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</si>
  <si>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</si>
  <si>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</si>
  <si>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</si>
  <si>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</si>
  <si>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</si>
  <si>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</si>
  <si>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</si>
  <si>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</si>
  <si>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</si>
  <si>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</si>
  <si>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</si>
  <si>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</si>
  <si>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</si>
  <si>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</si>
  <si>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</si>
  <si>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</si>
  <si>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</si>
  <si>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</si>
  <si>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</si>
  <si>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</si>
  <si>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</si>
  <si>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</si>
  <si>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</si>
  <si>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</si>
  <si>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</si>
  <si>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</si>
  <si>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</si>
  <si>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</si>
  <si>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</si>
  <si>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</si>
  <si>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</si>
  <si>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</si>
  <si>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</si>
  <si>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</si>
  <si>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</si>
  <si>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</si>
  <si>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</si>
  <si>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</si>
  <si>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</si>
  <si>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</si>
  <si>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</si>
  <si>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</si>
  <si>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</si>
  <si>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</si>
  <si>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</si>
  <si>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</si>
  <si>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</si>
  <si>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</si>
  <si>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</si>
  <si>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</si>
  <si>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</si>
  <si>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</si>
  <si>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</si>
  <si>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</si>
  <si>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</si>
  <si>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</si>
  <si>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</si>
  <si>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</si>
  <si>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</si>
  <si>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</si>
  <si>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</si>
  <si>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</si>
  <si>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</si>
  <si>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</si>
  <si>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</si>
  <si>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</si>
  <si>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</si>
  <si>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</si>
  <si>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</si>
  <si>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</si>
  <si>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</si>
  <si>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</si>
  <si>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</si>
  <si>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</si>
  <si>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</si>
  <si>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</si>
  <si>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</si>
  <si>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</si>
  <si>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</si>
  <si>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</si>
  <si>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</si>
  <si>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</si>
  <si>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</si>
  <si>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</si>
  <si>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</si>
  <si>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</si>
  <si>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</si>
  <si>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</si>
  <si>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</si>
  <si>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</si>
  <si>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</si>
  <si>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</si>
  <si>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</si>
  <si>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</si>
  <si>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</si>
  <si>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</si>
  <si>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</si>
  <si>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</si>
  <si>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</si>
  <si>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</si>
  <si>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</si>
  <si>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</si>
  <si>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</si>
  <si>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</si>
  <si>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</si>
  <si>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</si>
  <si>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</si>
  <si>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</si>
  <si>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</si>
  <si>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</si>
  <si>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</si>
  <si>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</si>
  <si>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</si>
  <si>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</si>
  <si>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</si>
  <si>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</si>
  <si>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</si>
  <si>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</si>
  <si>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</si>
  <si>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</si>
  <si>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</si>
  <si>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</si>
  <si>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</si>
  <si>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</si>
  <si>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</si>
  <si>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</si>
  <si>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</si>
  <si>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</si>
  <si>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</si>
  <si>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</si>
  <si>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</si>
  <si>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</si>
  <si>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</si>
  <si>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</si>
  <si>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</si>
  <si>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</si>
  <si>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</si>
  <si>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</si>
  <si>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</si>
  <si>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</si>
  <si>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</si>
  <si>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</si>
  <si>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</si>
  <si>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</si>
  <si>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</si>
  <si>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</si>
  <si>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</si>
  <si>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</si>
  <si>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</si>
  <si>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</si>
  <si>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</si>
  <si>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</si>
  <si>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</si>
  <si>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</si>
  <si>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</si>
  <si>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</si>
  <si>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</si>
  <si>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</si>
  <si>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</si>
  <si>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</si>
  <si>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</si>
  <si>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</si>
  <si>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</si>
  <si>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</si>
  <si>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</si>
  <si>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</si>
  <si>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</si>
  <si>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</si>
  <si>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</si>
  <si>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</si>
  <si>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</si>
  <si>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</si>
  <si>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</si>
  <si>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</si>
  <si>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</si>
  <si>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</si>
  <si>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</si>
  <si>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</si>
  <si>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</si>
  <si>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</si>
  <si>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</si>
  <si>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</si>
  <si>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</si>
  <si>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</si>
  <si>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</si>
  <si>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</si>
  <si>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</si>
  <si>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</si>
  <si>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</si>
  <si>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</si>
  <si>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</si>
  <si>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</si>
  <si>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</si>
  <si>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</si>
  <si>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</si>
  <si>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</si>
  <si>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</si>
  <si>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</si>
  <si>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</si>
  <si>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</si>
  <si>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</si>
  <si>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</si>
  <si>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</si>
  <si>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</si>
  <si>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</si>
  <si>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</si>
  <si>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</si>
  <si>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</si>
  <si>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</si>
  <si>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</si>
  <si>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</si>
  <si>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</si>
  <si>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</si>
  <si>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</si>
  <si>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</si>
  <si>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</si>
  <si>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</si>
  <si>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</si>
  <si>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</si>
  <si>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</si>
  <si>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</si>
  <si>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</si>
  <si>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</si>
  <si>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</si>
  <si>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</si>
  <si>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</si>
  <si>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</si>
  <si>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</si>
  <si>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</si>
  <si>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</si>
  <si>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</si>
  <si>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</si>
  <si>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</si>
  <si>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</si>
  <si>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</si>
  <si>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</si>
  <si>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</si>
  <si>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</si>
  <si>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</si>
  <si>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</si>
  <si>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</si>
  <si>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</si>
  <si>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</si>
  <si>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</si>
  <si>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</si>
  <si>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</si>
  <si>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</si>
  <si>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</si>
  <si>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</si>
  <si>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</si>
  <si>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</si>
  <si>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</si>
  <si>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</si>
  <si>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</si>
  <si>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</si>
  <si>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</si>
  <si>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</si>
  <si>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</si>
  <si>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</si>
  <si>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</si>
  <si>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</si>
  <si>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</si>
  <si>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</si>
  <si>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</si>
  <si>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</si>
  <si>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</si>
  <si>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</si>
  <si>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</si>
  <si>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</si>
  <si>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</si>
  <si>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</si>
  <si>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</si>
  <si>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</si>
  <si>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</si>
  <si>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</si>
  <si>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</si>
  <si>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</si>
  <si>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</si>
  <si>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</si>
  <si>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</si>
  <si>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</si>
  <si>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</si>
  <si>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</si>
  <si>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</si>
  <si>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</si>
  <si>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</si>
  <si>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</si>
  <si>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</si>
  <si>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</si>
  <si>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</si>
  <si>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</si>
  <si>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</si>
  <si>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</si>
  <si>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</si>
  <si>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</si>
  <si>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</si>
  <si>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</si>
  <si>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</si>
  <si>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</si>
  <si>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</si>
  <si>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</si>
  <si>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</si>
  <si>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</si>
  <si>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</si>
  <si>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</si>
  <si>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</si>
  <si>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</si>
  <si>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</si>
  <si>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</si>
  <si>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</si>
  <si>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</si>
  <si>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</si>
  <si>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</si>
  <si>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</si>
  <si>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</si>
  <si>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</si>
  <si>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</si>
  <si>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</si>
  <si>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</si>
  <si>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</si>
  <si>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</si>
  <si>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</si>
  <si>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</si>
  <si>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</si>
  <si>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</si>
  <si>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</si>
  <si>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</si>
  <si>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</si>
  <si>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</si>
  <si>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</si>
  <si>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</si>
  <si>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</si>
  <si>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</si>
  <si>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</si>
  <si>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</si>
  <si>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</si>
  <si>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</si>
  <si>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</si>
  <si>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</si>
  <si>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</si>
  <si>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</si>
  <si>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</si>
  <si>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</si>
  <si>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</si>
  <si>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</si>
  <si>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</si>
  <si>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</si>
  <si>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</si>
  <si>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</si>
  <si>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</si>
  <si>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</si>
  <si>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</si>
  <si>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</si>
  <si>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</si>
  <si>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</si>
  <si>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</si>
  <si>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</si>
  <si>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</si>
  <si>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</si>
  <si>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</si>
  <si>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</si>
  <si>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</si>
  <si>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</si>
  <si>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</si>
  <si>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</si>
  <si>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</si>
  <si>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</si>
  <si>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</si>
  <si>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</si>
  <si>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</si>
  <si>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</si>
  <si>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</si>
  <si>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</si>
  <si>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</si>
  <si>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</si>
  <si>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</si>
  <si>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</si>
  <si>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</si>
  <si>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</si>
  <si>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</si>
  <si>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</si>
  <si>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</si>
  <si>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</si>
  <si>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</si>
  <si>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</si>
  <si>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</si>
  <si>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</si>
  <si>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</si>
  <si>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</si>
  <si>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</si>
  <si>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</si>
  <si>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</si>
  <si>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</si>
  <si>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</si>
  <si>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</si>
  <si>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</si>
  <si>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</si>
  <si>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</si>
  <si>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</si>
  <si>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</si>
  <si>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</si>
  <si>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</si>
  <si>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</si>
  <si>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</si>
  <si>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</si>
  <si>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</si>
  <si>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</si>
  <si>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</si>
  <si>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</si>
  <si>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</si>
  <si>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</si>
  <si>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</si>
  <si>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</si>
  <si>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</si>
  <si>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</si>
  <si>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</si>
  <si>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</si>
  <si>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</si>
  <si>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</si>
  <si>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</si>
  <si>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</si>
  <si>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</si>
  <si>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</si>
  <si>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</si>
  <si>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</si>
  <si>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</si>
  <si>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</si>
  <si>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</si>
  <si>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</si>
  <si>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</si>
  <si>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</si>
  <si>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</si>
  <si>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</si>
  <si>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</si>
  <si>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</si>
  <si>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</si>
  <si>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</si>
  <si>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</si>
  <si>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</si>
  <si>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</si>
  <si>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</si>
  <si>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</si>
  <si>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</si>
  <si>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</si>
  <si>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</si>
  <si>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</si>
  <si>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</si>
  <si>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</si>
  <si>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</si>
  <si>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</si>
  <si>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</si>
  <si>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</si>
  <si>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</si>
  <si>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</si>
  <si>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</si>
  <si>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</si>
  <si>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</si>
  <si>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</si>
  <si>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</si>
  <si>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</si>
  <si>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</si>
  <si>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</si>
  <si>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</si>
  <si>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</si>
  <si>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</si>
  <si>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</si>
  <si>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</si>
  <si>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</si>
  <si>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</si>
  <si>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</si>
  <si>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</si>
  <si>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</si>
  <si>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</si>
  <si>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</si>
  <si>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</si>
  <si>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</si>
  <si>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</si>
  <si>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</si>
  <si>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</si>
  <si>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</si>
  <si>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</si>
  <si>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</si>
  <si>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</si>
  <si>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</si>
  <si>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</si>
  <si>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</si>
  <si>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</si>
  <si>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</si>
  <si>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</si>
  <si>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</si>
  <si>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</si>
  <si>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</si>
  <si>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</si>
  <si>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</si>
  <si>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</si>
  <si>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</si>
  <si>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</si>
  <si>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</si>
  <si>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</si>
  <si>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</si>
  <si>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</si>
  <si>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</si>
  <si>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</si>
  <si>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</si>
  <si>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</si>
  <si>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</si>
  <si>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</si>
  <si>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</si>
  <si>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</si>
  <si>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</si>
  <si>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</si>
  <si>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</si>
  <si>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</si>
  <si>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</si>
  <si>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</si>
  <si>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</si>
  <si>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</si>
  <si>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</si>
  <si>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</si>
  <si>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</si>
  <si>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</si>
  <si>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</si>
  <si>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</si>
  <si>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</si>
  <si>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</si>
  <si>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</si>
  <si>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</si>
  <si>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</si>
  <si>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</si>
  <si>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</si>
  <si>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</si>
  <si>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</si>
  <si>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</si>
  <si>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</si>
  <si>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</si>
  <si>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</si>
  <si>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</si>
  <si>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</si>
  <si>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</si>
  <si>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</si>
  <si>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</si>
  <si>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</si>
  <si>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</si>
  <si>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</si>
  <si>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</si>
  <si>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</si>
  <si>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</si>
  <si>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</si>
  <si>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</si>
  <si>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</si>
  <si>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</si>
  <si>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</si>
  <si>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</si>
  <si>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</si>
  <si>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</si>
  <si>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</si>
  <si>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</si>
  <si>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</si>
  <si>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</si>
  <si>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</si>
  <si>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</si>
  <si>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</si>
  <si>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</si>
  <si>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</si>
  <si>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</si>
  <si>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</si>
  <si>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</si>
  <si>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</si>
  <si>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</si>
  <si>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</si>
  <si>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</si>
  <si>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</si>
  <si>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</si>
  <si>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</si>
  <si>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</si>
  <si>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</si>
  <si>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</si>
  <si>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</si>
  <si>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</si>
  <si>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</si>
  <si>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</si>
  <si>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</si>
  <si>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</si>
  <si>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</si>
  <si>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</si>
  <si>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</si>
  <si>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</si>
  <si>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</si>
  <si>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</si>
  <si>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</si>
  <si>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</si>
  <si>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</si>
  <si>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</si>
  <si>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</si>
  <si>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</si>
  <si>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</si>
  <si>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</si>
  <si>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</si>
  <si>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</si>
  <si>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</si>
  <si>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</si>
  <si>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</si>
  <si>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</si>
  <si>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</si>
  <si>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</si>
  <si>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</si>
  <si>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</si>
  <si>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</si>
  <si>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</si>
  <si>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</si>
  <si>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</si>
  <si>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</si>
  <si>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</si>
  <si>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</si>
  <si>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</si>
  <si>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</si>
  <si>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</si>
  <si>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</si>
  <si>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</si>
  <si>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</si>
  <si>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</si>
  <si>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</si>
  <si>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</si>
  <si>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</si>
  <si>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</si>
  <si>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</si>
  <si>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</si>
  <si>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</si>
  <si>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</si>
  <si>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</si>
  <si>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</si>
  <si>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</si>
  <si>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</si>
  <si>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</si>
  <si>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</si>
  <si>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</si>
  <si>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</si>
  <si>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</si>
  <si>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</si>
  <si>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</si>
  <si>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</si>
  <si>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</si>
  <si>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</si>
  <si>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</si>
  <si>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</si>
  <si>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</si>
  <si>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</si>
  <si>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</si>
  <si>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</si>
  <si>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</si>
  <si>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</si>
  <si>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</si>
  <si>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</si>
  <si>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</si>
  <si>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</si>
  <si>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</si>
  <si>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</si>
  <si>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</si>
  <si>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</si>
  <si>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</si>
  <si>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</si>
  <si>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</si>
  <si>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</si>
  <si>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</si>
  <si>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</si>
  <si>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</si>
  <si>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</si>
  <si>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</si>
  <si>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</si>
  <si>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</si>
  <si>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</si>
  <si>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</si>
  <si>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</si>
  <si>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</si>
  <si>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</si>
  <si>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</si>
  <si>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</si>
  <si>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</si>
  <si>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</si>
  <si>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</si>
  <si>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</si>
  <si>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</si>
  <si>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</si>
  <si>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</si>
  <si>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</si>
  <si>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</si>
  <si>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</si>
  <si>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</si>
  <si>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</si>
  <si>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</si>
  <si>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</si>
  <si>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</si>
  <si>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</si>
  <si>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</si>
  <si>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</si>
  <si>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</si>
  <si>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</si>
  <si>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</si>
  <si>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</si>
  <si>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</si>
  <si>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</si>
  <si>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</si>
  <si>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</si>
  <si>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</si>
  <si>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</si>
  <si>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</si>
  <si>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</si>
  <si>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</si>
  <si>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</si>
  <si>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</si>
  <si>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</si>
  <si>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</si>
  <si>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</si>
  <si>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</si>
  <si>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</si>
  <si>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</si>
  <si>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</si>
  <si>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</si>
  <si>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</si>
  <si>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</si>
  <si>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</si>
  <si>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</si>
  <si>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</si>
  <si>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</si>
  <si>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</si>
  <si>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</si>
  <si>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</si>
  <si>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</si>
  <si>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</si>
  <si>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</si>
  <si>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</si>
  <si>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</si>
  <si>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</si>
  <si>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</si>
  <si>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</si>
  <si>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</si>
  <si>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</si>
  <si>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</si>
  <si>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</si>
  <si>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</si>
  <si>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</si>
  <si>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</si>
  <si>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</si>
  <si>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</si>
  <si>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</si>
  <si>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</si>
  <si>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</si>
  <si>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</si>
  <si>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</si>
  <si>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</si>
  <si>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</si>
  <si>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</si>
  <si>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</si>
  <si>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</si>
  <si>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</si>
  <si>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</si>
  <si>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</si>
  <si>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</si>
  <si>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</si>
  <si>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</si>
  <si>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</si>
  <si>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</si>
  <si>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</si>
  <si>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</si>
  <si>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</si>
  <si>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</si>
  <si>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</si>
  <si>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</si>
  <si>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</si>
  <si>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</si>
  <si>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</si>
  <si>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</si>
  <si>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</si>
  <si>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</si>
  <si>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</si>
  <si>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</si>
  <si>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</si>
  <si>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</si>
  <si>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</si>
  <si>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</si>
  <si>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</si>
  <si>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</si>
  <si>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</si>
  <si>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</si>
  <si>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</si>
  <si>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</si>
  <si>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</si>
  <si>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</si>
  <si>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</si>
  <si>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</si>
  <si>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</si>
  <si>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</si>
  <si>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</si>
  <si>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</si>
  <si>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</si>
  <si>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</si>
  <si>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</si>
  <si>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</si>
  <si>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</si>
  <si>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</si>
  <si>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</si>
  <si>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</si>
  <si>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</si>
  <si>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</si>
  <si>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</si>
  <si>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</si>
  <si>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</si>
  <si>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</si>
  <si>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</si>
  <si>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</si>
  <si>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</si>
  <si>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</si>
  <si>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</si>
  <si>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</si>
  <si>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</si>
  <si>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</si>
  <si>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</si>
  <si>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</si>
  <si>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</si>
  <si>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</si>
  <si>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</si>
  <si>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</si>
  <si>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</si>
  <si>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</si>
  <si>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</si>
  <si>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</si>
  <si>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</si>
  <si>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</si>
  <si>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</si>
  <si>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</si>
  <si>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</si>
  <si>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</si>
  <si>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</si>
  <si>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</si>
  <si>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</si>
  <si>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</si>
  <si>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</si>
  <si>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</si>
  <si>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</si>
  <si>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</si>
  <si>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</si>
  <si>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</si>
  <si>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</si>
  <si>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</si>
  <si>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</si>
  <si>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</si>
  <si>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</si>
  <si>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</si>
  <si>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</si>
  <si>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</si>
  <si>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</si>
  <si>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</si>
  <si>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</si>
  <si>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</si>
  <si>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</si>
  <si>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</si>
  <si>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</si>
  <si>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</si>
  <si>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</si>
  <si>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</si>
  <si>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</si>
  <si>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</si>
  <si>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</si>
  <si>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</si>
  <si>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</si>
  <si>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</si>
  <si>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</si>
  <si>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</si>
  <si>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</si>
  <si>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</si>
  <si>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</si>
  <si>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</si>
  <si>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</si>
  <si>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</si>
  <si>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</si>
  <si>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</si>
  <si>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</si>
  <si>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</si>
  <si>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</si>
  <si>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</si>
  <si>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</si>
  <si>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</si>
  <si>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</si>
  <si>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</si>
  <si>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</si>
  <si>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</si>
  <si>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</si>
  <si>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</si>
  <si>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</si>
  <si>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</si>
  <si>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</si>
  <si>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</si>
  <si>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</si>
  <si>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</si>
  <si>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</si>
  <si>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</si>
  <si>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</si>
  <si>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</si>
  <si>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</si>
  <si>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</si>
  <si>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</si>
  <si>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</si>
  <si>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</si>
  <si>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</si>
  <si>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</si>
  <si>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</si>
  <si>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</si>
  <si>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</si>
  <si>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</si>
  <si>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</si>
  <si>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</si>
  <si>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</si>
  <si>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</si>
  <si>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</si>
  <si>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</si>
  <si>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</si>
  <si>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</si>
  <si>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</si>
  <si>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</si>
  <si>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</si>
  <si>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</si>
  <si>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</si>
  <si>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</si>
  <si>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</si>
  <si>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</si>
  <si>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</si>
  <si>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</si>
  <si>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</si>
  <si>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</si>
  <si>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</si>
  <si>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</si>
  <si>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</si>
  <si>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</si>
  <si>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</si>
  <si>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</si>
  <si>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</si>
  <si>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</si>
  <si>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</si>
  <si>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</si>
  <si>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</si>
  <si>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</si>
  <si>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</si>
  <si>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</si>
  <si>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</si>
  <si>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</si>
  <si>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</si>
  <si>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</si>
  <si>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</si>
  <si>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</si>
  <si>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</si>
  <si>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</si>
  <si>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</si>
  <si>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</si>
  <si>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</si>
  <si>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</si>
  <si>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</si>
  <si>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</si>
  <si>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</si>
  <si>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</si>
  <si>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</si>
  <si>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</si>
  <si>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</si>
  <si>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</si>
  <si>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</si>
  <si>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</si>
  <si>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</si>
  <si>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</si>
  <si>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</si>
  <si>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</si>
  <si>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</si>
  <si>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</si>
  <si>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</si>
  <si>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</si>
  <si>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</si>
  <si>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</si>
  <si>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</si>
  <si>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</si>
  <si>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</si>
  <si>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</si>
  <si>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</si>
  <si>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</si>
  <si>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</si>
  <si>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</si>
  <si>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</si>
  <si>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</si>
  <si>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</si>
  <si>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</si>
  <si>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</si>
  <si>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</si>
  <si>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</si>
  <si>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</si>
  <si>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</si>
  <si>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</si>
  <si>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</si>
  <si>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</si>
  <si>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</si>
  <si>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</si>
  <si>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</si>
  <si>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</si>
  <si>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</si>
  <si>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</si>
  <si>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</si>
  <si>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</si>
  <si>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</si>
  <si>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</si>
  <si>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</si>
  <si>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</si>
  <si>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</si>
  <si>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</si>
  <si>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</si>
  <si>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</si>
  <si>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</si>
  <si>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</si>
  <si>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</si>
  <si>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</si>
  <si>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</si>
  <si>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</si>
  <si>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</si>
  <si>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</si>
  <si>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</si>
  <si>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</si>
  <si>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</si>
  <si>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</si>
  <si>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</si>
  <si>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</si>
  <si>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</si>
  <si>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</si>
  <si>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</si>
  <si>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</si>
  <si>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</si>
  <si>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</si>
  <si>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</si>
  <si>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</si>
  <si>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</si>
  <si>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</si>
  <si>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</si>
  <si>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</si>
  <si>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</si>
  <si>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</si>
  <si>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</si>
  <si>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</si>
  <si>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</si>
  <si>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</si>
  <si>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</si>
  <si>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</si>
  <si>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</si>
  <si>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</si>
  <si>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</si>
  <si>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</si>
  <si>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</si>
  <si>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</si>
  <si>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</si>
  <si>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</si>
  <si>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</si>
  <si>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</si>
  <si>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</si>
  <si>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</si>
  <si>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</si>
  <si>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</si>
  <si>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</si>
  <si>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</si>
  <si>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</si>
  <si>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</si>
  <si>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</si>
  <si>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</si>
  <si>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</si>
  <si>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</si>
  <si>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</si>
  <si>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</si>
  <si>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</si>
  <si>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</si>
  <si>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</si>
  <si>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</si>
  <si>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</si>
  <si>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</si>
  <si>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</si>
  <si>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</si>
  <si>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</si>
  <si>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</si>
  <si>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</si>
  <si>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</si>
  <si>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</si>
  <si>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</si>
  <si>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</si>
  <si>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</si>
  <si>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</si>
  <si>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</si>
  <si>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</si>
  <si>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</si>
  <si>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</si>
  <si>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</si>
  <si>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</si>
  <si>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</si>
  <si>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</si>
  <si>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</si>
  <si>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</si>
  <si>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</si>
  <si>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</si>
  <si>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</si>
  <si>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</si>
  <si>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</si>
  <si>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</si>
  <si>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</si>
  <si>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</si>
  <si>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</si>
  <si>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</si>
  <si>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</si>
  <si>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</si>
  <si>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</si>
  <si>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</si>
  <si>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</si>
  <si>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</si>
  <si>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</si>
  <si>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</si>
  <si>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</si>
  <si>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</si>
  <si>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</si>
  <si>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</si>
  <si>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</si>
  <si>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</si>
  <si>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</si>
  <si>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</si>
  <si>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</si>
  <si>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</si>
  <si>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</si>
  <si>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</si>
  <si>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</si>
  <si>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</si>
  <si>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</si>
  <si>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</si>
  <si>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</si>
  <si>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</si>
  <si>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</si>
  <si>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</si>
  <si>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</si>
  <si>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</si>
  <si>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</si>
  <si>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</si>
  <si>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</si>
  <si>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</si>
  <si>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</si>
  <si>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</si>
  <si>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</si>
  <si>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</si>
  <si>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</si>
  <si>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</si>
  <si>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</si>
  <si>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</si>
  <si>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</si>
  <si>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</si>
  <si>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</si>
  <si>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</si>
  <si>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</si>
  <si>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</si>
  <si>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</si>
  <si>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</si>
  <si>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</si>
  <si>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</si>
  <si>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</si>
  <si>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</si>
  <si>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</si>
  <si>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</si>
  <si>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</si>
  <si>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</si>
  <si>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</si>
  <si>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</si>
  <si>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</si>
  <si>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</si>
  <si>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</si>
  <si>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</si>
  <si>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</si>
  <si>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</si>
  <si>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</si>
  <si>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</si>
  <si>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</si>
  <si>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</si>
  <si>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</si>
  <si>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</si>
  <si>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</si>
  <si>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</si>
  <si>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</si>
  <si>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</si>
  <si>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</si>
  <si>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</si>
  <si>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</si>
  <si>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</si>
  <si>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</si>
  <si>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</si>
  <si>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</si>
  <si>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</si>
  <si>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</si>
  <si>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</si>
  <si>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</si>
  <si>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</si>
  <si>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</si>
  <si>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</si>
  <si>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</si>
  <si>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</si>
  <si>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</si>
  <si>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</si>
  <si>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</si>
  <si>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</si>
  <si>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</si>
  <si>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</si>
  <si>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</si>
  <si>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</si>
  <si>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</si>
  <si>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</si>
  <si>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</si>
  <si>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</si>
  <si>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</si>
  <si>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</si>
  <si>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</si>
  <si>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</si>
  <si>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</si>
  <si>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</si>
  <si>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</si>
  <si>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</si>
  <si>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</si>
  <si>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</si>
  <si>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</si>
  <si>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</si>
  <si>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</si>
  <si>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</si>
  <si>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</si>
  <si>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</si>
  <si>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</si>
  <si>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</si>
  <si>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</si>
  <si>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</si>
  <si>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</si>
  <si>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</si>
  <si>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</si>
  <si>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</si>
  <si>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</si>
  <si>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</si>
  <si>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</si>
  <si>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</si>
  <si>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</si>
  <si>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</si>
  <si>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</si>
  <si>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</si>
  <si>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</si>
  <si>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</si>
  <si>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</si>
  <si>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</si>
  <si>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</si>
  <si>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</si>
  <si>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</si>
  <si>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</si>
  <si>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</si>
  <si>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</si>
  <si>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</si>
  <si>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</si>
  <si>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</si>
  <si>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</si>
  <si>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</si>
  <si>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</si>
  <si>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</si>
  <si>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</si>
  <si>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</si>
  <si>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</si>
  <si>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</si>
  <si>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</si>
  <si>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</si>
  <si>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</si>
  <si>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</si>
  <si>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</si>
  <si>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</si>
  <si>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</si>
  <si>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</si>
  <si>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</si>
  <si>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</si>
  <si>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</si>
  <si>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</si>
  <si>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</si>
  <si>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</si>
  <si>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</si>
  <si>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</si>
  <si>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</si>
  <si>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</si>
  <si>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</si>
  <si>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</si>
  <si>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</si>
  <si>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</si>
  <si>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</si>
  <si>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</si>
  <si>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</si>
  <si>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</si>
  <si>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</si>
  <si>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</si>
  <si>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</si>
  <si>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</si>
  <si>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</si>
  <si>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</si>
  <si>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</si>
  <si>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</si>
  <si>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</si>
  <si>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</si>
  <si>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</si>
  <si>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</si>
  <si>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</si>
  <si>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</si>
  <si>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</si>
  <si>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</si>
  <si>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</si>
  <si>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</si>
  <si>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</si>
  <si>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</si>
  <si>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</si>
  <si>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</si>
  <si>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</si>
  <si>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</si>
  <si>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</si>
  <si>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</si>
  <si>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</si>
  <si>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</si>
  <si>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</si>
  <si>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</si>
  <si>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</si>
  <si>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</si>
  <si>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</si>
  <si>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</si>
  <si>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</si>
  <si>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</si>
  <si>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</si>
  <si>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</si>
  <si>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</si>
  <si>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</si>
  <si>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</si>
  <si>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</si>
  <si>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</si>
  <si>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</si>
  <si>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</si>
  <si>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</si>
  <si>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</si>
  <si>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</si>
  <si>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</si>
  <si>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</si>
  <si>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</si>
  <si>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</si>
  <si>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</si>
  <si>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</si>
  <si>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</si>
  <si>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</si>
  <si>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</si>
  <si>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</si>
  <si>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</si>
  <si>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</si>
  <si>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</si>
  <si>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</si>
  <si>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</si>
  <si>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</si>
  <si>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</si>
  <si>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</si>
  <si>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</si>
  <si>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</si>
  <si>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</si>
  <si>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</si>
  <si>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</si>
  <si>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</si>
  <si>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</si>
  <si>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</si>
  <si>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</si>
  <si>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</si>
  <si>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</si>
  <si>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</si>
  <si>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</si>
  <si>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</si>
  <si>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</si>
  <si>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</si>
  <si>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</si>
  <si>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</si>
  <si>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</si>
  <si>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</si>
  <si>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</si>
  <si>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</si>
  <si>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</si>
  <si>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</si>
  <si>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</si>
  <si>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</si>
  <si>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</si>
  <si>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</si>
  <si>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</si>
  <si>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</si>
  <si>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</si>
  <si>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</si>
  <si>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</si>
  <si>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</si>
  <si>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</si>
  <si>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</si>
  <si>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</si>
  <si>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</si>
  <si>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</si>
  <si>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</si>
  <si>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</si>
  <si>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</si>
  <si>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</si>
  <si>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</si>
  <si>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</si>
  <si>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</si>
  <si>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</si>
  <si>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</si>
  <si>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</si>
  <si>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</si>
  <si>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</si>
  <si>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</si>
  <si>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</si>
  <si>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</si>
  <si>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</si>
  <si>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</si>
  <si>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</si>
  <si>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</si>
  <si>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</si>
  <si>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</si>
  <si>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</si>
  <si>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</si>
  <si>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</si>
  <si>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</si>
  <si>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</si>
  <si>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</si>
  <si>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</si>
  <si>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</si>
  <si>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</si>
  <si>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</si>
  <si>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</si>
  <si>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</si>
  <si>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</si>
  <si>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</si>
  <si>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</si>
  <si>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</si>
  <si>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</si>
  <si>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</si>
  <si>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</si>
  <si>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</si>
  <si>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</si>
  <si>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</si>
  <si>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</si>
  <si>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</si>
  <si>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</si>
  <si>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</si>
  <si>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</si>
  <si>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</si>
  <si>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</si>
  <si>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</si>
  <si>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</si>
  <si>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</si>
  <si>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</si>
  <si>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</si>
  <si>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</si>
  <si>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</si>
  <si>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</si>
  <si>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</si>
  <si>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</si>
  <si>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</si>
  <si>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</si>
  <si>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</si>
  <si>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</si>
  <si>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</si>
  <si>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</si>
  <si>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</si>
  <si>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</si>
  <si>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</si>
  <si>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</si>
  <si>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</si>
  <si>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</si>
  <si>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</si>
  <si>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</si>
  <si>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</si>
  <si>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</si>
  <si>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</si>
  <si>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</si>
  <si>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</si>
  <si>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</si>
  <si>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</si>
  <si>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</si>
  <si>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</si>
  <si>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</si>
  <si>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</si>
  <si>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</si>
  <si>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</si>
  <si>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</si>
  <si>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</si>
  <si>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</si>
  <si>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</si>
  <si>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</si>
  <si>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</si>
  <si>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</si>
  <si>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</si>
  <si>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</si>
  <si>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</si>
  <si>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</si>
  <si>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</si>
  <si>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</si>
  <si>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</si>
  <si>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</si>
  <si>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</si>
  <si>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</si>
  <si>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</si>
  <si>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</si>
  <si>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</si>
  <si>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</si>
  <si>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</si>
  <si>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</si>
  <si>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</si>
  <si>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</si>
  <si>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</si>
  <si>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</si>
  <si>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</si>
  <si>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</si>
  <si>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</si>
  <si>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</si>
  <si>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</si>
  <si>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</si>
  <si>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</si>
  <si>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</si>
  <si>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</si>
  <si>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</si>
  <si>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</si>
  <si>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</si>
  <si>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</si>
  <si>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</si>
  <si>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</si>
  <si>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</si>
  <si>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</si>
  <si>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</si>
  <si>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</si>
  <si>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</si>
  <si>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</si>
  <si>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</si>
  <si>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</si>
  <si>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</si>
  <si>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</si>
  <si>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</si>
  <si>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</si>
  <si>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</si>
  <si>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</si>
  <si>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</si>
  <si>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</si>
  <si>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</si>
  <si>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</si>
  <si>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</si>
  <si>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</si>
  <si>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</si>
  <si>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</si>
  <si>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</si>
  <si>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</si>
  <si>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</si>
  <si>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</si>
  <si>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</si>
  <si>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</si>
  <si>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</si>
  <si>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</si>
  <si>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</si>
  <si>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</si>
  <si>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</si>
  <si>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</si>
  <si>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</si>
  <si>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</si>
  <si>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</si>
  <si>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</si>
  <si>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</si>
  <si>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</si>
  <si>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</si>
  <si>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</si>
  <si>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</si>
  <si>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</si>
  <si>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</si>
  <si>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</si>
  <si>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</si>
  <si>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</si>
  <si>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</si>
  <si>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</si>
  <si>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</si>
  <si>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</si>
  <si>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</si>
  <si>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</si>
  <si>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</si>
  <si>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</si>
  <si>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</si>
  <si>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</si>
  <si>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</si>
  <si>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</si>
  <si>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</si>
  <si>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</si>
  <si>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</si>
  <si>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</si>
  <si>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</si>
  <si>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</si>
  <si>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</si>
  <si>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</si>
  <si>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</si>
  <si>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</si>
  <si>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</si>
  <si>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</si>
  <si>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</si>
  <si>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</si>
  <si>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</si>
  <si>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</si>
  <si>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</si>
  <si>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</si>
  <si>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</si>
  <si>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</si>
  <si>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</si>
  <si>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</si>
  <si>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</si>
  <si>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</si>
  <si>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</si>
  <si>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</si>
  <si>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</si>
  <si>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</si>
  <si>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</si>
  <si>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</si>
  <si>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</si>
  <si>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</si>
  <si>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</si>
  <si>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</si>
  <si>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</si>
  <si>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</si>
  <si>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</si>
  <si>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</si>
  <si>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</si>
  <si>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</si>
  <si>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</si>
  <si>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</si>
  <si>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</si>
  <si>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</si>
  <si>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</si>
  <si>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</si>
  <si>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</si>
  <si>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</si>
  <si>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</si>
  <si>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</si>
  <si>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</si>
  <si>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</si>
  <si>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</si>
  <si>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</si>
  <si>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</si>
  <si>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</si>
  <si>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</si>
  <si>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</si>
  <si>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</si>
  <si>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</si>
  <si>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</si>
  <si>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</si>
  <si>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</si>
  <si>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</si>
  <si>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</si>
  <si>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</si>
  <si>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</si>
  <si>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</si>
  <si>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</si>
  <si>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</si>
  <si>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</si>
  <si>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</si>
  <si>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</si>
  <si>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</si>
  <si>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</si>
  <si>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</si>
  <si>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</si>
  <si>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</si>
  <si>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</si>
  <si>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</si>
  <si>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</si>
  <si>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</si>
  <si>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</si>
  <si>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</si>
  <si>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</si>
  <si>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</si>
  <si>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</si>
  <si>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</si>
  <si>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</si>
  <si>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</si>
  <si>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</si>
  <si>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</si>
  <si>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</si>
  <si>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</si>
  <si>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</si>
  <si>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</si>
  <si>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</si>
  <si>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</si>
  <si>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</si>
  <si>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</si>
  <si>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</si>
  <si>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</si>
  <si>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</si>
  <si>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</si>
  <si>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</si>
  <si>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</si>
  <si>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</si>
  <si>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</si>
  <si>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</si>
  <si>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</si>
  <si>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</si>
  <si>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</si>
  <si>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</si>
  <si>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</si>
  <si>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</si>
  <si>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</si>
  <si>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</si>
  <si>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</si>
  <si>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</si>
  <si>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</si>
  <si>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</si>
  <si>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</si>
  <si>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</si>
  <si>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</si>
  <si>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</si>
  <si>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</si>
  <si>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</si>
  <si>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</si>
  <si>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</si>
  <si>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</si>
  <si>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</si>
  <si>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</si>
  <si>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</si>
  <si>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</si>
  <si>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</si>
  <si>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</si>
  <si>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</si>
  <si>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</si>
  <si>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</si>
  <si>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</si>
  <si>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</si>
  <si>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</si>
  <si>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</si>
  <si>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</si>
  <si>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</si>
  <si>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</si>
  <si>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</si>
  <si>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</si>
  <si>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</si>
  <si>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</si>
  <si>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</si>
  <si>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</si>
  <si>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</si>
  <si>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</si>
  <si>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</si>
  <si>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</si>
  <si>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</si>
  <si>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</si>
  <si>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</si>
  <si>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</si>
  <si>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</si>
  <si>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</si>
  <si>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</si>
  <si>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</si>
  <si>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</si>
  <si>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</si>
  <si>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</si>
  <si>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</si>
  <si>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</si>
  <si>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</si>
  <si>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</si>
  <si>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</si>
  <si>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</si>
  <si>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</si>
  <si>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</si>
  <si>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</si>
  <si>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</si>
  <si>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</si>
  <si>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</si>
  <si>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</si>
  <si>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</si>
  <si>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</si>
  <si>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</si>
  <si>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</si>
  <si>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</si>
  <si>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</si>
  <si>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</si>
  <si>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</si>
  <si>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</si>
  <si>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</si>
  <si>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</si>
  <si>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</si>
  <si>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</si>
  <si>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</si>
  <si>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</si>
  <si>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</si>
  <si>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</si>
  <si>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</si>
  <si>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</si>
  <si>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</si>
  <si>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</si>
  <si>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</si>
  <si>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</si>
  <si>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</si>
  <si>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</si>
  <si>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</si>
  <si>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</si>
  <si>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</si>
  <si>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</si>
  <si>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</si>
  <si>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</si>
  <si>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</si>
  <si>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</si>
  <si>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</si>
  <si>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</si>
  <si>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</si>
  <si>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</si>
  <si>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</si>
  <si>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</si>
  <si>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</si>
  <si>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</si>
  <si>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</si>
  <si>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</si>
  <si>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</si>
  <si>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</si>
  <si>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</si>
  <si>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</si>
  <si>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</si>
  <si>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</si>
  <si>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</si>
  <si>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</si>
  <si>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</si>
  <si>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</si>
  <si>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</si>
  <si>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</si>
  <si>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</si>
  <si>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</si>
  <si>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</si>
  <si>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</si>
  <si>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</si>
  <si>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</si>
  <si>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</si>
  <si>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</si>
  <si>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</si>
  <si>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</si>
  <si>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</si>
  <si>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</si>
  <si>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</si>
  <si>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</si>
  <si>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</si>
  <si>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</si>
  <si>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</si>
  <si>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</si>
  <si>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</si>
  <si>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</si>
  <si>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</si>
  <si>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</si>
  <si>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</si>
  <si>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</si>
  <si>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</si>
  <si>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</si>
  <si>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</si>
  <si>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</si>
  <si>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</si>
  <si>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</si>
  <si>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</si>
  <si>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</si>
  <si>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</si>
  <si>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</si>
  <si>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</si>
  <si>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</si>
  <si>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</si>
  <si>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</si>
  <si>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</si>
  <si>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</si>
  <si>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</si>
  <si>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</si>
  <si>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</si>
  <si>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</si>
  <si>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</si>
  <si>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</si>
  <si>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</si>
  <si>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</si>
  <si>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</si>
  <si>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</si>
  <si>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</si>
  <si>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</si>
  <si>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</si>
  <si>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</si>
  <si>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</si>
  <si>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</si>
  <si>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</si>
  <si>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</si>
  <si>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</si>
  <si>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</si>
  <si>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</si>
  <si>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</si>
  <si>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</si>
  <si>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</si>
  <si>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</si>
  <si>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</si>
  <si>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</si>
  <si>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</si>
  <si>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</si>
  <si>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</si>
  <si>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</si>
  <si>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</si>
  <si>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</si>
  <si>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</si>
  <si>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</si>
  <si>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</si>
  <si>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</si>
  <si>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</si>
  <si>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</si>
  <si>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</si>
  <si>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</si>
  <si>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</si>
  <si>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</si>
  <si>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</si>
  <si>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</si>
  <si>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</si>
  <si>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</si>
  <si>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</si>
  <si>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</si>
  <si>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</si>
  <si>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</si>
  <si>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</si>
  <si>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</si>
  <si>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</si>
  <si>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</si>
  <si>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</si>
  <si>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</si>
  <si>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</si>
  <si>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</si>
  <si>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</si>
  <si>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</si>
  <si>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</si>
  <si>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</si>
  <si>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</si>
  <si>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</si>
  <si>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</si>
  <si>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</si>
  <si>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</si>
  <si>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</si>
  <si>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</si>
  <si>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</si>
  <si>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</si>
  <si>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</si>
  <si>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</si>
  <si>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</si>
  <si>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</si>
  <si>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</si>
  <si>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</si>
  <si>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</si>
  <si>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</si>
  <si>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</si>
  <si>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</si>
  <si>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</si>
  <si>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</si>
  <si>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</si>
  <si>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</si>
  <si>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</si>
  <si>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</si>
  <si>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</si>
  <si>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</si>
  <si>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</si>
  <si>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</si>
  <si>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</si>
  <si>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</si>
  <si>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</si>
  <si>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</si>
  <si>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</si>
  <si>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</si>
  <si>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</si>
  <si>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</si>
  <si>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</si>
  <si>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</si>
  <si>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</si>
  <si>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</si>
  <si>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</si>
  <si>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</si>
  <si>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</si>
  <si>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</si>
  <si>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</si>
  <si>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</si>
  <si>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</si>
  <si>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</si>
  <si>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</si>
  <si>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</si>
  <si>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</si>
  <si>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</si>
  <si>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</si>
  <si>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</si>
  <si>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</si>
  <si>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</si>
  <si>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</si>
  <si>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</si>
  <si>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</si>
  <si>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</si>
  <si>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</si>
  <si>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</si>
  <si>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</si>
  <si>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</si>
  <si>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</si>
  <si>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</si>
  <si>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</si>
  <si>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</si>
  <si>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</si>
  <si>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</si>
  <si>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</si>
  <si>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</si>
  <si>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</si>
  <si>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</si>
  <si>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</si>
  <si>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</si>
  <si>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</si>
  <si>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LAKE</t>
  </si>
  <si>
    <t>TWO STEVENSON DRIVE</t>
  </si>
  <si>
    <t>LINCOLNSHIRE</t>
  </si>
  <si>
    <t>Dr. Eric Twadell</t>
  </si>
  <si>
    <t>847-415-4000</t>
  </si>
  <si>
    <t>Evoy, Kamschulte, Jacobs &amp; Co. LLP</t>
  </si>
  <si>
    <t>John D. Aceto, Jr., CPA</t>
  </si>
  <si>
    <t>2122 Yeoman Street</t>
  </si>
  <si>
    <t>Waukegan</t>
  </si>
  <si>
    <t>IL</t>
  </si>
  <si>
    <t>847-662-8300</t>
  </si>
  <si>
    <t>847-662-8305</t>
  </si>
  <si>
    <t>066-003289</t>
  </si>
  <si>
    <t>2012 General Obligation Bonds</t>
  </si>
  <si>
    <t>2014 General Obligation Bonds</t>
  </si>
  <si>
    <t>2018 General Obligation Bonds</t>
  </si>
  <si>
    <t>Capital Leases</t>
  </si>
  <si>
    <t>Prior Bond Balance</t>
  </si>
  <si>
    <t>Various</t>
  </si>
  <si>
    <t>Northern Illinois Health Insurance Program</t>
  </si>
  <si>
    <t>Illinois Utilities Purchasing Cooperative</t>
  </si>
  <si>
    <t>Collective Liability Insurance Cooperative</t>
  </si>
  <si>
    <t>ISDLAF</t>
  </si>
  <si>
    <t>Exceptional Learners Collaborative</t>
  </si>
  <si>
    <t>Lake County Tech Campus</t>
  </si>
  <si>
    <t>US DEPARTMENT OF EDUCATION</t>
  </si>
  <si>
    <t>Pass-Through Programs (from ISBE)</t>
  </si>
  <si>
    <t>Special Education Cluster</t>
  </si>
  <si>
    <t>(M) IDEA, Room &amp; Board</t>
  </si>
  <si>
    <t xml:space="preserve">      Total Passed Through ISBE</t>
  </si>
  <si>
    <t>Pass-Through Programs (from ELC)</t>
  </si>
  <si>
    <t>(M) IDEA, Part B - Flow Through</t>
  </si>
  <si>
    <t xml:space="preserve">      Total Passed Through ELC</t>
  </si>
  <si>
    <t>Total Special Education Cluster (IDEA)</t>
  </si>
  <si>
    <t>84.027A</t>
  </si>
  <si>
    <t>4625-2018</t>
  </si>
  <si>
    <t>4625-2019</t>
  </si>
  <si>
    <t>4620-2018</t>
  </si>
  <si>
    <t>4620-2019</t>
  </si>
  <si>
    <t>N/A</t>
  </si>
  <si>
    <t xml:space="preserve">      Title II - Teacher Quality</t>
  </si>
  <si>
    <t>Total Passed Through ISBE</t>
  </si>
  <si>
    <t>84.367A</t>
  </si>
  <si>
    <t>4932-2019</t>
  </si>
  <si>
    <t>Pass-Through Programs (from Lake County Area Vocational System)</t>
  </si>
  <si>
    <t xml:space="preserve">      CTE - Perkins</t>
  </si>
  <si>
    <t>Total Passed Through Lake County Area Vocatonal System</t>
  </si>
  <si>
    <t>84.048A</t>
  </si>
  <si>
    <t>4745-2018</t>
  </si>
  <si>
    <t>4745-2019</t>
  </si>
  <si>
    <t>US DEPARTMENT OF HEALTH &amp; HUMAN SERVICES</t>
  </si>
  <si>
    <t>Pass-Through (from Illinois Department of Healthcare &amp; Family Services</t>
  </si>
  <si>
    <t xml:space="preserve">     Medicaid Matching Funds</t>
  </si>
  <si>
    <t>Total Department of Health &amp; Human Services</t>
  </si>
  <si>
    <t>TOTAL FEDERAL FINANCIAL ASSISTANCE</t>
  </si>
  <si>
    <t>Value of Federal Awards Expended in the form of Non-Cash Assistance during the year</t>
  </si>
  <si>
    <t>Federal Insurance in effect during the year</t>
  </si>
  <si>
    <t>federal Loans or Loan Guarantees, Including interest subsidies, outstanding at year end.</t>
  </si>
  <si>
    <t>Amounts provided to subrecipients</t>
  </si>
  <si>
    <t>4991-2018</t>
  </si>
  <si>
    <t>4991-2019</t>
  </si>
  <si>
    <r>
      <t>The accompanying Schedule of Expenditures of Federal Awards includes the federal grant activity of Stevenson High School Distrct No. 125 and is presented on the Modified Cash</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 Basic</t>
    </r>
    <r>
      <rPr>
        <sz val="9"/>
        <rFont val="Calibri"/>
        <family val="2"/>
        <scheme val="minor"/>
      </rPr>
      <t xml:space="preserve"> financial statements.</t>
    </r>
  </si>
  <si>
    <t>Of the federal expenditures presented in the schedule, Stevenson HS District No. 125provided federal awards to subrecipients as follows:</t>
  </si>
  <si>
    <t>None</t>
  </si>
  <si>
    <r>
      <t xml:space="preserve">The following amounts were expended in the form of non-cash assistance by Stevenson HS 125 and </t>
    </r>
    <r>
      <rPr>
        <b/>
        <sz val="9"/>
        <rFont val="Calibri"/>
        <family val="2"/>
        <scheme val="minor"/>
      </rPr>
      <t>should be</t>
    </r>
    <r>
      <rPr>
        <sz val="9"/>
        <rFont val="Calibri"/>
        <family val="2"/>
        <scheme val="minor"/>
      </rPr>
      <t xml:space="preserve"> included in the Schedule of Expenditures of Federal Awards:</t>
    </r>
  </si>
  <si>
    <t>Unmodified</t>
  </si>
  <si>
    <t>NONE</t>
  </si>
  <si>
    <t>Education Fund</t>
  </si>
  <si>
    <t>Operations Fund</t>
  </si>
  <si>
    <t>Bond &amp; Interest Fund</t>
  </si>
  <si>
    <t>IMRF Fund</t>
  </si>
  <si>
    <t>Page 5, Line 12, Other Current Assets, Due From Service Accounts - $735,593.</t>
  </si>
  <si>
    <t>Capital Projects Fund</t>
  </si>
  <si>
    <t>Tort Immunity Fund</t>
  </si>
  <si>
    <t>Page 11, Line 107, Other Local Revenue - Credit Card Rebates $50,312; Jury Duty $393</t>
  </si>
  <si>
    <t>Page 11, Line 107, Other Local Revenue - Miscellaneous Revenue $221</t>
  </si>
  <si>
    <t>Page 11, Line 107, Other Local Revenue - Local Clean Energy Grant $300,000.</t>
  </si>
  <si>
    <t>Page 11, Line 107, Other Local Revenue - Prior year CLIC member refund $19,241</t>
  </si>
  <si>
    <t>.</t>
  </si>
  <si>
    <t>Page 12, Line 168, Other Restricted Revenue from State Sources - Orphane Tuition $826,531; Library Grant $3,139; USAC E-Rate $60,686</t>
  </si>
  <si>
    <t xml:space="preserve">      Other State Programs $19,466.</t>
  </si>
  <si>
    <t>Page 16, Line 56, Other Support Services School Administration - Principal's Office support staff and expenses $641,738</t>
  </si>
  <si>
    <t>Page 18, Line 11, Debt Service Other - Fees $299.</t>
  </si>
  <si>
    <t>Page 20, Other Support Services - School Adminstration - Principal's Office Support staff IMRF Costs $51,076.</t>
  </si>
  <si>
    <t>ED-Plamming, Research, Development, and Evaluation Services-Purchased Services</t>
  </si>
  <si>
    <t>10-2620-300</t>
  </si>
  <si>
    <t>Revolution K2</t>
  </si>
  <si>
    <t>10-2570-300</t>
  </si>
  <si>
    <t>Canon Copiers</t>
  </si>
  <si>
    <t>ED-Internal Services-Purchased Services</t>
  </si>
  <si>
    <t>10-2630-300</t>
  </si>
  <si>
    <t>Netrix</t>
  </si>
  <si>
    <t>ED-Support Services-School Admin-Purchased Services</t>
  </si>
  <si>
    <t>10-2400-300</t>
  </si>
  <si>
    <t>Train 918</t>
  </si>
  <si>
    <t>OM-Operations &amp; Maintenance of Plant Service-Purch Ser</t>
  </si>
  <si>
    <t>20-2540-300</t>
  </si>
  <si>
    <t>Wight &amp; Company</t>
  </si>
  <si>
    <t>Transportation-Pupil Transportation Services-Purch Serv</t>
  </si>
  <si>
    <t>40-2550-300</t>
  </si>
  <si>
    <t>First Student</t>
  </si>
  <si>
    <t>ED-Instruction-Purchased Services</t>
  </si>
  <si>
    <t>10-1000-300</t>
  </si>
  <si>
    <t>Rebound Fitness &amp; Rehab</t>
  </si>
  <si>
    <t>Trane Company</t>
  </si>
  <si>
    <t>Imagetec</t>
  </si>
  <si>
    <t>Lionheart</t>
  </si>
  <si>
    <t>TOTAL US DEPARTMENT OF EDUCATION</t>
  </si>
  <si>
    <t>Adlai E Stevenson HSD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</si>
</sst>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74" fillId="0" borderId="0" xfId="0" applyFont="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E46E7AE7-8E73-4A99-AFA1-41318C67E74B}"/>
            </a:ext>
          </a:extLst>
        </xdr:cNvPr>
        <xdr:cNvSpPr/>
      </xdr:nvSpPr>
      <xdr:spPr>
        <a:xfrm>
          <a:off x="3447183" y="14192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857250</xdr:colOff>
          <xdr:row>4</xdr:row>
          <xdr:rowOff>28575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3A6CA-4BE4-48E0-A4C1-49D9B5D70AE0}">
  <sheetPr codeName="Sheet21"/>
  <dimension ref="A1:L97"/>
  <sheetViews>
    <sheetView showGridLines="0" zoomScale="110" zoomScaleNormal="110" workbookViewId="0">
      <pane ySplit="4" topLeftCell="A7" activePane="bottomLeft" state="frozen"/>
      <selection activeCell="A47" sqref="A47"/>
      <selection pane="bottomLeft" activeCell="D28" sqref="D28"/>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4" t="s">
        <v>1379</v>
      </c>
      <c r="B1" s="2304"/>
      <c r="C1" s="2304"/>
      <c r="D1" s="2304"/>
      <c r="E1" s="2304"/>
      <c r="F1" s="2304"/>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05" t="s">
        <v>1546</v>
      </c>
      <c r="B5" s="2306"/>
      <c r="C5" s="2307"/>
      <c r="D5" s="2307"/>
      <c r="E5" s="2307"/>
      <c r="F5" s="2307"/>
    </row>
    <row r="6" spans="1:10" ht="12" customHeight="1" x14ac:dyDescent="0.25">
      <c r="A6" s="1850"/>
      <c r="B6" s="1851"/>
      <c r="C6" s="2308" t="str">
        <f>COVER!A17</f>
        <v>Adlai E Stevenson HSD 125</v>
      </c>
      <c r="D6" s="2308"/>
      <c r="E6" s="2308"/>
      <c r="F6" s="1852"/>
    </row>
    <row r="7" spans="1:10" ht="11.25" customHeight="1" thickBot="1" x14ac:dyDescent="0.3">
      <c r="A7" s="1850"/>
      <c r="B7" s="1851"/>
      <c r="C7" s="2309">
        <f>COVER!A13</f>
        <v>34049125013</v>
      </c>
      <c r="D7" s="2309"/>
      <c r="E7" s="2309"/>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J33" si="0">IF(C12="X",5,0)</f>
        <v>0</v>
      </c>
      <c r="I12" s="1878">
        <f t="shared" si="0"/>
        <v>0</v>
      </c>
      <c r="J12" s="1878">
        <f t="shared" si="0"/>
        <v>0</v>
      </c>
    </row>
    <row r="13" spans="1:10" ht="12" customHeight="1" x14ac:dyDescent="0.2">
      <c r="A13" s="1863" t="s">
        <v>1385</v>
      </c>
      <c r="B13" s="1864"/>
      <c r="C13" s="1865"/>
      <c r="D13" s="1865"/>
      <c r="E13" s="1868"/>
      <c r="F13" s="1867"/>
      <c r="H13" s="1878">
        <f t="shared" si="0"/>
        <v>0</v>
      </c>
      <c r="I13" s="1878">
        <f t="shared" si="0"/>
        <v>0</v>
      </c>
      <c r="J13" s="1878">
        <f t="shared" si="0"/>
        <v>0</v>
      </c>
    </row>
    <row r="14" spans="1:10" ht="12" customHeight="1" x14ac:dyDescent="0.2">
      <c r="A14" s="1863" t="s">
        <v>1386</v>
      </c>
      <c r="B14" s="1864"/>
      <c r="C14" s="1865" t="s">
        <v>2061</v>
      </c>
      <c r="D14" s="1865" t="s">
        <v>2061</v>
      </c>
      <c r="E14" s="1868"/>
      <c r="F14" s="1867" t="s">
        <v>2081</v>
      </c>
      <c r="H14" s="1878">
        <f t="shared" si="0"/>
        <v>5</v>
      </c>
      <c r="I14" s="1878">
        <f t="shared" si="0"/>
        <v>5</v>
      </c>
      <c r="J14" s="1878">
        <f t="shared" si="0"/>
        <v>0</v>
      </c>
    </row>
    <row r="15" spans="1:10" ht="12" customHeight="1" x14ac:dyDescent="0.2">
      <c r="A15" s="1863" t="s">
        <v>1387</v>
      </c>
      <c r="B15" s="1864"/>
      <c r="C15" s="1865" t="s">
        <v>2061</v>
      </c>
      <c r="D15" s="1865" t="s">
        <v>2061</v>
      </c>
      <c r="E15" s="1868"/>
      <c r="F15" s="1867" t="s">
        <v>2082</v>
      </c>
      <c r="H15" s="1878">
        <f t="shared" si="0"/>
        <v>5</v>
      </c>
      <c r="I15" s="1878">
        <f t="shared" si="0"/>
        <v>5</v>
      </c>
      <c r="J15" s="1878">
        <f t="shared" si="0"/>
        <v>0</v>
      </c>
    </row>
    <row r="16" spans="1:10" ht="12" customHeight="1" x14ac:dyDescent="0.2">
      <c r="A16" s="1863" t="s">
        <v>1388</v>
      </c>
      <c r="B16" s="1864"/>
      <c r="C16" s="1865"/>
      <c r="D16" s="1865"/>
      <c r="E16" s="1868"/>
      <c r="F16" s="1867"/>
      <c r="H16" s="1878">
        <f t="shared" si="0"/>
        <v>0</v>
      </c>
      <c r="I16" s="1878">
        <f t="shared" si="0"/>
        <v>0</v>
      </c>
      <c r="J16" s="1878">
        <f t="shared" si="0"/>
        <v>0</v>
      </c>
    </row>
    <row r="17" spans="1:12" ht="12" customHeight="1" x14ac:dyDescent="0.2">
      <c r="A17" s="1863" t="s">
        <v>1389</v>
      </c>
      <c r="B17" s="1864"/>
      <c r="C17" s="1865"/>
      <c r="D17" s="1865"/>
      <c r="E17" s="1868"/>
      <c r="F17" s="1867"/>
      <c r="H17" s="1878">
        <f t="shared" si="0"/>
        <v>0</v>
      </c>
      <c r="I17" s="1878">
        <f t="shared" si="0"/>
        <v>0</v>
      </c>
      <c r="J17" s="1878">
        <f t="shared" si="0"/>
        <v>0</v>
      </c>
    </row>
    <row r="18" spans="1:12" ht="12" customHeight="1" x14ac:dyDescent="0.2">
      <c r="A18" s="1863" t="s">
        <v>1390</v>
      </c>
      <c r="B18" s="1864"/>
      <c r="C18" s="1865"/>
      <c r="D18" s="1865"/>
      <c r="E18" s="1868"/>
      <c r="F18" s="1867"/>
      <c r="H18" s="1878">
        <f t="shared" si="0"/>
        <v>0</v>
      </c>
      <c r="I18" s="1878">
        <f t="shared" si="0"/>
        <v>0</v>
      </c>
      <c r="J18" s="1878">
        <f t="shared" si="0"/>
        <v>0</v>
      </c>
    </row>
    <row r="19" spans="1:12" ht="12" customHeight="1" x14ac:dyDescent="0.2">
      <c r="A19" s="1863" t="s">
        <v>1527</v>
      </c>
      <c r="B19" s="1864"/>
      <c r="C19" s="1865" t="s">
        <v>2061</v>
      </c>
      <c r="D19" s="1865" t="s">
        <v>2061</v>
      </c>
      <c r="E19" s="1868"/>
      <c r="F19" s="1867" t="s">
        <v>2083</v>
      </c>
      <c r="H19" s="1878">
        <f t="shared" si="0"/>
        <v>5</v>
      </c>
      <c r="I19" s="1878">
        <f t="shared" si="0"/>
        <v>5</v>
      </c>
      <c r="J19" s="1878">
        <f t="shared" si="0"/>
        <v>0</v>
      </c>
    </row>
    <row r="20" spans="1:12" ht="12" customHeight="1" x14ac:dyDescent="0.2">
      <c r="A20" s="1863" t="s">
        <v>1528</v>
      </c>
      <c r="B20" s="1864"/>
      <c r="C20" s="1865" t="s">
        <v>2061</v>
      </c>
      <c r="D20" s="1865" t="s">
        <v>2061</v>
      </c>
      <c r="E20" s="1868"/>
      <c r="F20" s="1867" t="s">
        <v>2084</v>
      </c>
      <c r="H20" s="1878">
        <f t="shared" si="0"/>
        <v>5</v>
      </c>
      <c r="I20" s="1878">
        <f t="shared" si="0"/>
        <v>5</v>
      </c>
      <c r="J20" s="1878">
        <f t="shared" si="0"/>
        <v>0</v>
      </c>
    </row>
    <row r="21" spans="1:12" ht="12" customHeight="1" x14ac:dyDescent="0.2">
      <c r="A21" s="1863" t="s">
        <v>1529</v>
      </c>
      <c r="B21" s="1864"/>
      <c r="C21" s="1865"/>
      <c r="D21" s="1865"/>
      <c r="E21" s="1868"/>
      <c r="F21" s="1867"/>
      <c r="H21" s="1878">
        <f t="shared" si="0"/>
        <v>0</v>
      </c>
      <c r="I21" s="1878">
        <f t="shared" si="0"/>
        <v>0</v>
      </c>
      <c r="J21" s="1878">
        <f t="shared" si="0"/>
        <v>0</v>
      </c>
    </row>
    <row r="22" spans="1:12" ht="12" customHeight="1" x14ac:dyDescent="0.2">
      <c r="A22" s="1863" t="s">
        <v>1530</v>
      </c>
      <c r="B22" s="1864"/>
      <c r="C22" s="1865"/>
      <c r="D22" s="1865"/>
      <c r="E22" s="1868"/>
      <c r="F22" s="1867"/>
      <c r="H22" s="1878">
        <f t="shared" si="0"/>
        <v>0</v>
      </c>
      <c r="I22" s="1878">
        <f t="shared" si="0"/>
        <v>0</v>
      </c>
      <c r="J22" s="1878">
        <f t="shared" si="0"/>
        <v>0</v>
      </c>
    </row>
    <row r="23" spans="1:12" ht="12" customHeight="1" x14ac:dyDescent="0.2">
      <c r="A23" s="1863" t="s">
        <v>1531</v>
      </c>
      <c r="B23" s="1864"/>
      <c r="C23" s="1865"/>
      <c r="D23" s="1865"/>
      <c r="E23" s="1868"/>
      <c r="F23" s="1867"/>
      <c r="H23" s="1878">
        <f t="shared" si="0"/>
        <v>0</v>
      </c>
      <c r="I23" s="1878">
        <f t="shared" si="0"/>
        <v>0</v>
      </c>
      <c r="J23" s="1878">
        <f t="shared" si="0"/>
        <v>0</v>
      </c>
    </row>
    <row r="24" spans="1:12" ht="12" customHeight="1" x14ac:dyDescent="0.2">
      <c r="A24" s="1863" t="s">
        <v>1532</v>
      </c>
      <c r="B24" s="1864"/>
      <c r="C24" s="1865"/>
      <c r="D24" s="1865"/>
      <c r="E24" s="1868"/>
      <c r="F24" s="1867"/>
      <c r="H24" s="1878">
        <f t="shared" si="0"/>
        <v>0</v>
      </c>
      <c r="I24" s="1878">
        <f t="shared" si="0"/>
        <v>0</v>
      </c>
      <c r="J24" s="1878">
        <f t="shared" si="0"/>
        <v>0</v>
      </c>
    </row>
    <row r="25" spans="1:12" ht="12" customHeight="1" x14ac:dyDescent="0.2">
      <c r="A25" s="1863" t="s">
        <v>1533</v>
      </c>
      <c r="B25" s="1864"/>
      <c r="C25" s="1865"/>
      <c r="D25" s="1865"/>
      <c r="E25" s="1868"/>
      <c r="F25" s="1867"/>
      <c r="H25" s="1878">
        <f t="shared" si="0"/>
        <v>0</v>
      </c>
      <c r="I25" s="1878">
        <f t="shared" si="0"/>
        <v>0</v>
      </c>
      <c r="J25" s="1878">
        <f t="shared" si="0"/>
        <v>0</v>
      </c>
    </row>
    <row r="26" spans="1:12" ht="12" customHeight="1" x14ac:dyDescent="0.2">
      <c r="A26" s="1863" t="s">
        <v>1534</v>
      </c>
      <c r="B26" s="1864"/>
      <c r="C26" s="1865" t="s">
        <v>2061</v>
      </c>
      <c r="D26" s="1865" t="s">
        <v>2061</v>
      </c>
      <c r="E26" s="1868"/>
      <c r="F26" s="1867" t="s">
        <v>2085</v>
      </c>
      <c r="H26" s="1878">
        <f t="shared" si="0"/>
        <v>5</v>
      </c>
      <c r="I26" s="1878">
        <f t="shared" si="0"/>
        <v>5</v>
      </c>
      <c r="J26" s="1878">
        <f t="shared" si="0"/>
        <v>0</v>
      </c>
    </row>
    <row r="27" spans="1:12" ht="18.75" x14ac:dyDescent="0.2">
      <c r="A27" s="1863" t="s">
        <v>1535</v>
      </c>
      <c r="B27" s="1864"/>
      <c r="C27" s="1865" t="s">
        <v>2061</v>
      </c>
      <c r="D27" s="1865" t="s">
        <v>2061</v>
      </c>
      <c r="E27" s="1868"/>
      <c r="F27" s="1867" t="s">
        <v>2086</v>
      </c>
      <c r="H27" s="1878">
        <f t="shared" si="0"/>
        <v>5</v>
      </c>
      <c r="I27" s="1878">
        <f t="shared" si="0"/>
        <v>5</v>
      </c>
      <c r="J27" s="1878">
        <f t="shared" si="0"/>
        <v>0</v>
      </c>
    </row>
    <row r="28" spans="1:12" ht="12" customHeight="1" x14ac:dyDescent="0.2">
      <c r="A28" s="1863" t="s">
        <v>1536</v>
      </c>
      <c r="B28" s="1864"/>
      <c r="C28" s="1865"/>
      <c r="D28" s="1865"/>
      <c r="E28" s="1868"/>
      <c r="F28" s="1867"/>
      <c r="H28" s="1878">
        <f t="shared" si="0"/>
        <v>0</v>
      </c>
      <c r="I28" s="1878">
        <f t="shared" si="0"/>
        <v>0</v>
      </c>
      <c r="J28" s="1878">
        <f t="shared" si="0"/>
        <v>0</v>
      </c>
    </row>
    <row r="29" spans="1:12" ht="12" customHeight="1" x14ac:dyDescent="0.2">
      <c r="A29" s="1863" t="s">
        <v>1537</v>
      </c>
      <c r="B29" s="1864"/>
      <c r="C29" s="1865"/>
      <c r="D29" s="1865"/>
      <c r="E29" s="1868"/>
      <c r="F29" s="1867"/>
      <c r="H29" s="1878">
        <f t="shared" si="0"/>
        <v>0</v>
      </c>
      <c r="I29" s="1878">
        <f t="shared" si="0"/>
        <v>0</v>
      </c>
      <c r="J29" s="1878">
        <f t="shared" si="0"/>
        <v>0</v>
      </c>
    </row>
    <row r="30" spans="1:12" ht="12" customHeight="1" x14ac:dyDescent="0.2">
      <c r="A30" s="1863" t="s">
        <v>1538</v>
      </c>
      <c r="B30" s="1864"/>
      <c r="C30" s="1865"/>
      <c r="D30" s="1865"/>
      <c r="E30" s="1868"/>
      <c r="F30" s="1867"/>
      <c r="H30" s="1878">
        <f t="shared" si="0"/>
        <v>0</v>
      </c>
      <c r="I30" s="1878">
        <f t="shared" si="0"/>
        <v>0</v>
      </c>
      <c r="J30" s="1878">
        <f t="shared" si="0"/>
        <v>0</v>
      </c>
    </row>
    <row r="31" spans="1:12" ht="12" customHeight="1" x14ac:dyDescent="0.2">
      <c r="A31" s="1863" t="s">
        <v>1539</v>
      </c>
      <c r="B31" s="1864"/>
      <c r="C31" s="1865"/>
      <c r="D31" s="1865"/>
      <c r="E31" s="1868"/>
      <c r="F31" s="1867"/>
      <c r="H31" s="1878">
        <f t="shared" si="0"/>
        <v>0</v>
      </c>
      <c r="I31" s="1878">
        <f t="shared" si="0"/>
        <v>0</v>
      </c>
      <c r="J31" s="1878">
        <f t="shared" si="0"/>
        <v>0</v>
      </c>
      <c r="L31" s="1869"/>
    </row>
    <row r="32" spans="1:12" ht="12" customHeight="1" x14ac:dyDescent="0.2">
      <c r="A32" s="1863" t="s">
        <v>1540</v>
      </c>
      <c r="B32" s="1864"/>
      <c r="C32" s="1865"/>
      <c r="D32" s="1865"/>
      <c r="E32" s="1868"/>
      <c r="F32" s="1867"/>
      <c r="H32" s="1878">
        <f t="shared" si="0"/>
        <v>0</v>
      </c>
      <c r="I32" s="1878">
        <f t="shared" si="0"/>
        <v>0</v>
      </c>
      <c r="J32" s="1878">
        <f t="shared" si="0"/>
        <v>0</v>
      </c>
    </row>
    <row r="33" spans="1:11" ht="12" customHeight="1" x14ac:dyDescent="0.2">
      <c r="A33" s="1863" t="s">
        <v>1541</v>
      </c>
      <c r="B33" s="1864"/>
      <c r="C33" s="1865"/>
      <c r="D33" s="1865"/>
      <c r="E33" s="1868"/>
      <c r="F33" s="1867"/>
      <c r="H33" s="1878">
        <f t="shared" si="0"/>
        <v>0</v>
      </c>
      <c r="I33" s="1878">
        <f t="shared" si="0"/>
        <v>0</v>
      </c>
      <c r="J33" s="1878">
        <f t="shared" si="0"/>
        <v>0</v>
      </c>
    </row>
    <row r="34" spans="1:11" ht="12" customHeight="1" x14ac:dyDescent="0.25">
      <c r="A34" s="1870"/>
      <c r="B34" s="1870"/>
      <c r="C34" s="1870"/>
      <c r="D34" s="1870"/>
      <c r="E34" s="1870"/>
      <c r="F34" s="1870"/>
      <c r="H34" s="1878">
        <f>SUM(H11:H32)</f>
        <v>30</v>
      </c>
      <c r="I34" s="1878">
        <f>SUM(I11:I32)</f>
        <v>30</v>
      </c>
      <c r="J34" s="1878">
        <f>SUM(J11:J32)</f>
        <v>0</v>
      </c>
      <c r="K34" s="1878">
        <f>SUM(H34:J34)</f>
        <v>60</v>
      </c>
    </row>
    <row r="35" spans="1:11" ht="12" customHeight="1" x14ac:dyDescent="0.2">
      <c r="A35" s="1871" t="s">
        <v>1392</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1391</v>
      </c>
      <c r="B40" s="1875"/>
      <c r="C40" s="2299"/>
      <c r="D40" s="2299"/>
      <c r="E40" s="2299"/>
      <c r="F40" s="2300"/>
      <c r="H40" s="1879"/>
      <c r="I40" s="1879"/>
      <c r="J40" s="1879"/>
      <c r="K40" s="1879"/>
    </row>
    <row r="41" spans="1:11" s="1870" customFormat="1" ht="12" customHeight="1" x14ac:dyDescent="0.25">
      <c r="A41" s="2301"/>
      <c r="B41" s="2302"/>
      <c r="C41" s="2302"/>
      <c r="D41" s="2302"/>
      <c r="E41" s="2302"/>
      <c r="F41" s="2303"/>
      <c r="H41" s="1879"/>
      <c r="I41" s="1879"/>
      <c r="J41" s="1879"/>
      <c r="K41" s="1879"/>
    </row>
    <row r="42" spans="1:11" s="1870" customFormat="1" ht="12" customHeight="1" x14ac:dyDescent="0.25">
      <c r="A42" s="2301"/>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1:F1"/>
    <mergeCell ref="A5:F5"/>
    <mergeCell ref="C6:E6"/>
    <mergeCell ref="C7:E7"/>
    <mergeCell ref="C35:F35"/>
    <mergeCell ref="A36:F36"/>
  </mergeCells>
  <printOptions headings="1"/>
  <pageMargins left="0.3" right="0.2" top="0.68" bottom="0.37" header="0.17" footer="0.17"/>
  <pageSetup scale="85" orientation="landscape" r:id="rId1"/>
  <headerFooter>
    <oddFooter>&amp;C&amp;8Page 31</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40" zoomScaleNormal="140" workbookViewId="0">
      <pane ySplit="2" topLeftCell="A55" activePane="bottomLeft" state="frozen"/>
      <selection pane="bottomLeft" activeCell="E61" sqref="E6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28316457</v>
      </c>
      <c r="D5" s="466">
        <f>4885189+3</f>
        <v>4885192</v>
      </c>
      <c r="E5" s="466">
        <v>857728</v>
      </c>
      <c r="F5" s="466">
        <v>942785</v>
      </c>
      <c r="G5" s="466">
        <v>225159</v>
      </c>
      <c r="H5" s="466">
        <v>46058</v>
      </c>
      <c r="I5" s="467"/>
      <c r="J5" s="467"/>
      <c r="K5" s="1671">
        <f>SUM(C5:J5)</f>
        <v>35273379</v>
      </c>
      <c r="L5" s="466">
        <v>34679400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4811425</v>
      </c>
      <c r="D8" s="466">
        <v>906559</v>
      </c>
      <c r="E8" s="466">
        <v>13467</v>
      </c>
      <c r="F8" s="466">
        <v>38655</v>
      </c>
      <c r="G8" s="466">
        <v>18295</v>
      </c>
      <c r="H8" s="466">
        <f>2172+22641</f>
        <v>24813</v>
      </c>
      <c r="I8" s="467"/>
      <c r="J8" s="467"/>
      <c r="K8" s="1671">
        <f t="shared" si="0"/>
        <v>5813214</v>
      </c>
      <c r="L8" s="466">
        <v>6175400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621547</v>
      </c>
      <c r="D13" s="466">
        <v>101495</v>
      </c>
      <c r="E13" s="466"/>
      <c r="F13" s="466">
        <v>121631</v>
      </c>
      <c r="G13" s="466"/>
      <c r="H13" s="466">
        <v>273095</v>
      </c>
      <c r="I13" s="467"/>
      <c r="J13" s="467"/>
      <c r="K13" s="1671">
        <f t="shared" si="0"/>
        <v>1117768</v>
      </c>
      <c r="L13" s="466">
        <v>1029000</v>
      </c>
    </row>
    <row r="14" spans="1:14" x14ac:dyDescent="0.2">
      <c r="A14" s="1504" t="s">
        <v>963</v>
      </c>
      <c r="B14" s="614">
        <v>1500</v>
      </c>
      <c r="C14" s="466">
        <v>2496704</v>
      </c>
      <c r="D14" s="466">
        <v>211887</v>
      </c>
      <c r="E14" s="466">
        <v>381753</v>
      </c>
      <c r="F14" s="466">
        <v>74903</v>
      </c>
      <c r="G14" s="466">
        <v>118786</v>
      </c>
      <c r="H14" s="466">
        <v>1771</v>
      </c>
      <c r="I14" s="467"/>
      <c r="J14" s="467"/>
      <c r="K14" s="1671">
        <f t="shared" si="0"/>
        <v>3285804</v>
      </c>
      <c r="L14" s="466">
        <v>3634600</v>
      </c>
    </row>
    <row r="15" spans="1:14" x14ac:dyDescent="0.2">
      <c r="A15" s="1504" t="s">
        <v>964</v>
      </c>
      <c r="B15" s="614">
        <v>1600</v>
      </c>
      <c r="C15" s="466">
        <v>766774</v>
      </c>
      <c r="D15" s="466">
        <v>9560</v>
      </c>
      <c r="E15" s="466"/>
      <c r="F15" s="466">
        <v>7779</v>
      </c>
      <c r="G15" s="466"/>
      <c r="H15" s="466"/>
      <c r="I15" s="467"/>
      <c r="J15" s="467"/>
      <c r="K15" s="1671">
        <f t="shared" si="0"/>
        <v>784113</v>
      </c>
      <c r="L15" s="466">
        <v>693700</v>
      </c>
    </row>
    <row r="16" spans="1:14" x14ac:dyDescent="0.2">
      <c r="A16" s="1504" t="s">
        <v>987</v>
      </c>
      <c r="B16" s="614" t="s">
        <v>424</v>
      </c>
      <c r="C16" s="466"/>
      <c r="D16" s="466"/>
      <c r="E16" s="466"/>
      <c r="F16" s="466"/>
      <c r="G16" s="466"/>
      <c r="H16" s="466"/>
      <c r="I16" s="467"/>
      <c r="J16" s="467"/>
      <c r="K16" s="1671">
        <f t="shared" si="0"/>
        <v>0</v>
      </c>
      <c r="L16" s="466">
        <v>7000</v>
      </c>
    </row>
    <row r="17" spans="1:12" x14ac:dyDescent="0.2">
      <c r="A17" s="1504" t="s">
        <v>724</v>
      </c>
      <c r="B17" s="614" t="s">
        <v>162</v>
      </c>
      <c r="C17" s="467">
        <v>321182</v>
      </c>
      <c r="D17" s="467">
        <v>47841</v>
      </c>
      <c r="E17" s="467">
        <v>330</v>
      </c>
      <c r="F17" s="467">
        <v>742</v>
      </c>
      <c r="G17" s="467">
        <v>68000</v>
      </c>
      <c r="H17" s="467">
        <v>200</v>
      </c>
      <c r="I17" s="467"/>
      <c r="J17" s="467"/>
      <c r="K17" s="1671">
        <f t="shared" si="0"/>
        <v>438295</v>
      </c>
      <c r="L17" s="466">
        <v>443600</v>
      </c>
    </row>
    <row r="18" spans="1:12" x14ac:dyDescent="0.2">
      <c r="A18" s="1504" t="s">
        <v>1087</v>
      </c>
      <c r="B18" s="614">
        <v>1800</v>
      </c>
      <c r="C18" s="466">
        <v>277317</v>
      </c>
      <c r="D18" s="466">
        <v>65396</v>
      </c>
      <c r="E18" s="466">
        <v>5173</v>
      </c>
      <c r="F18" s="466">
        <v>13651</v>
      </c>
      <c r="G18" s="466"/>
      <c r="H18" s="466">
        <v>45</v>
      </c>
      <c r="I18" s="467"/>
      <c r="J18" s="467"/>
      <c r="K18" s="1671">
        <f t="shared" si="0"/>
        <v>361582</v>
      </c>
      <c r="L18" s="466">
        <v>412200</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2199327</v>
      </c>
      <c r="I22" s="616"/>
      <c r="J22" s="477"/>
      <c r="K22" s="1671">
        <f t="shared" si="0"/>
        <v>2199327</v>
      </c>
      <c r="L22" s="471">
        <v>3200000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37611406</v>
      </c>
      <c r="D33" s="1670">
        <f t="shared" ref="D33:L33" si="1">SUM(D5:D32)</f>
        <v>6227930</v>
      </c>
      <c r="E33" s="1670">
        <f t="shared" si="1"/>
        <v>1258451</v>
      </c>
      <c r="F33" s="1670">
        <f t="shared" si="1"/>
        <v>1200146</v>
      </c>
      <c r="G33" s="1670">
        <f t="shared" si="1"/>
        <v>430240</v>
      </c>
      <c r="H33" s="1670">
        <f t="shared" si="1"/>
        <v>2545309</v>
      </c>
      <c r="I33" s="1670">
        <f t="shared" si="1"/>
        <v>0</v>
      </c>
      <c r="J33" s="1670">
        <f t="shared" si="1"/>
        <v>0</v>
      </c>
      <c r="K33" s="1670">
        <f t="shared" si="1"/>
        <v>49273482</v>
      </c>
      <c r="L33" s="1670">
        <f t="shared" si="1"/>
        <v>50274900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2559181</v>
      </c>
      <c r="D36" s="481">
        <v>563790</v>
      </c>
      <c r="E36" s="481">
        <v>18391</v>
      </c>
      <c r="F36" s="481">
        <v>29775</v>
      </c>
      <c r="G36" s="481">
        <v>29552</v>
      </c>
      <c r="H36" s="481">
        <v>3717</v>
      </c>
      <c r="I36" s="467"/>
      <c r="J36" s="467"/>
      <c r="K36" s="1671">
        <f t="shared" ref="K36:K41" si="2">SUM(C36:J36)</f>
        <v>3204406</v>
      </c>
      <c r="L36" s="466">
        <v>3312900</v>
      </c>
    </row>
    <row r="37" spans="1:14" x14ac:dyDescent="0.2">
      <c r="A37" s="1504" t="s">
        <v>1090</v>
      </c>
      <c r="B37" s="614">
        <v>2120</v>
      </c>
      <c r="C37" s="466">
        <v>2999844</v>
      </c>
      <c r="D37" s="466">
        <v>583566</v>
      </c>
      <c r="E37" s="466">
        <v>115640</v>
      </c>
      <c r="F37" s="466">
        <v>30670</v>
      </c>
      <c r="G37" s="466"/>
      <c r="H37" s="466">
        <v>37638</v>
      </c>
      <c r="I37" s="467"/>
      <c r="J37" s="467"/>
      <c r="K37" s="1671">
        <f t="shared" si="2"/>
        <v>3767358</v>
      </c>
      <c r="L37" s="466">
        <v>3615600</v>
      </c>
    </row>
    <row r="38" spans="1:14" x14ac:dyDescent="0.2">
      <c r="A38" s="1504" t="s">
        <v>198</v>
      </c>
      <c r="B38" s="614">
        <v>2130</v>
      </c>
      <c r="C38" s="466">
        <v>248739</v>
      </c>
      <c r="D38" s="466">
        <v>34680</v>
      </c>
      <c r="E38" s="466">
        <v>5777</v>
      </c>
      <c r="F38" s="466">
        <v>13666</v>
      </c>
      <c r="G38" s="466">
        <v>2000</v>
      </c>
      <c r="H38" s="466">
        <v>1164</v>
      </c>
      <c r="I38" s="467"/>
      <c r="J38" s="467"/>
      <c r="K38" s="1671">
        <f t="shared" si="2"/>
        <v>306026</v>
      </c>
      <c r="L38" s="466">
        <v>332000</v>
      </c>
    </row>
    <row r="39" spans="1:14" x14ac:dyDescent="0.2">
      <c r="A39" s="1504" t="s">
        <v>199</v>
      </c>
      <c r="B39" s="614">
        <v>2140</v>
      </c>
      <c r="C39" s="466">
        <v>102501</v>
      </c>
      <c r="D39" s="466">
        <v>1367</v>
      </c>
      <c r="E39" s="466">
        <v>13268</v>
      </c>
      <c r="F39" s="466">
        <v>14060</v>
      </c>
      <c r="G39" s="466"/>
      <c r="H39" s="466">
        <v>140</v>
      </c>
      <c r="I39" s="467"/>
      <c r="J39" s="467"/>
      <c r="K39" s="1671">
        <f t="shared" si="2"/>
        <v>131336</v>
      </c>
      <c r="L39" s="466">
        <v>128700</v>
      </c>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5910265</v>
      </c>
      <c r="D42" s="1670">
        <f t="shared" ref="D42:L42" si="3">SUM(D36:D41)</f>
        <v>1183403</v>
      </c>
      <c r="E42" s="1670">
        <f t="shared" si="3"/>
        <v>153076</v>
      </c>
      <c r="F42" s="1670">
        <f t="shared" si="3"/>
        <v>88171</v>
      </c>
      <c r="G42" s="1670">
        <f t="shared" si="3"/>
        <v>31552</v>
      </c>
      <c r="H42" s="1670">
        <f t="shared" si="3"/>
        <v>42659</v>
      </c>
      <c r="I42" s="1670">
        <f t="shared" si="3"/>
        <v>0</v>
      </c>
      <c r="J42" s="1670">
        <f t="shared" si="3"/>
        <v>0</v>
      </c>
      <c r="K42" s="1670">
        <f t="shared" si="3"/>
        <v>7409126</v>
      </c>
      <c r="L42" s="1670">
        <f t="shared" si="3"/>
        <v>7389200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323973</v>
      </c>
      <c r="D44" s="481">
        <v>123050</v>
      </c>
      <c r="E44" s="481">
        <v>8926</v>
      </c>
      <c r="F44" s="481">
        <v>198211</v>
      </c>
      <c r="G44" s="481"/>
      <c r="H44" s="481">
        <f>187275+27510</f>
        <v>214785</v>
      </c>
      <c r="I44" s="467"/>
      <c r="J44" s="467"/>
      <c r="K44" s="1672">
        <f>SUM(C44:J44)</f>
        <v>868945</v>
      </c>
      <c r="L44" s="481">
        <v>756700</v>
      </c>
    </row>
    <row r="45" spans="1:14" x14ac:dyDescent="0.2">
      <c r="A45" s="1504" t="s">
        <v>815</v>
      </c>
      <c r="B45" s="614">
        <v>2220</v>
      </c>
      <c r="C45" s="466">
        <v>588207</v>
      </c>
      <c r="D45" s="466">
        <v>130085</v>
      </c>
      <c r="E45" s="466">
        <v>18748</v>
      </c>
      <c r="F45" s="466">
        <v>194176</v>
      </c>
      <c r="G45" s="466">
        <v>50335</v>
      </c>
      <c r="H45" s="466">
        <v>3486</v>
      </c>
      <c r="I45" s="467"/>
      <c r="J45" s="467"/>
      <c r="K45" s="1672">
        <f>SUM(C45:J45)</f>
        <v>985037</v>
      </c>
      <c r="L45" s="466">
        <v>1101400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912180</v>
      </c>
      <c r="D47" s="1670">
        <f t="shared" ref="D47:K47" si="4">SUM(D44:D46)</f>
        <v>253135</v>
      </c>
      <c r="E47" s="1670">
        <f t="shared" si="4"/>
        <v>27674</v>
      </c>
      <c r="F47" s="1670">
        <f t="shared" si="4"/>
        <v>392387</v>
      </c>
      <c r="G47" s="1670">
        <f t="shared" si="4"/>
        <v>50335</v>
      </c>
      <c r="H47" s="1670">
        <f t="shared" si="4"/>
        <v>218271</v>
      </c>
      <c r="I47" s="1670">
        <f t="shared" si="4"/>
        <v>0</v>
      </c>
      <c r="J47" s="1670">
        <f t="shared" si="4"/>
        <v>0</v>
      </c>
      <c r="K47" s="1670">
        <f t="shared" si="4"/>
        <v>1853982</v>
      </c>
      <c r="L47" s="1670">
        <f>SUM(L44:L46)</f>
        <v>1858100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4134</v>
      </c>
      <c r="D49" s="481">
        <v>18</v>
      </c>
      <c r="E49" s="481">
        <v>122335</v>
      </c>
      <c r="F49" s="481">
        <v>34902</v>
      </c>
      <c r="G49" s="481"/>
      <c r="H49" s="481">
        <v>25771</v>
      </c>
      <c r="I49" s="467"/>
      <c r="J49" s="467"/>
      <c r="K49" s="1672">
        <f>SUM(C49:J49)</f>
        <v>187160</v>
      </c>
      <c r="L49" s="481">
        <v>242000</v>
      </c>
    </row>
    <row r="50" spans="1:14" x14ac:dyDescent="0.2">
      <c r="A50" s="1504" t="s">
        <v>818</v>
      </c>
      <c r="B50" s="614">
        <v>2320</v>
      </c>
      <c r="C50" s="466">
        <v>286369</v>
      </c>
      <c r="D50" s="466">
        <v>61625</v>
      </c>
      <c r="E50" s="466">
        <v>53202</v>
      </c>
      <c r="F50" s="466">
        <v>19033</v>
      </c>
      <c r="G50" s="466"/>
      <c r="H50" s="466">
        <v>9393</v>
      </c>
      <c r="I50" s="467"/>
      <c r="J50" s="467"/>
      <c r="K50" s="1672">
        <f>SUM(C50:J50)</f>
        <v>429622</v>
      </c>
      <c r="L50" s="466">
        <v>471400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290503</v>
      </c>
      <c r="D53" s="1670">
        <f t="shared" ref="D53:L53" si="5">SUM(D49:D52)</f>
        <v>61643</v>
      </c>
      <c r="E53" s="1670">
        <f t="shared" si="5"/>
        <v>175537</v>
      </c>
      <c r="F53" s="1670">
        <f t="shared" si="5"/>
        <v>53935</v>
      </c>
      <c r="G53" s="1670">
        <f t="shared" si="5"/>
        <v>0</v>
      </c>
      <c r="H53" s="1670">
        <f t="shared" si="5"/>
        <v>35164</v>
      </c>
      <c r="I53" s="1670">
        <f t="shared" si="5"/>
        <v>0</v>
      </c>
      <c r="J53" s="1670">
        <f t="shared" si="5"/>
        <v>0</v>
      </c>
      <c r="K53" s="1670">
        <f t="shared" si="5"/>
        <v>616782</v>
      </c>
      <c r="L53" s="1670">
        <f t="shared" si="5"/>
        <v>713400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f>315759-2</f>
        <v>315757</v>
      </c>
      <c r="D55" s="481">
        <v>68725</v>
      </c>
      <c r="E55" s="481">
        <v>8164</v>
      </c>
      <c r="F55" s="481">
        <v>77465</v>
      </c>
      <c r="G55" s="481"/>
      <c r="H55" s="481">
        <v>10056</v>
      </c>
      <c r="I55" s="467"/>
      <c r="J55" s="467"/>
      <c r="K55" s="1672">
        <f>SUM(C55:J55)</f>
        <v>480167</v>
      </c>
      <c r="L55" s="481">
        <v>474200</v>
      </c>
    </row>
    <row r="56" spans="1:14" ht="12.75" customHeight="1" x14ac:dyDescent="0.2">
      <c r="A56" s="1508" t="s">
        <v>376</v>
      </c>
      <c r="B56" s="628">
        <v>2490</v>
      </c>
      <c r="C56" s="466">
        <v>394469</v>
      </c>
      <c r="D56" s="466">
        <v>94463</v>
      </c>
      <c r="E56" s="466">
        <v>37881</v>
      </c>
      <c r="F56" s="466">
        <v>21307</v>
      </c>
      <c r="G56" s="466">
        <v>93223</v>
      </c>
      <c r="H56" s="466">
        <v>395</v>
      </c>
      <c r="I56" s="467"/>
      <c r="J56" s="467"/>
      <c r="K56" s="1672">
        <f>SUM(C56:J56)</f>
        <v>641738</v>
      </c>
      <c r="L56" s="466">
        <v>685800</v>
      </c>
    </row>
    <row r="57" spans="1:14" s="343" customFormat="1" ht="12.75" customHeight="1" thickBot="1" x14ac:dyDescent="0.25">
      <c r="A57" s="1668" t="s">
        <v>263</v>
      </c>
      <c r="B57" s="1673" t="s">
        <v>34</v>
      </c>
      <c r="C57" s="1674">
        <f>SUM(C55:C56)</f>
        <v>710226</v>
      </c>
      <c r="D57" s="1674">
        <f t="shared" ref="D57:K57" si="6">SUM(D55:D56)</f>
        <v>163188</v>
      </c>
      <c r="E57" s="1674">
        <f t="shared" si="6"/>
        <v>46045</v>
      </c>
      <c r="F57" s="1674">
        <f t="shared" si="6"/>
        <v>98772</v>
      </c>
      <c r="G57" s="1674">
        <f t="shared" si="6"/>
        <v>93223</v>
      </c>
      <c r="H57" s="1674">
        <f t="shared" si="6"/>
        <v>10451</v>
      </c>
      <c r="I57" s="1674">
        <f t="shared" si="6"/>
        <v>0</v>
      </c>
      <c r="J57" s="1674">
        <f t="shared" si="6"/>
        <v>0</v>
      </c>
      <c r="K57" s="1674">
        <f t="shared" si="6"/>
        <v>1121905</v>
      </c>
      <c r="L57" s="1670">
        <f>SUM(L55:L56)</f>
        <v>1160000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762277</v>
      </c>
      <c r="D60" s="466">
        <v>151311</v>
      </c>
      <c r="E60" s="466">
        <v>193323</v>
      </c>
      <c r="F60" s="466">
        <v>120902</v>
      </c>
      <c r="G60" s="466">
        <v>5318</v>
      </c>
      <c r="H60" s="466">
        <v>3665</v>
      </c>
      <c r="I60" s="467"/>
      <c r="J60" s="467"/>
      <c r="K60" s="1672">
        <f t="shared" si="7"/>
        <v>1236796</v>
      </c>
      <c r="L60" s="466">
        <v>1031900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v>21024</v>
      </c>
      <c r="F63" s="466">
        <v>35535</v>
      </c>
      <c r="G63" s="466"/>
      <c r="H63" s="466"/>
      <c r="I63" s="467"/>
      <c r="J63" s="467"/>
      <c r="K63" s="1672">
        <f t="shared" si="7"/>
        <v>56559</v>
      </c>
      <c r="L63" s="466">
        <v>155000</v>
      </c>
    </row>
    <row r="64" spans="1:14" s="609" customFormat="1" x14ac:dyDescent="0.2">
      <c r="A64" s="1509" t="s">
        <v>101</v>
      </c>
      <c r="B64" s="630">
        <v>2570</v>
      </c>
      <c r="C64" s="481"/>
      <c r="D64" s="481"/>
      <c r="E64" s="481">
        <v>749889</v>
      </c>
      <c r="F64" s="481">
        <v>205532</v>
      </c>
      <c r="G64" s="481"/>
      <c r="H64" s="481"/>
      <c r="I64" s="467"/>
      <c r="J64" s="467"/>
      <c r="K64" s="1672">
        <f t="shared" si="7"/>
        <v>955421</v>
      </c>
      <c r="L64" s="481">
        <v>902000</v>
      </c>
    </row>
    <row r="65" spans="1:14" s="343" customFormat="1" ht="12.75" customHeight="1" thickBot="1" x14ac:dyDescent="0.25">
      <c r="A65" s="1668" t="s">
        <v>719</v>
      </c>
      <c r="B65" s="1669" t="s">
        <v>35</v>
      </c>
      <c r="C65" s="1670">
        <f>SUM(C59:C64)</f>
        <v>762277</v>
      </c>
      <c r="D65" s="1670">
        <f t="shared" ref="D65:L65" si="8">SUM(D59:D64)</f>
        <v>151311</v>
      </c>
      <c r="E65" s="1670">
        <f t="shared" si="8"/>
        <v>964236</v>
      </c>
      <c r="F65" s="1670">
        <f t="shared" si="8"/>
        <v>361969</v>
      </c>
      <c r="G65" s="1670">
        <f t="shared" si="8"/>
        <v>5318</v>
      </c>
      <c r="H65" s="1670">
        <f t="shared" si="8"/>
        <v>3665</v>
      </c>
      <c r="I65" s="1670">
        <f t="shared" si="8"/>
        <v>0</v>
      </c>
      <c r="J65" s="1670">
        <f t="shared" si="8"/>
        <v>0</v>
      </c>
      <c r="K65" s="1670">
        <f t="shared" si="8"/>
        <v>2248776</v>
      </c>
      <c r="L65" s="1670">
        <f t="shared" si="8"/>
        <v>2088900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v>2232282</v>
      </c>
      <c r="D68" s="466">
        <f>516787+2</f>
        <v>516789</v>
      </c>
      <c r="E68" s="466">
        <v>312006</v>
      </c>
      <c r="F68" s="466">
        <v>89850</v>
      </c>
      <c r="G68" s="466"/>
      <c r="H68" s="466">
        <v>3615</v>
      </c>
      <c r="I68" s="467"/>
      <c r="J68" s="467"/>
      <c r="K68" s="1672">
        <f>SUM(C68:J68)</f>
        <v>3154542</v>
      </c>
      <c r="L68" s="466">
        <v>3286500</v>
      </c>
      <c r="M68" s="609"/>
      <c r="N68" s="609"/>
    </row>
    <row r="69" spans="1:14" s="343" customFormat="1" x14ac:dyDescent="0.2">
      <c r="A69" s="1504" t="s">
        <v>1061</v>
      </c>
      <c r="B69" s="614">
        <v>2630</v>
      </c>
      <c r="C69" s="466">
        <v>1437497</v>
      </c>
      <c r="D69" s="466">
        <v>221038</v>
      </c>
      <c r="E69" s="466">
        <v>428018</v>
      </c>
      <c r="F69" s="466">
        <v>1021558</v>
      </c>
      <c r="G69" s="466">
        <v>1875642</v>
      </c>
      <c r="H69" s="466">
        <v>43561</v>
      </c>
      <c r="I69" s="467"/>
      <c r="J69" s="467"/>
      <c r="K69" s="1672">
        <f>SUM(C69:J69)</f>
        <v>5027314</v>
      </c>
      <c r="L69" s="466">
        <v>4687700</v>
      </c>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v>101984</v>
      </c>
      <c r="D71" s="466">
        <v>54020</v>
      </c>
      <c r="E71" s="466">
        <v>7623</v>
      </c>
      <c r="F71" s="466">
        <v>21552</v>
      </c>
      <c r="G71" s="466"/>
      <c r="H71" s="466"/>
      <c r="I71" s="467"/>
      <c r="J71" s="467"/>
      <c r="K71" s="1672">
        <f>SUM(C71:J71)</f>
        <v>185179</v>
      </c>
      <c r="L71" s="466">
        <v>363200</v>
      </c>
      <c r="M71" s="609"/>
      <c r="N71" s="609"/>
    </row>
    <row r="72" spans="1:14" s="343" customFormat="1" ht="12.75" customHeight="1" thickBot="1" x14ac:dyDescent="0.25">
      <c r="A72" s="1668" t="s">
        <v>37</v>
      </c>
      <c r="B72" s="1675" t="s">
        <v>36</v>
      </c>
      <c r="C72" s="1670">
        <f>SUM(C67:C71)</f>
        <v>3771763</v>
      </c>
      <c r="D72" s="1670">
        <f t="shared" ref="D72:K72" si="9">SUM(D67:D71)</f>
        <v>791847</v>
      </c>
      <c r="E72" s="1670">
        <f t="shared" si="9"/>
        <v>747647</v>
      </c>
      <c r="F72" s="1670">
        <f t="shared" si="9"/>
        <v>1132960</v>
      </c>
      <c r="G72" s="1670">
        <f t="shared" si="9"/>
        <v>1875642</v>
      </c>
      <c r="H72" s="1670">
        <f t="shared" si="9"/>
        <v>47176</v>
      </c>
      <c r="I72" s="1670">
        <f t="shared" si="9"/>
        <v>0</v>
      </c>
      <c r="J72" s="1670">
        <f t="shared" si="9"/>
        <v>0</v>
      </c>
      <c r="K72" s="1670">
        <f t="shared" si="9"/>
        <v>8367035</v>
      </c>
      <c r="L72" s="1670">
        <f>SUM(L67:L71)</f>
        <v>8337400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12357214</v>
      </c>
      <c r="D74" s="1677">
        <f t="shared" ref="D74:K74" si="10">SUM(D42,D47,D53,D57,D65,D72,D73)</f>
        <v>2604527</v>
      </c>
      <c r="E74" s="1677">
        <f t="shared" si="10"/>
        <v>2114215</v>
      </c>
      <c r="F74" s="1677">
        <f t="shared" si="10"/>
        <v>2128194</v>
      </c>
      <c r="G74" s="1677">
        <f t="shared" si="10"/>
        <v>2056070</v>
      </c>
      <c r="H74" s="1677">
        <f t="shared" si="10"/>
        <v>357386</v>
      </c>
      <c r="I74" s="1677">
        <f t="shared" si="10"/>
        <v>0</v>
      </c>
      <c r="J74" s="1677">
        <f t="shared" si="10"/>
        <v>0</v>
      </c>
      <c r="K74" s="1677">
        <f t="shared" si="10"/>
        <v>21617606</v>
      </c>
      <c r="L74" s="1677">
        <f>SUM(L42,L47,L53,L57,L65,L72,L73)</f>
        <v>21547000</v>
      </c>
    </row>
    <row r="75" spans="1:14" s="259" customFormat="1" ht="15.75" customHeight="1" thickTop="1" thickBot="1" x14ac:dyDescent="0.25">
      <c r="A75" s="1610" t="s">
        <v>47</v>
      </c>
      <c r="B75" s="1611" t="s">
        <v>575</v>
      </c>
      <c r="C75" s="573">
        <v>2138657</v>
      </c>
      <c r="D75" s="573">
        <f>265957+1</f>
        <v>265958</v>
      </c>
      <c r="E75" s="573">
        <v>74833</v>
      </c>
      <c r="F75" s="573">
        <v>20698</v>
      </c>
      <c r="G75" s="573">
        <v>75324</v>
      </c>
      <c r="H75" s="573"/>
      <c r="I75" s="531"/>
      <c r="J75" s="531"/>
      <c r="K75" s="1670">
        <f>SUM(C75:J75)</f>
        <v>2575470</v>
      </c>
      <c r="L75" s="576">
        <v>2325600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f>1822+3615484</f>
        <v>3617306</v>
      </c>
      <c r="F79" s="616"/>
      <c r="G79" s="616"/>
      <c r="H79" s="466">
        <f>596522</f>
        <v>596522</v>
      </c>
      <c r="I79" s="477"/>
      <c r="J79" s="477"/>
      <c r="K79" s="1671">
        <f t="shared" si="11"/>
        <v>4213828</v>
      </c>
      <c r="L79" s="466">
        <v>3576900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3617306</v>
      </c>
      <c r="F84" s="616"/>
      <c r="G84" s="616"/>
      <c r="H84" s="1670">
        <f>SUM(H78:H83)</f>
        <v>596522</v>
      </c>
      <c r="I84" s="477"/>
      <c r="J84" s="477"/>
      <c r="K84" s="1670">
        <f>SUM(K78:K83)</f>
        <v>4213828</v>
      </c>
      <c r="L84" s="1670">
        <f>SUM(L78:L83)</f>
        <v>3576900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v>45136</v>
      </c>
      <c r="I101" s="477"/>
      <c r="J101" s="477"/>
      <c r="K101" s="1679">
        <f>SUM(C101:J101)</f>
        <v>45136</v>
      </c>
      <c r="L101" s="530">
        <v>60000</v>
      </c>
    </row>
    <row r="102" spans="1:14" ht="12.75" customHeight="1" thickTop="1" thickBot="1" x14ac:dyDescent="0.25">
      <c r="A102" s="1668" t="s">
        <v>1487</v>
      </c>
      <c r="B102" s="1678">
        <v>4000</v>
      </c>
      <c r="C102" s="616"/>
      <c r="D102" s="616"/>
      <c r="E102" s="1677">
        <f>SUM(E84,E92,E100,E101)</f>
        <v>3617306</v>
      </c>
      <c r="F102" s="616"/>
      <c r="G102" s="616"/>
      <c r="H102" s="1677">
        <f>SUM(H84,H92,H100,H101)</f>
        <v>641658</v>
      </c>
      <c r="I102" s="477"/>
      <c r="J102" s="477"/>
      <c r="K102" s="1677">
        <f>SUM(K84,K92,K100,K101)</f>
        <v>4258964</v>
      </c>
      <c r="L102" s="1677">
        <f>SUM(L84,L92,L100,L101)</f>
        <v>3636900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52107277</v>
      </c>
      <c r="D114" s="1670">
        <f t="shared" ref="D114:K114" si="13">SUM(D33,D74,D75,D102,D112,D113)</f>
        <v>9098415</v>
      </c>
      <c r="E114" s="1670">
        <f t="shared" si="13"/>
        <v>7064805</v>
      </c>
      <c r="F114" s="1670">
        <f t="shared" si="13"/>
        <v>3349038</v>
      </c>
      <c r="G114" s="1670">
        <f t="shared" si="13"/>
        <v>2561634</v>
      </c>
      <c r="H114" s="1670">
        <f>SUM(H33,H74,H75,H102,H112,H113)</f>
        <v>3544353</v>
      </c>
      <c r="I114" s="1670">
        <f t="shared" si="13"/>
        <v>0</v>
      </c>
      <c r="J114" s="1670">
        <f t="shared" si="13"/>
        <v>0</v>
      </c>
      <c r="K114" s="1670">
        <f t="shared" si="13"/>
        <v>77725522</v>
      </c>
      <c r="L114" s="1670">
        <f>SUM(L33,L74,L75,L102,L112,L113)</f>
        <v>77784400</v>
      </c>
    </row>
    <row r="115" spans="1:14" ht="13.5" thickTop="1" x14ac:dyDescent="0.2">
      <c r="A115" s="2156" t="s">
        <v>996</v>
      </c>
      <c r="B115" s="2157"/>
      <c r="C115" s="618"/>
      <c r="D115" s="618"/>
      <c r="E115" s="618"/>
      <c r="F115" s="618"/>
      <c r="G115" s="618"/>
      <c r="H115" s="618"/>
      <c r="I115" s="618"/>
      <c r="J115" s="618"/>
      <c r="K115" s="1684">
        <f>'Revenues 9-14'!C268-'Expenditures 15-22'!K114</f>
        <v>109021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23838</v>
      </c>
      <c r="D124" s="466">
        <v>1286</v>
      </c>
      <c r="E124" s="466">
        <f>6222553-2-32050</f>
        <v>6190501</v>
      </c>
      <c r="F124" s="466">
        <f>2765121</f>
        <v>2765121</v>
      </c>
      <c r="G124" s="466">
        <f>16844776+32050</f>
        <v>16876826</v>
      </c>
      <c r="H124" s="466"/>
      <c r="I124" s="467"/>
      <c r="J124" s="467"/>
      <c r="K124" s="1670">
        <f>SUM(C124:J124)</f>
        <v>25857572</v>
      </c>
      <c r="L124" s="466">
        <v>19885900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23838</v>
      </c>
      <c r="D127" s="1670">
        <f t="shared" ref="D127:L127" si="14">SUM(D122:D126)</f>
        <v>1286</v>
      </c>
      <c r="E127" s="1670">
        <f t="shared" si="14"/>
        <v>6190501</v>
      </c>
      <c r="F127" s="1670">
        <f t="shared" si="14"/>
        <v>2765121</v>
      </c>
      <c r="G127" s="1670">
        <f t="shared" si="14"/>
        <v>16876826</v>
      </c>
      <c r="H127" s="1670">
        <f t="shared" si="14"/>
        <v>0</v>
      </c>
      <c r="I127" s="1670">
        <f t="shared" si="14"/>
        <v>0</v>
      </c>
      <c r="J127" s="1670">
        <f t="shared" si="14"/>
        <v>0</v>
      </c>
      <c r="K127" s="1670">
        <f t="shared" si="14"/>
        <v>25857572</v>
      </c>
      <c r="L127" s="1670">
        <f t="shared" si="14"/>
        <v>19885900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23838</v>
      </c>
      <c r="D129" s="1677">
        <f t="shared" ref="D129:L129" si="15">SUM(D120,D127,D128)</f>
        <v>1286</v>
      </c>
      <c r="E129" s="1677">
        <f t="shared" si="15"/>
        <v>6190501</v>
      </c>
      <c r="F129" s="1677">
        <f t="shared" si="15"/>
        <v>2765121</v>
      </c>
      <c r="G129" s="1677">
        <f t="shared" si="15"/>
        <v>16876826</v>
      </c>
      <c r="H129" s="1677">
        <f t="shared" si="15"/>
        <v>0</v>
      </c>
      <c r="I129" s="1677">
        <f t="shared" si="15"/>
        <v>0</v>
      </c>
      <c r="J129" s="1677">
        <f t="shared" si="15"/>
        <v>0</v>
      </c>
      <c r="K129" s="1677">
        <f t="shared" si="15"/>
        <v>25857572</v>
      </c>
      <c r="L129" s="1677">
        <f t="shared" si="15"/>
        <v>19885900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900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900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3" t="s">
        <v>620</v>
      </c>
      <c r="B151" s="2153"/>
      <c r="C151" s="1670">
        <f>SUM(C129,C130,C139,C149,C150)</f>
        <v>23838</v>
      </c>
      <c r="D151" s="1670">
        <f t="shared" ref="D151:K151" si="16">SUM(D129,D130,D139,D149,D150)</f>
        <v>1286</v>
      </c>
      <c r="E151" s="1670">
        <f t="shared" si="16"/>
        <v>6190501</v>
      </c>
      <c r="F151" s="1670">
        <f t="shared" si="16"/>
        <v>2765121</v>
      </c>
      <c r="G151" s="1670">
        <f t="shared" si="16"/>
        <v>16876826</v>
      </c>
      <c r="H151" s="1670">
        <f t="shared" si="16"/>
        <v>0</v>
      </c>
      <c r="I151" s="1670">
        <f t="shared" si="16"/>
        <v>0</v>
      </c>
      <c r="J151" s="1670">
        <f t="shared" si="16"/>
        <v>0</v>
      </c>
      <c r="K151" s="1670">
        <f t="shared" si="16"/>
        <v>25857572</v>
      </c>
      <c r="L151" s="1670">
        <f>SUM(L129,L130,L139,L149,L150)</f>
        <v>19886800</v>
      </c>
    </row>
    <row r="152" spans="1:14" ht="12.75" customHeight="1" thickTop="1" x14ac:dyDescent="0.2">
      <c r="A152" s="2176" t="s">
        <v>1178</v>
      </c>
      <c r="B152" s="2177"/>
      <c r="C152" s="618"/>
      <c r="D152" s="618"/>
      <c r="E152" s="618"/>
      <c r="F152" s="618"/>
      <c r="G152" s="618"/>
      <c r="H152" s="618"/>
      <c r="I152" s="618"/>
      <c r="J152" s="616"/>
      <c r="K152" s="1684">
        <f>'Revenues 9-14'!D268-'Expenditures 15-22'!K151</f>
        <v>-8025031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f>7019+1191580</f>
        <v>1198599</v>
      </c>
      <c r="I169" s="616"/>
      <c r="J169" s="616"/>
      <c r="K169" s="1671">
        <f>SUM(C169:H169)</f>
        <v>1198599</v>
      </c>
      <c r="L169" s="656">
        <f>1203000+400000</f>
        <v>1603000</v>
      </c>
    </row>
    <row r="170" spans="1:14" ht="33.75" customHeight="1" x14ac:dyDescent="0.2">
      <c r="A170" s="669" t="s">
        <v>1670</v>
      </c>
      <c r="B170" s="671" t="s">
        <v>31</v>
      </c>
      <c r="C170" s="616"/>
      <c r="D170" s="616"/>
      <c r="E170" s="616"/>
      <c r="F170" s="616"/>
      <c r="G170" s="616"/>
      <c r="H170" s="569">
        <f>53832+3670000</f>
        <v>3723832</v>
      </c>
      <c r="I170" s="616"/>
      <c r="J170" s="616"/>
      <c r="K170" s="1671">
        <f>SUM(C170:J170)</f>
        <v>3723832</v>
      </c>
      <c r="L170" s="569">
        <v>3670000</v>
      </c>
    </row>
    <row r="171" spans="1:14" ht="15.75" customHeight="1" x14ac:dyDescent="0.2">
      <c r="A171" s="621" t="s">
        <v>766</v>
      </c>
      <c r="B171" s="672" t="s">
        <v>84</v>
      </c>
      <c r="C171" s="616"/>
      <c r="D171" s="616"/>
      <c r="E171" s="466"/>
      <c r="F171" s="616"/>
      <c r="G171" s="616"/>
      <c r="H171" s="569">
        <v>299</v>
      </c>
      <c r="I171" s="477"/>
      <c r="J171" s="616"/>
      <c r="K171" s="1671">
        <f>SUM(C171:J171)</f>
        <v>299</v>
      </c>
      <c r="L171" s="569"/>
    </row>
    <row r="172" spans="1:14" ht="12.75" customHeight="1" thickBot="1" x14ac:dyDescent="0.25">
      <c r="A172" s="1668" t="s">
        <v>638</v>
      </c>
      <c r="B172" s="1669" t="s">
        <v>492</v>
      </c>
      <c r="C172" s="616"/>
      <c r="D172" s="616"/>
      <c r="E172" s="1677">
        <f>SUM(E168,E169,E170,E171)</f>
        <v>0</v>
      </c>
      <c r="F172" s="616"/>
      <c r="G172" s="616"/>
      <c r="H172" s="1677">
        <f>SUM(H168,H169,H170,H171)</f>
        <v>4922730</v>
      </c>
      <c r="I172" s="638"/>
      <c r="J172" s="616"/>
      <c r="K172" s="1677">
        <f>SUM(K168,K169,K170,K171)</f>
        <v>4922730</v>
      </c>
      <c r="L172" s="1677">
        <f>SUM(L168,L169,L170,L171)</f>
        <v>5273000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4922730</v>
      </c>
      <c r="I174" s="638"/>
      <c r="J174" s="616"/>
      <c r="K174" s="1677">
        <f>SUM(K160,K172,K173)</f>
        <v>4922730</v>
      </c>
      <c r="L174" s="1677">
        <f>SUM(L160,L172,L173)</f>
        <v>5273000</v>
      </c>
    </row>
    <row r="175" spans="1:14" ht="13.5" thickTop="1" x14ac:dyDescent="0.2">
      <c r="A175" s="2156" t="s">
        <v>996</v>
      </c>
      <c r="B175" s="2157"/>
      <c r="C175" s="616"/>
      <c r="D175" s="616"/>
      <c r="E175" s="616"/>
      <c r="F175" s="616"/>
      <c r="G175" s="616"/>
      <c r="H175" s="618"/>
      <c r="I175" s="616"/>
      <c r="J175" s="616"/>
      <c r="K175" s="1684">
        <f>'Revenues 9-14'!E268-'Expenditures 15-22'!K174</f>
        <v>-425163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213334</v>
      </c>
      <c r="D182" s="466">
        <v>23452</v>
      </c>
      <c r="E182" s="466">
        <v>4398301</v>
      </c>
      <c r="F182" s="466">
        <v>175392</v>
      </c>
      <c r="G182" s="466">
        <v>39412</v>
      </c>
      <c r="H182" s="466"/>
      <c r="I182" s="467"/>
      <c r="J182" s="467"/>
      <c r="K182" s="1671">
        <f>SUM(C182:J182)</f>
        <v>4849891</v>
      </c>
      <c r="L182" s="466">
        <v>5279600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213334</v>
      </c>
      <c r="D184" s="1677">
        <f t="shared" ref="D184:J184" si="17">SUM(D180,D182,D183)</f>
        <v>23452</v>
      </c>
      <c r="E184" s="1677">
        <f t="shared" si="17"/>
        <v>4398301</v>
      </c>
      <c r="F184" s="1677">
        <f t="shared" si="17"/>
        <v>175392</v>
      </c>
      <c r="G184" s="1677">
        <f t="shared" si="17"/>
        <v>39412</v>
      </c>
      <c r="H184" s="1677">
        <f t="shared" si="17"/>
        <v>0</v>
      </c>
      <c r="I184" s="1677">
        <f t="shared" si="17"/>
        <v>0</v>
      </c>
      <c r="J184" s="1677">
        <f t="shared" si="17"/>
        <v>0</v>
      </c>
      <c r="K184" s="1677">
        <f>SUM(K180,K182,K183)</f>
        <v>4849891</v>
      </c>
      <c r="L184" s="1677">
        <f>SUM(L180, L182:L183)</f>
        <v>5279600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213334</v>
      </c>
      <c r="D210" s="1670">
        <f>SUM(D184,D185)</f>
        <v>23452</v>
      </c>
      <c r="E210" s="1670">
        <f>SUM(E184,E185,E196)</f>
        <v>4398301</v>
      </c>
      <c r="F210" s="1670">
        <f>SUM(F184,F185)</f>
        <v>175392</v>
      </c>
      <c r="G210" s="1670">
        <f>SUM(G184,G185)</f>
        <v>39412</v>
      </c>
      <c r="H210" s="1670">
        <f>SUM(H184,H185,H196,H208,H209)</f>
        <v>0</v>
      </c>
      <c r="I210" s="1670">
        <f>SUM(I184,I185)</f>
        <v>0</v>
      </c>
      <c r="J210" s="1670">
        <f>SUM(J184,J185)</f>
        <v>0</v>
      </c>
      <c r="K210" s="1671">
        <f>SUM(K184,K185,K196,K208,K209)</f>
        <v>4849891</v>
      </c>
      <c r="L210" s="1670">
        <f>SUM(L184,L185,L196,L208,L209)</f>
        <v>5279600</v>
      </c>
    </row>
    <row r="211" spans="1:14" ht="13.5" thickTop="1" x14ac:dyDescent="0.2">
      <c r="A211" s="2156" t="s">
        <v>996</v>
      </c>
      <c r="B211" s="2157"/>
      <c r="C211" s="618"/>
      <c r="D211" s="618"/>
      <c r="E211" s="618"/>
      <c r="F211" s="618"/>
      <c r="G211" s="618"/>
      <c r="H211" s="618"/>
      <c r="I211" s="616"/>
      <c r="J211" s="616"/>
      <c r="K211" s="1684">
        <f>'Revenues 9-14'!F268-'Expenditures 15-22'!K210</f>
        <v>1423420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2646561</v>
      </c>
      <c r="E215" s="616"/>
      <c r="F215" s="616"/>
      <c r="G215" s="616"/>
      <c r="H215" s="616"/>
      <c r="I215" s="616"/>
      <c r="J215" s="616"/>
      <c r="K215" s="1671">
        <f>D215</f>
        <v>2646561</v>
      </c>
      <c r="L215" s="466">
        <v>2750000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308117</v>
      </c>
      <c r="E217" s="616"/>
      <c r="F217" s="616"/>
      <c r="G217" s="616"/>
      <c r="H217" s="616"/>
      <c r="I217" s="616"/>
      <c r="J217" s="616"/>
      <c r="K217" s="1671">
        <f t="shared" si="19"/>
        <v>308117</v>
      </c>
      <c r="L217" s="466">
        <v>410000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9079</v>
      </c>
      <c r="E222" s="616"/>
      <c r="F222" s="616"/>
      <c r="G222" s="616"/>
      <c r="H222" s="616"/>
      <c r="I222" s="616"/>
      <c r="J222" s="616"/>
      <c r="K222" s="1671">
        <f t="shared" si="19"/>
        <v>9079</v>
      </c>
      <c r="L222" s="466">
        <v>11000</v>
      </c>
    </row>
    <row r="223" spans="1:14" x14ac:dyDescent="0.2">
      <c r="A223" s="1504" t="s">
        <v>963</v>
      </c>
      <c r="B223" s="614">
        <v>1500</v>
      </c>
      <c r="C223" s="616"/>
      <c r="D223" s="466">
        <v>226468</v>
      </c>
      <c r="E223" s="616"/>
      <c r="F223" s="616"/>
      <c r="G223" s="616"/>
      <c r="H223" s="616"/>
      <c r="I223" s="616"/>
      <c r="J223" s="616"/>
      <c r="K223" s="1671">
        <f t="shared" si="19"/>
        <v>226468</v>
      </c>
      <c r="L223" s="466">
        <v>151000</v>
      </c>
    </row>
    <row r="224" spans="1:14" x14ac:dyDescent="0.2">
      <c r="A224" s="1504" t="s">
        <v>964</v>
      </c>
      <c r="B224" s="614">
        <v>1600</v>
      </c>
      <c r="C224" s="616"/>
      <c r="D224" s="466">
        <v>30776</v>
      </c>
      <c r="E224" s="616"/>
      <c r="F224" s="616"/>
      <c r="G224" s="616"/>
      <c r="H224" s="616"/>
      <c r="I224" s="616"/>
      <c r="J224" s="616"/>
      <c r="K224" s="1671">
        <f t="shared" si="19"/>
        <v>30776</v>
      </c>
      <c r="L224" s="466">
        <v>30000</v>
      </c>
    </row>
    <row r="225" spans="1:12" x14ac:dyDescent="0.2">
      <c r="A225" s="1504" t="s">
        <v>987</v>
      </c>
      <c r="B225" s="614">
        <v>1650</v>
      </c>
      <c r="C225" s="616"/>
      <c r="D225" s="466"/>
      <c r="E225" s="616"/>
      <c r="F225" s="616"/>
      <c r="G225" s="616"/>
      <c r="H225" s="616"/>
      <c r="I225" s="616"/>
      <c r="J225" s="616"/>
      <c r="K225" s="1671">
        <f t="shared" si="19"/>
        <v>0</v>
      </c>
      <c r="L225" s="466">
        <v>300</v>
      </c>
    </row>
    <row r="226" spans="1:12" x14ac:dyDescent="0.2">
      <c r="A226" s="1504" t="s">
        <v>724</v>
      </c>
      <c r="B226" s="614" t="s">
        <v>162</v>
      </c>
      <c r="C226" s="616"/>
      <c r="D226" s="467">
        <v>4769</v>
      </c>
      <c r="E226" s="616"/>
      <c r="F226" s="616"/>
      <c r="G226" s="616"/>
      <c r="H226" s="616"/>
      <c r="I226" s="616"/>
      <c r="J226" s="616"/>
      <c r="K226" s="1671">
        <f t="shared" si="19"/>
        <v>4769</v>
      </c>
      <c r="L226" s="466">
        <v>5500</v>
      </c>
    </row>
    <row r="227" spans="1:12" x14ac:dyDescent="0.2">
      <c r="A227" s="1504" t="s">
        <v>1087</v>
      </c>
      <c r="B227" s="614">
        <v>1800</v>
      </c>
      <c r="C227" s="616"/>
      <c r="D227" s="466">
        <v>15435</v>
      </c>
      <c r="E227" s="616"/>
      <c r="F227" s="616"/>
      <c r="G227" s="616"/>
      <c r="H227" s="616"/>
      <c r="I227" s="616"/>
      <c r="J227" s="616"/>
      <c r="K227" s="1671">
        <f t="shared" si="19"/>
        <v>15435</v>
      </c>
      <c r="L227" s="466">
        <v>18000</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3241205</v>
      </c>
      <c r="E229" s="616"/>
      <c r="F229" s="616"/>
      <c r="G229" s="616"/>
      <c r="H229" s="616"/>
      <c r="I229" s="616"/>
      <c r="J229" s="616"/>
      <c r="K229" s="1670">
        <f>SUM(K215:K228)</f>
        <v>3241205</v>
      </c>
      <c r="L229" s="1670">
        <f>SUM(L215:L228)</f>
        <v>3375800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279067</v>
      </c>
      <c r="E232" s="616"/>
      <c r="F232" s="616"/>
      <c r="G232" s="616"/>
      <c r="H232" s="616"/>
      <c r="I232" s="616"/>
      <c r="J232" s="616"/>
      <c r="K232" s="1671">
        <f t="shared" ref="K232:K237" si="20">D232</f>
        <v>279067</v>
      </c>
      <c r="L232" s="466">
        <v>275000</v>
      </c>
    </row>
    <row r="233" spans="1:12" x14ac:dyDescent="0.2">
      <c r="A233" s="1504" t="s">
        <v>1090</v>
      </c>
      <c r="B233" s="614">
        <v>2120</v>
      </c>
      <c r="C233" s="616"/>
      <c r="D233" s="466">
        <v>140696</v>
      </c>
      <c r="E233" s="616"/>
      <c r="F233" s="616"/>
      <c r="G233" s="616"/>
      <c r="H233" s="616"/>
      <c r="I233" s="616"/>
      <c r="J233" s="616"/>
      <c r="K233" s="1671">
        <f t="shared" si="20"/>
        <v>140696</v>
      </c>
      <c r="L233" s="466">
        <v>142000</v>
      </c>
    </row>
    <row r="234" spans="1:12" x14ac:dyDescent="0.2">
      <c r="A234" s="1504" t="s">
        <v>198</v>
      </c>
      <c r="B234" s="614">
        <v>2130</v>
      </c>
      <c r="C234" s="616"/>
      <c r="D234" s="466">
        <v>52105</v>
      </c>
      <c r="E234" s="616"/>
      <c r="F234" s="616"/>
      <c r="G234" s="616"/>
      <c r="H234" s="616"/>
      <c r="I234" s="616"/>
      <c r="J234" s="616"/>
      <c r="K234" s="1671">
        <f t="shared" si="20"/>
        <v>52105</v>
      </c>
      <c r="L234" s="466">
        <v>63500</v>
      </c>
    </row>
    <row r="235" spans="1:12" x14ac:dyDescent="0.2">
      <c r="A235" s="1504" t="s">
        <v>199</v>
      </c>
      <c r="B235" s="614">
        <v>2140</v>
      </c>
      <c r="C235" s="616"/>
      <c r="D235" s="466">
        <v>16387</v>
      </c>
      <c r="E235" s="616"/>
      <c r="F235" s="616"/>
      <c r="G235" s="616"/>
      <c r="H235" s="616"/>
      <c r="I235" s="616"/>
      <c r="J235" s="616"/>
      <c r="K235" s="1671">
        <f t="shared" si="20"/>
        <v>16387</v>
      </c>
      <c r="L235" s="466">
        <v>17900</v>
      </c>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488255</v>
      </c>
      <c r="E238" s="616"/>
      <c r="F238" s="616"/>
      <c r="G238" s="616"/>
      <c r="H238" s="616"/>
      <c r="I238" s="616"/>
      <c r="J238" s="616"/>
      <c r="K238" s="1670">
        <f>SUM(K232:K237)</f>
        <v>488255</v>
      </c>
      <c r="L238" s="1670">
        <f>SUM(L232:L237)</f>
        <v>498400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29280</v>
      </c>
      <c r="E240" s="616"/>
      <c r="F240" s="616"/>
      <c r="G240" s="616"/>
      <c r="H240" s="616"/>
      <c r="I240" s="616"/>
      <c r="J240" s="616"/>
      <c r="K240" s="1672">
        <f>D240</f>
        <v>29280</v>
      </c>
      <c r="L240" s="481">
        <v>35500</v>
      </c>
    </row>
    <row r="241" spans="1:12" x14ac:dyDescent="0.2">
      <c r="A241" s="1504" t="s">
        <v>815</v>
      </c>
      <c r="B241" s="614">
        <v>2220</v>
      </c>
      <c r="C241" s="616"/>
      <c r="D241" s="466">
        <v>82762</v>
      </c>
      <c r="E241" s="616"/>
      <c r="F241" s="616"/>
      <c r="G241" s="616"/>
      <c r="H241" s="616"/>
      <c r="I241" s="616"/>
      <c r="J241" s="616"/>
      <c r="K241" s="1672">
        <f>D241</f>
        <v>82762</v>
      </c>
      <c r="L241" s="466">
        <v>113100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112042</v>
      </c>
      <c r="E243" s="616"/>
      <c r="F243" s="616"/>
      <c r="G243" s="616"/>
      <c r="H243" s="616"/>
      <c r="I243" s="616"/>
      <c r="J243" s="616"/>
      <c r="K243" s="1670">
        <f>SUM(K240:K242)</f>
        <v>112042</v>
      </c>
      <c r="L243" s="1670">
        <f>SUM(L240:L242)</f>
        <v>148600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3283</v>
      </c>
      <c r="E245" s="616"/>
      <c r="F245" s="616"/>
      <c r="G245" s="616"/>
      <c r="H245" s="616"/>
      <c r="I245" s="616"/>
      <c r="J245" s="616"/>
      <c r="K245" s="1672">
        <f>D245</f>
        <v>3283</v>
      </c>
      <c r="L245" s="481">
        <v>1600</v>
      </c>
    </row>
    <row r="246" spans="1:12" x14ac:dyDescent="0.2">
      <c r="A246" s="1504" t="s">
        <v>818</v>
      </c>
      <c r="B246" s="614">
        <v>2320</v>
      </c>
      <c r="C246" s="616"/>
      <c r="D246" s="466">
        <v>21472</v>
      </c>
      <c r="E246" s="616"/>
      <c r="F246" s="616"/>
      <c r="G246" s="616"/>
      <c r="H246" s="616"/>
      <c r="I246" s="616"/>
      <c r="J246" s="616"/>
      <c r="K246" s="1672">
        <f t="shared" ref="K246:K256" si="21">D246</f>
        <v>21472</v>
      </c>
      <c r="L246" s="466">
        <v>23500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24755</v>
      </c>
      <c r="E257" s="616"/>
      <c r="F257" s="616"/>
      <c r="G257" s="616"/>
      <c r="H257" s="616"/>
      <c r="I257" s="616"/>
      <c r="J257" s="616"/>
      <c r="K257" s="1670">
        <f>SUM(K245:K256)</f>
        <v>24755</v>
      </c>
      <c r="L257" s="1670">
        <f>SUM(L245:L256)</f>
        <v>25100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27820</v>
      </c>
      <c r="E259" s="616"/>
      <c r="F259" s="616"/>
      <c r="G259" s="616"/>
      <c r="H259" s="616"/>
      <c r="I259" s="616"/>
      <c r="J259" s="616"/>
      <c r="K259" s="1672">
        <f>D259</f>
        <v>27820</v>
      </c>
      <c r="L259" s="481">
        <v>30000</v>
      </c>
    </row>
    <row r="260" spans="1:14" s="597" customFormat="1" x14ac:dyDescent="0.2">
      <c r="A260" s="1522" t="s">
        <v>1801</v>
      </c>
      <c r="B260" s="628">
        <v>2490</v>
      </c>
      <c r="C260" s="616"/>
      <c r="D260" s="466">
        <v>51076</v>
      </c>
      <c r="E260" s="616"/>
      <c r="F260" s="616"/>
      <c r="G260" s="616"/>
      <c r="H260" s="616"/>
      <c r="I260" s="616"/>
      <c r="J260" s="616"/>
      <c r="K260" s="1672">
        <f>D260</f>
        <v>51076</v>
      </c>
      <c r="L260" s="466">
        <v>49000</v>
      </c>
      <c r="M260" s="210"/>
      <c r="N260" s="210"/>
    </row>
    <row r="261" spans="1:14" ht="12.75" customHeight="1" thickBot="1" x14ac:dyDescent="0.25">
      <c r="A261" s="1692" t="s">
        <v>263</v>
      </c>
      <c r="B261" s="1697" t="s">
        <v>34</v>
      </c>
      <c r="C261" s="616"/>
      <c r="D261" s="1670">
        <f>SUM(D259:D260)</f>
        <v>78896</v>
      </c>
      <c r="E261" s="616"/>
      <c r="F261" s="616"/>
      <c r="G261" s="616"/>
      <c r="H261" s="616"/>
      <c r="I261" s="616"/>
      <c r="J261" s="616"/>
      <c r="K261" s="1670">
        <f>SUM(K259:K260)</f>
        <v>78896</v>
      </c>
      <c r="L261" s="1670">
        <f>SUM(L259:L260)</f>
        <v>79000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29208</v>
      </c>
      <c r="E263" s="616"/>
      <c r="F263" s="616"/>
      <c r="G263" s="616"/>
      <c r="H263" s="616"/>
      <c r="I263" s="616"/>
      <c r="J263" s="616"/>
      <c r="K263" s="1672">
        <f>D263</f>
        <v>29208</v>
      </c>
      <c r="L263" s="481"/>
    </row>
    <row r="264" spans="1:14" x14ac:dyDescent="0.2">
      <c r="A264" s="1504" t="s">
        <v>463</v>
      </c>
      <c r="B264" s="685">
        <v>2520</v>
      </c>
      <c r="C264" s="616"/>
      <c r="D264" s="466">
        <v>76653</v>
      </c>
      <c r="E264" s="616"/>
      <c r="F264" s="616"/>
      <c r="G264" s="616"/>
      <c r="H264" s="616"/>
      <c r="I264" s="616"/>
      <c r="J264" s="616"/>
      <c r="K264" s="1672">
        <f t="shared" ref="K264:K269" si="22">D264</f>
        <v>76653</v>
      </c>
      <c r="L264" s="466">
        <v>94500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3500</v>
      </c>
      <c r="E266" s="616"/>
      <c r="F266" s="616"/>
      <c r="G266" s="616"/>
      <c r="H266" s="616"/>
      <c r="I266" s="616"/>
      <c r="J266" s="616"/>
      <c r="K266" s="1672">
        <f t="shared" si="22"/>
        <v>3500</v>
      </c>
      <c r="L266" s="466">
        <v>1500</v>
      </c>
    </row>
    <row r="267" spans="1:14" x14ac:dyDescent="0.2">
      <c r="A267" s="1504" t="s">
        <v>953</v>
      </c>
      <c r="B267" s="614">
        <v>2550</v>
      </c>
      <c r="C267" s="616"/>
      <c r="D267" s="466">
        <v>18849</v>
      </c>
      <c r="E267" s="616"/>
      <c r="F267" s="616"/>
      <c r="G267" s="616"/>
      <c r="H267" s="616"/>
      <c r="I267" s="616"/>
      <c r="J267" s="616"/>
      <c r="K267" s="1672">
        <f t="shared" si="22"/>
        <v>18849</v>
      </c>
      <c r="L267" s="466">
        <v>28000</v>
      </c>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v>2500</v>
      </c>
    </row>
    <row r="270" spans="1:14" ht="12.75" customHeight="1" thickBot="1" x14ac:dyDescent="0.25">
      <c r="A270" s="1668" t="s">
        <v>719</v>
      </c>
      <c r="B270" s="1675" t="s">
        <v>35</v>
      </c>
      <c r="C270" s="616"/>
      <c r="D270" s="1670">
        <f>SUM(D263:D269)</f>
        <v>128210</v>
      </c>
      <c r="E270" s="616"/>
      <c r="F270" s="616"/>
      <c r="G270" s="616"/>
      <c r="H270" s="616"/>
      <c r="I270" s="616"/>
      <c r="J270" s="616"/>
      <c r="K270" s="1670">
        <f>SUM(K263:K269)</f>
        <v>128210</v>
      </c>
      <c r="L270" s="1670">
        <f>SUM(L263:L269)</f>
        <v>126500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v>325007</v>
      </c>
      <c r="E273" s="616"/>
      <c r="F273" s="616"/>
      <c r="G273" s="616"/>
      <c r="H273" s="616"/>
      <c r="I273" s="616"/>
      <c r="J273" s="616"/>
      <c r="K273" s="1672">
        <f>D273</f>
        <v>325007</v>
      </c>
      <c r="L273" s="466">
        <v>312000</v>
      </c>
    </row>
    <row r="274" spans="1:12" ht="12" customHeight="1" x14ac:dyDescent="0.2">
      <c r="A274" s="1504" t="s">
        <v>1061</v>
      </c>
      <c r="B274" s="614">
        <v>2630</v>
      </c>
      <c r="C274" s="616"/>
      <c r="D274" s="466">
        <f>217157+40757</f>
        <v>257914</v>
      </c>
      <c r="E274" s="616"/>
      <c r="F274" s="616"/>
      <c r="G274" s="616"/>
      <c r="H274" s="616"/>
      <c r="I274" s="616"/>
      <c r="J274" s="616"/>
      <c r="K274" s="1672">
        <f>D274</f>
        <v>257914</v>
      </c>
      <c r="L274" s="466">
        <v>238100</v>
      </c>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v>26689</v>
      </c>
      <c r="E276" s="616"/>
      <c r="F276" s="616"/>
      <c r="G276" s="616"/>
      <c r="H276" s="616"/>
      <c r="I276" s="616"/>
      <c r="J276" s="616"/>
      <c r="K276" s="1672">
        <f>D276</f>
        <v>26689</v>
      </c>
      <c r="L276" s="466">
        <v>54500</v>
      </c>
    </row>
    <row r="277" spans="1:12" ht="12.75" customHeight="1" thickBot="1" x14ac:dyDescent="0.25">
      <c r="A277" s="1691" t="s">
        <v>37</v>
      </c>
      <c r="B277" s="1669" t="s">
        <v>36</v>
      </c>
      <c r="C277" s="616"/>
      <c r="D277" s="1670">
        <f>SUM(D272:D276)</f>
        <v>609610</v>
      </c>
      <c r="E277" s="616"/>
      <c r="F277" s="616"/>
      <c r="G277" s="616"/>
      <c r="H277" s="616"/>
      <c r="I277" s="616"/>
      <c r="J277" s="616"/>
      <c r="K277" s="1670">
        <f>SUM(K272:K276)</f>
        <v>609610</v>
      </c>
      <c r="L277" s="1670">
        <f>SUM(L272:L276)</f>
        <v>604600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1441768</v>
      </c>
      <c r="E279" s="616"/>
      <c r="F279" s="616"/>
      <c r="G279" s="616"/>
      <c r="H279" s="616"/>
      <c r="I279" s="616"/>
      <c r="J279" s="616"/>
      <c r="K279" s="1677">
        <f>SUM(K238,K243,K257,K261,K270,K277,K278)</f>
        <v>1441768</v>
      </c>
      <c r="L279" s="1677">
        <f>SUM(L238,L243,L257,L261,L270,L277,L278)</f>
        <v>1482200</v>
      </c>
    </row>
    <row r="280" spans="1:12" ht="15.75" customHeight="1" thickTop="1" thickBot="1" x14ac:dyDescent="0.25">
      <c r="A280" s="1624" t="s">
        <v>875</v>
      </c>
      <c r="B280" s="1613">
        <v>3000</v>
      </c>
      <c r="C280" s="616"/>
      <c r="D280" s="576">
        <v>358461</v>
      </c>
      <c r="E280" s="616"/>
      <c r="F280" s="616"/>
      <c r="G280" s="616"/>
      <c r="H280" s="616"/>
      <c r="I280" s="616"/>
      <c r="J280" s="616"/>
      <c r="K280" s="1679">
        <f>D280</f>
        <v>358461</v>
      </c>
      <c r="L280" s="576">
        <v>343000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v>2602</v>
      </c>
      <c r="E283" s="616"/>
      <c r="F283" s="616"/>
      <c r="G283" s="616"/>
      <c r="H283" s="616"/>
      <c r="I283" s="616"/>
      <c r="J283" s="616"/>
      <c r="K283" s="1671">
        <f>D283</f>
        <v>2602</v>
      </c>
      <c r="L283" s="466">
        <v>3000</v>
      </c>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2602</v>
      </c>
      <c r="E285" s="616"/>
      <c r="F285" s="616"/>
      <c r="G285" s="616"/>
      <c r="H285" s="616"/>
      <c r="I285" s="616"/>
      <c r="J285" s="616"/>
      <c r="K285" s="1670">
        <f>SUM(K282:K284)</f>
        <v>2602</v>
      </c>
      <c r="L285" s="1670">
        <f>SUM(L282:L284)</f>
        <v>3000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70">
        <f>SUM(D229,D279,D280,D285)</f>
        <v>5044036</v>
      </c>
      <c r="E295" s="616"/>
      <c r="F295" s="616"/>
      <c r="G295" s="616"/>
      <c r="H295" s="1670">
        <f>H293</f>
        <v>0</v>
      </c>
      <c r="I295" s="616"/>
      <c r="J295" s="616"/>
      <c r="K295" s="1670">
        <f>SUM(K229,K279,K280,K285,K293,K294)</f>
        <v>5044036</v>
      </c>
      <c r="L295" s="1670">
        <f>SUM(L229,L279,L280,L285,L293,L294)</f>
        <v>5204000</v>
      </c>
    </row>
    <row r="296" spans="1:14" ht="13.5" thickTop="1" x14ac:dyDescent="0.2">
      <c r="A296" s="2156" t="s">
        <v>996</v>
      </c>
      <c r="B296" s="2157"/>
      <c r="C296" s="616"/>
      <c r="D296" s="618"/>
      <c r="E296" s="616"/>
      <c r="F296" s="616"/>
      <c r="G296" s="616"/>
      <c r="H296" s="687"/>
      <c r="I296" s="616"/>
      <c r="J296" s="616"/>
      <c r="K296" s="1684">
        <f>'Revenues 9-14'!G268-'Expenditures 15-22'!K295</f>
        <v>-1066253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14285561</v>
      </c>
      <c r="H301" s="466"/>
      <c r="I301" s="467"/>
      <c r="J301" s="467"/>
      <c r="K301" s="1671">
        <f>SUM(C301:J301)</f>
        <v>14285561</v>
      </c>
      <c r="L301" s="467">
        <v>18700000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14285561</v>
      </c>
      <c r="H303" s="1677">
        <f t="shared" si="23"/>
        <v>0</v>
      </c>
      <c r="I303" s="1677">
        <f t="shared" si="23"/>
        <v>0</v>
      </c>
      <c r="J303" s="1677">
        <f t="shared" si="23"/>
        <v>0</v>
      </c>
      <c r="K303" s="1677">
        <f t="shared" si="23"/>
        <v>14285561</v>
      </c>
      <c r="L303" s="1677">
        <f t="shared" si="23"/>
        <v>18700000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70">
        <f>SUM(C303)</f>
        <v>0</v>
      </c>
      <c r="D312" s="1670">
        <f>SUM(D303)</f>
        <v>0</v>
      </c>
      <c r="E312" s="1670">
        <f>SUM(E303,E310)</f>
        <v>0</v>
      </c>
      <c r="F312" s="1670">
        <f>SUM(F303)</f>
        <v>0</v>
      </c>
      <c r="G312" s="1670">
        <f>SUM(G303)</f>
        <v>14285561</v>
      </c>
      <c r="H312" s="1670">
        <f>SUM(H303,H310)</f>
        <v>0</v>
      </c>
      <c r="I312" s="1670">
        <f>SUM(I303)</f>
        <v>0</v>
      </c>
      <c r="J312" s="1670">
        <f>SUM(J303)</f>
        <v>0</v>
      </c>
      <c r="K312" s="1670">
        <f>SUM(K303,K310,K311)</f>
        <v>14285561</v>
      </c>
      <c r="L312" s="1670">
        <f>SUM(L303,L310,L311)</f>
        <v>18700000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-13888319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v>182818</v>
      </c>
      <c r="F320" s="467"/>
      <c r="G320" s="467"/>
      <c r="H320" s="467"/>
      <c r="I320" s="467"/>
      <c r="J320" s="467"/>
      <c r="K320" s="1671">
        <f t="shared" ref="K320:K327" si="24">SUM(C320:J320)</f>
        <v>182818</v>
      </c>
      <c r="L320" s="467">
        <v>255200</v>
      </c>
      <c r="M320" s="665"/>
      <c r="N320" s="665"/>
    </row>
    <row r="321" spans="1:14" s="674" customFormat="1" x14ac:dyDescent="0.2">
      <c r="A321" s="1519" t="s">
        <v>300</v>
      </c>
      <c r="B321" s="697" t="s">
        <v>283</v>
      </c>
      <c r="C321" s="467"/>
      <c r="D321" s="467"/>
      <c r="E321" s="467">
        <v>12624</v>
      </c>
      <c r="F321" s="467"/>
      <c r="G321" s="467"/>
      <c r="H321" s="467"/>
      <c r="I321" s="467"/>
      <c r="J321" s="467"/>
      <c r="K321" s="1671">
        <f t="shared" si="24"/>
        <v>12624</v>
      </c>
      <c r="L321" s="467">
        <v>50000</v>
      </c>
      <c r="M321" s="665"/>
      <c r="N321" s="665"/>
    </row>
    <row r="322" spans="1:14" s="674" customFormat="1" x14ac:dyDescent="0.2">
      <c r="A322" s="1519" t="s">
        <v>238</v>
      </c>
      <c r="B322" s="697" t="s">
        <v>284</v>
      </c>
      <c r="C322" s="467"/>
      <c r="D322" s="467"/>
      <c r="E322" s="467">
        <f>147306+20000</f>
        <v>167306</v>
      </c>
      <c r="F322" s="467"/>
      <c r="G322" s="467"/>
      <c r="H322" s="467"/>
      <c r="I322" s="467"/>
      <c r="J322" s="467"/>
      <c r="K322" s="1671">
        <f t="shared" si="24"/>
        <v>167306</v>
      </c>
      <c r="L322" s="467">
        <v>175000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v>60000</v>
      </c>
      <c r="F328" s="474"/>
      <c r="G328" s="474"/>
      <c r="H328" s="474"/>
      <c r="I328" s="474"/>
      <c r="J328" s="474"/>
      <c r="K328" s="1699">
        <f>SUM(C328:J328)</f>
        <v>60000</v>
      </c>
      <c r="L328" s="474">
        <v>60000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422748</v>
      </c>
      <c r="F330" s="1670">
        <f t="shared" si="25"/>
        <v>0</v>
      </c>
      <c r="G330" s="1670">
        <f t="shared" si="25"/>
        <v>0</v>
      </c>
      <c r="H330" s="1670">
        <f t="shared" si="25"/>
        <v>0</v>
      </c>
      <c r="I330" s="1670">
        <f t="shared" si="25"/>
        <v>0</v>
      </c>
      <c r="J330" s="1670">
        <f t="shared" si="25"/>
        <v>0</v>
      </c>
      <c r="K330" s="1670">
        <f>SUM(K319:K329)</f>
        <v>422748</v>
      </c>
      <c r="L330" s="1670">
        <f>SUM(L319:L329)</f>
        <v>540200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422748</v>
      </c>
      <c r="F342" s="1670">
        <f>SUM(F330)</f>
        <v>0</v>
      </c>
      <c r="G342" s="1670">
        <f>SUM(G330)</f>
        <v>0</v>
      </c>
      <c r="H342" s="1670">
        <f>SUM(H330,H334,H340)</f>
        <v>0</v>
      </c>
      <c r="I342" s="1670">
        <f>SUM(I330)</f>
        <v>0</v>
      </c>
      <c r="J342" s="1670">
        <f>SUM(J330)</f>
        <v>0</v>
      </c>
      <c r="K342" s="1670">
        <f>SUM(K330,K334,K340)</f>
        <v>422748</v>
      </c>
      <c r="L342" s="1677">
        <f>SUM(L330,L340,L341)</f>
        <v>540200</v>
      </c>
    </row>
    <row r="343" spans="1:14" ht="12.75" customHeight="1" thickTop="1" x14ac:dyDescent="0.2">
      <c r="A343" s="2169" t="s">
        <v>996</v>
      </c>
      <c r="B343" s="2170"/>
      <c r="C343" s="616"/>
      <c r="D343" s="616"/>
      <c r="E343" s="616"/>
      <c r="F343" s="616"/>
      <c r="G343" s="616"/>
      <c r="H343" s="616"/>
      <c r="I343" s="616"/>
      <c r="J343" s="616"/>
      <c r="K343" s="1684">
        <f>'Revenues 9-14'!J268-'Expenditures 15-22'!K342</f>
        <v>-383172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6" t="s">
        <v>996</v>
      </c>
      <c r="B368" s="2157"/>
      <c r="C368" s="654"/>
      <c r="D368" s="654"/>
      <c r="E368" s="626"/>
      <c r="F368" s="626"/>
      <c r="G368" s="626"/>
      <c r="H368" s="626"/>
      <c r="I368" s="626"/>
      <c r="J368" s="623"/>
      <c r="K368" s="1671">
        <f>'Revenues 9-14'!K268-'Expenditures 15-22'!K367</f>
        <v>18</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1799</v>
      </c>
      <c r="B2" s="1528" t="s">
        <v>1948</v>
      </c>
      <c r="C2" s="714" t="s">
        <v>1949</v>
      </c>
      <c r="D2" s="714" t="s">
        <v>1950</v>
      </c>
      <c r="E2" s="714" t="s">
        <v>1951</v>
      </c>
      <c r="F2" s="714" t="s">
        <v>1952</v>
      </c>
    </row>
    <row r="3" spans="1:6" ht="12" customHeight="1" x14ac:dyDescent="0.2">
      <c r="A3" s="2184"/>
      <c r="B3" s="1525"/>
      <c r="C3" s="1526"/>
      <c r="D3" s="1527" t="s">
        <v>256</v>
      </c>
      <c r="E3" s="1526"/>
      <c r="F3" s="1527" t="s">
        <v>257</v>
      </c>
    </row>
    <row r="4" spans="1:6" ht="13.7" customHeight="1" x14ac:dyDescent="0.2">
      <c r="A4" s="715" t="s">
        <v>1155</v>
      </c>
      <c r="B4" s="1749">
        <f>'Revenues 9-14'!C5</f>
        <v>60621326</v>
      </c>
      <c r="C4" s="1524">
        <v>32342950</v>
      </c>
      <c r="D4" s="1752">
        <f>B4-C4</f>
        <v>28278376</v>
      </c>
      <c r="E4" s="1524">
        <v>65886568</v>
      </c>
      <c r="F4" s="1752">
        <f>E4-C4</f>
        <v>33543618</v>
      </c>
    </row>
    <row r="5" spans="1:6" ht="13.7" customHeight="1" x14ac:dyDescent="0.2">
      <c r="A5" s="715" t="s">
        <v>870</v>
      </c>
      <c r="B5" s="1750">
        <f>'Revenues 9-14'!D5</f>
        <v>17191616</v>
      </c>
      <c r="C5" s="585">
        <v>9230587</v>
      </c>
      <c r="D5" s="1753">
        <f t="shared" ref="D5:D18" si="0">B5-C5</f>
        <v>7961029</v>
      </c>
      <c r="E5" s="585">
        <v>18800007</v>
      </c>
      <c r="F5" s="1753">
        <f>E5-C5</f>
        <v>9569420</v>
      </c>
    </row>
    <row r="6" spans="1:6" ht="13.7" customHeight="1" x14ac:dyDescent="0.2">
      <c r="A6" s="715" t="s">
        <v>411</v>
      </c>
      <c r="B6" s="1750">
        <f>'Revenues 9-14'!E5</f>
        <v>4436114</v>
      </c>
      <c r="C6" s="585">
        <v>2394824</v>
      </c>
      <c r="D6" s="1753">
        <f t="shared" si="0"/>
        <v>2041290</v>
      </c>
      <c r="E6" s="585">
        <v>4873415</v>
      </c>
      <c r="F6" s="1753">
        <f t="shared" ref="F6:F18" si="1">E6-C6</f>
        <v>2478591</v>
      </c>
    </row>
    <row r="7" spans="1:6" ht="13.7" customHeight="1" x14ac:dyDescent="0.2">
      <c r="A7" s="715" t="s">
        <v>155</v>
      </c>
      <c r="B7" s="1750">
        <f>'Revenues 9-14'!F5</f>
        <v>4549769</v>
      </c>
      <c r="C7" s="585">
        <v>2456362</v>
      </c>
      <c r="D7" s="1753">
        <f t="shared" si="0"/>
        <v>2093407</v>
      </c>
      <c r="E7" s="585">
        <v>5000031</v>
      </c>
      <c r="F7" s="1753">
        <f t="shared" si="1"/>
        <v>2543669</v>
      </c>
    </row>
    <row r="8" spans="1:6" ht="13.7" customHeight="1" x14ac:dyDescent="0.2">
      <c r="A8" s="715" t="s">
        <v>1179</v>
      </c>
      <c r="B8" s="1750">
        <f>'Revenues 9-14'!G5</f>
        <v>2332704</v>
      </c>
      <c r="C8" s="585">
        <v>825625</v>
      </c>
      <c r="D8" s="1753">
        <f t="shared" si="0"/>
        <v>1507079</v>
      </c>
      <c r="E8" s="585">
        <v>1685025</v>
      </c>
      <c r="F8" s="1753">
        <f t="shared" si="1"/>
        <v>859400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454621</v>
      </c>
      <c r="C10" s="585">
        <v>246149</v>
      </c>
      <c r="D10" s="1753">
        <f t="shared" si="0"/>
        <v>208472</v>
      </c>
      <c r="E10" s="585">
        <v>500025</v>
      </c>
      <c r="F10" s="1753">
        <f t="shared" si="1"/>
        <v>253876</v>
      </c>
    </row>
    <row r="11" spans="1:6" x14ac:dyDescent="0.2">
      <c r="A11" s="715" t="s">
        <v>409</v>
      </c>
      <c r="B11" s="1750">
        <f>'Revenues 9-14'!J5</f>
        <v>9471</v>
      </c>
      <c r="C11" s="585">
        <v>5128</v>
      </c>
      <c r="D11" s="1753">
        <f t="shared" si="0"/>
        <v>4343</v>
      </c>
      <c r="E11" s="585">
        <v>10018</v>
      </c>
      <c r="F11" s="1753">
        <f t="shared" si="1"/>
        <v>4890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3732577</v>
      </c>
      <c r="C14" s="585">
        <v>3189680</v>
      </c>
      <c r="D14" s="1753">
        <f t="shared" si="0"/>
        <v>542897</v>
      </c>
      <c r="E14" s="585">
        <v>6500033</v>
      </c>
      <c r="F14" s="1753">
        <f t="shared" si="1"/>
        <v>3310353</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1384532</v>
      </c>
      <c r="C16" s="585">
        <v>589732</v>
      </c>
      <c r="D16" s="1753">
        <f t="shared" si="0"/>
        <v>794800</v>
      </c>
      <c r="E16" s="585">
        <v>1200298</v>
      </c>
      <c r="F16" s="1753">
        <f t="shared" si="1"/>
        <v>610566</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94712730</v>
      </c>
      <c r="C19" s="1751">
        <f>SUM(C4:C18)</f>
        <v>51281037</v>
      </c>
      <c r="D19" s="1751">
        <f>SUM(D4:D18)</f>
        <v>43431693</v>
      </c>
      <c r="E19" s="1751">
        <f>SUM(E4:E18)</f>
        <v>104455420</v>
      </c>
      <c r="F19" s="1751">
        <f>SUM(F4:F18)</f>
        <v>53174383</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5" colorId="8" zoomScale="110" zoomScaleNormal="110" workbookViewId="0">
      <selection activeCell="J34" sqref="J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21"/>
    </row>
    <row r="2" spans="1:7" ht="33.75" x14ac:dyDescent="0.2">
      <c r="A2" s="2210" t="s">
        <v>1799</v>
      </c>
      <c r="B2" s="2211"/>
      <c r="C2" s="1884" t="s">
        <v>1953</v>
      </c>
      <c r="D2" s="723" t="s">
        <v>1954</v>
      </c>
      <c r="E2" s="723" t="s">
        <v>1955</v>
      </c>
      <c r="F2" s="1884" t="s">
        <v>1956</v>
      </c>
    </row>
    <row r="3" spans="1:7" ht="15.75" customHeight="1" x14ac:dyDescent="0.2">
      <c r="A3" s="2212" t="s">
        <v>1114</v>
      </c>
      <c r="B3" s="2213"/>
      <c r="C3" s="2206"/>
      <c r="D3" s="2207"/>
      <c r="E3" s="2207"/>
      <c r="F3" s="2208"/>
    </row>
    <row r="4" spans="1:7" ht="12.75" customHeight="1" thickBot="1" x14ac:dyDescent="0.25">
      <c r="A4" s="2200" t="s">
        <v>630</v>
      </c>
      <c r="B4" s="2201"/>
      <c r="C4" s="581"/>
      <c r="D4" s="581"/>
      <c r="E4" s="581"/>
      <c r="F4" s="1755">
        <f>SUM(C4+D4)-E4</f>
        <v>0</v>
      </c>
    </row>
    <row r="5" spans="1:7" ht="15.75" customHeight="1" thickTop="1" x14ac:dyDescent="0.2">
      <c r="A5" s="2204" t="s">
        <v>1110</v>
      </c>
      <c r="B5" s="2199"/>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6" t="s">
        <v>631</v>
      </c>
      <c r="B15" s="2197"/>
      <c r="C15" s="1755">
        <f>SUM(C6:C14)</f>
        <v>0</v>
      </c>
      <c r="D15" s="1755">
        <f>SUM(D6:D14)</f>
        <v>0</v>
      </c>
      <c r="E15" s="1755">
        <f>SUM(E6:E14)</f>
        <v>0</v>
      </c>
      <c r="F15" s="1755">
        <f>SUM(F6:F14)</f>
        <v>0</v>
      </c>
      <c r="G15" s="552"/>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6"/>
      <c r="D17" s="585"/>
      <c r="E17" s="726"/>
      <c r="F17" s="1755">
        <f>SUM(C17+D17)-E17</f>
        <v>0</v>
      </c>
    </row>
    <row r="18" spans="1:11" ht="12.75" customHeight="1" thickTop="1" thickBot="1" x14ac:dyDescent="0.25">
      <c r="A18" s="2191" t="s">
        <v>6</v>
      </c>
      <c r="B18" s="2192"/>
      <c r="C18" s="726"/>
      <c r="D18" s="585"/>
      <c r="E18" s="726"/>
      <c r="F18" s="1755">
        <f>SUM(C18+D18)-E18</f>
        <v>0</v>
      </c>
    </row>
    <row r="19" spans="1:11" ht="12.75" customHeight="1" thickTop="1" thickBot="1" x14ac:dyDescent="0.25">
      <c r="A19" s="2191" t="s">
        <v>388</v>
      </c>
      <c r="B19" s="2192"/>
      <c r="C19" s="726"/>
      <c r="D19" s="585"/>
      <c r="E19" s="726"/>
      <c r="F19" s="1755">
        <f>SUM(C19+D19)-E19</f>
        <v>0</v>
      </c>
    </row>
    <row r="20" spans="1:11" ht="12.75" customHeight="1" thickTop="1" thickBot="1" x14ac:dyDescent="0.25">
      <c r="A20" s="2191" t="s">
        <v>448</v>
      </c>
      <c r="B20" s="2192"/>
      <c r="C20" s="726"/>
      <c r="D20" s="585"/>
      <c r="E20" s="726"/>
      <c r="F20" s="1755">
        <f>SUM(C20+D20)-E20</f>
        <v>0</v>
      </c>
    </row>
    <row r="21" spans="1:11" ht="14.25" thickTop="1" thickBot="1" x14ac:dyDescent="0.25">
      <c r="A21" s="2196" t="s">
        <v>632</v>
      </c>
      <c r="B21" s="2197"/>
      <c r="C21" s="1755">
        <f>SUM(C17:C20)</f>
        <v>0</v>
      </c>
      <c r="D21" s="1755">
        <f>SUM(D17:D20)</f>
        <v>0</v>
      </c>
      <c r="E21" s="1755">
        <f>SUM(E17:E20)</f>
        <v>0</v>
      </c>
      <c r="F21" s="1755">
        <f>SUM(F17:F20)</f>
        <v>0</v>
      </c>
      <c r="G21" s="552"/>
    </row>
    <row r="22" spans="1:11" ht="15.75" customHeight="1" thickTop="1" x14ac:dyDescent="0.2">
      <c r="A22" s="2198" t="s">
        <v>1112</v>
      </c>
      <c r="B22" s="2199"/>
      <c r="C22" s="2193"/>
      <c r="D22" s="2194"/>
      <c r="E22" s="2194"/>
      <c r="F22" s="2195"/>
    </row>
    <row r="23" spans="1:11" ht="13.5" thickBot="1" x14ac:dyDescent="0.25">
      <c r="A23" s="2200" t="s">
        <v>633</v>
      </c>
      <c r="B23" s="2201"/>
      <c r="C23" s="581"/>
      <c r="D23" s="581"/>
      <c r="E23" s="581"/>
      <c r="F23" s="1755">
        <f>SUM(C23+D23)-E23</f>
        <v>0</v>
      </c>
      <c r="G23" s="552"/>
    </row>
    <row r="24" spans="1:11" ht="15.75" customHeight="1" thickTop="1" x14ac:dyDescent="0.2">
      <c r="A24" s="2198" t="s">
        <v>1113</v>
      </c>
      <c r="B24" s="2199"/>
      <c r="C24" s="2193"/>
      <c r="D24" s="2194"/>
      <c r="E24" s="2194"/>
      <c r="F24" s="2195"/>
    </row>
    <row r="25" spans="1:11" ht="13.5" thickBot="1" x14ac:dyDescent="0.25">
      <c r="A25" s="2200" t="s">
        <v>634</v>
      </c>
      <c r="B25" s="2201"/>
      <c r="C25" s="581"/>
      <c r="D25" s="581"/>
      <c r="E25" s="581"/>
      <c r="F25" s="1755">
        <f>SUM(C25+D25)-E25</f>
        <v>0</v>
      </c>
      <c r="G25" s="552"/>
    </row>
    <row r="26" spans="1:11" ht="15.75" customHeight="1" thickTop="1" x14ac:dyDescent="0.2">
      <c r="A26" s="2204" t="s">
        <v>657</v>
      </c>
      <c r="B26" s="2199"/>
      <c r="C26" s="727"/>
      <c r="D26" s="727"/>
      <c r="E26" s="727"/>
      <c r="F26" s="728"/>
    </row>
    <row r="27" spans="1:11" ht="13.5" thickBot="1" x14ac:dyDescent="0.25">
      <c r="A27" s="2196" t="s">
        <v>1070</v>
      </c>
      <c r="B27" s="2197"/>
      <c r="C27" s="585"/>
      <c r="D27" s="585"/>
      <c r="E27" s="585"/>
      <c r="F27" s="1755">
        <f>SUM(C27+D27)-E27</f>
        <v>0</v>
      </c>
      <c r="G27" s="552"/>
    </row>
    <row r="28" spans="1:11" ht="7.5" customHeight="1" thickTop="1" x14ac:dyDescent="0.2">
      <c r="A28" s="593"/>
    </row>
    <row r="29" spans="1:11" ht="23.25" customHeight="1" x14ac:dyDescent="0.2">
      <c r="A29" s="2202" t="s">
        <v>582</v>
      </c>
      <c r="B29" s="2203"/>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t="s">
        <v>2075</v>
      </c>
      <c r="B31" s="733">
        <v>41030</v>
      </c>
      <c r="C31" s="734">
        <v>9135000</v>
      </c>
      <c r="D31" s="735">
        <v>3</v>
      </c>
      <c r="E31" s="734">
        <v>2665000</v>
      </c>
      <c r="F31" s="734"/>
      <c r="G31" s="734"/>
      <c r="H31" s="734">
        <v>2665000</v>
      </c>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t="s">
        <v>2076</v>
      </c>
      <c r="B33" s="733">
        <v>41699</v>
      </c>
      <c r="C33" s="734">
        <v>25000000</v>
      </c>
      <c r="D33" s="735">
        <v>1</v>
      </c>
      <c r="E33" s="734">
        <v>21350565</v>
      </c>
      <c r="F33" s="734"/>
      <c r="G33" s="734">
        <f>14435</f>
        <v>14435</v>
      </c>
      <c r="H33" s="734">
        <v>1005000</v>
      </c>
      <c r="I33" s="1756">
        <f t="shared" ref="I33:I48" si="1">((E33+F33)-H33)+G33</f>
        <v>20360000</v>
      </c>
      <c r="J33" s="734">
        <v>16774116</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t="s">
        <v>2077</v>
      </c>
      <c r="B35" s="733">
        <v>43159</v>
      </c>
      <c r="C35" s="738">
        <v>24385000</v>
      </c>
      <c r="D35" s="735">
        <v>1</v>
      </c>
      <c r="E35" s="738">
        <v>24266037</v>
      </c>
      <c r="F35" s="738"/>
      <c r="G35" s="738">
        <v>118963</v>
      </c>
      <c r="H35" s="738"/>
      <c r="I35" s="1756">
        <f t="shared" si="1"/>
        <v>24385000</v>
      </c>
      <c r="J35" s="738">
        <v>24382323</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t="s">
        <v>2078</v>
      </c>
      <c r="B37" s="733" t="s">
        <v>2080</v>
      </c>
      <c r="C37" s="467"/>
      <c r="D37" s="740">
        <v>7</v>
      </c>
      <c r="E37" s="467">
        <v>144534</v>
      </c>
      <c r="F37" s="467"/>
      <c r="G37" s="467">
        <f>94283-35600</f>
        <v>58683</v>
      </c>
      <c r="H37" s="467">
        <v>53832</v>
      </c>
      <c r="I37" s="1756">
        <f t="shared" si="1"/>
        <v>149385</v>
      </c>
      <c r="J37" s="467">
        <v>149385</v>
      </c>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t="s">
        <v>2079</v>
      </c>
      <c r="B39" s="733" t="s">
        <v>2080</v>
      </c>
      <c r="C39" s="734"/>
      <c r="D39" s="741"/>
      <c r="E39" s="742"/>
      <c r="F39" s="742"/>
      <c r="G39" s="742"/>
      <c r="H39" s="742"/>
      <c r="I39" s="1756">
        <f t="shared" si="1"/>
        <v>0</v>
      </c>
      <c r="J39" s="743">
        <v>-207436</v>
      </c>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58520000</v>
      </c>
      <c r="D49" s="745"/>
      <c r="E49" s="1756">
        <f t="shared" ref="E49:J49" si="2">SUM(E31:E48)</f>
        <v>48426136</v>
      </c>
      <c r="F49" s="1756">
        <f t="shared" si="2"/>
        <v>0</v>
      </c>
      <c r="G49" s="1756">
        <f t="shared" si="2"/>
        <v>192081</v>
      </c>
      <c r="H49" s="1756">
        <f t="shared" si="2"/>
        <v>3723832</v>
      </c>
      <c r="I49" s="1756">
        <f t="shared" si="2"/>
        <v>44894385</v>
      </c>
      <c r="J49" s="1756">
        <f t="shared" si="2"/>
        <v>41098388</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85" t="s">
        <v>584</v>
      </c>
      <c r="C52" s="2186"/>
      <c r="D52" s="2186"/>
      <c r="E52" s="749" t="s">
        <v>845</v>
      </c>
      <c r="F52" s="2187" t="s">
        <v>2078</v>
      </c>
      <c r="G52" s="2188"/>
      <c r="H52" s="736"/>
      <c r="I52" s="736"/>
      <c r="J52" s="746"/>
    </row>
    <row r="53" spans="1:11" ht="11.25" customHeight="1" x14ac:dyDescent="0.2">
      <c r="A53" s="750" t="s">
        <v>913</v>
      </c>
      <c r="B53" s="751" t="s">
        <v>951</v>
      </c>
      <c r="C53" s="746"/>
      <c r="D53" s="737"/>
      <c r="E53" s="749" t="s">
        <v>497</v>
      </c>
      <c r="F53" s="2189"/>
      <c r="G53" s="2190"/>
      <c r="H53" s="736"/>
      <c r="I53" s="736"/>
      <c r="J53" s="746"/>
    </row>
    <row r="54" spans="1:11" ht="11.25" customHeight="1" x14ac:dyDescent="0.2">
      <c r="A54" s="752" t="s">
        <v>914</v>
      </c>
      <c r="B54" s="747" t="s">
        <v>952</v>
      </c>
      <c r="C54" s="746"/>
      <c r="D54" s="737"/>
      <c r="E54" s="749" t="s">
        <v>498</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30"/>
      <c r="I1" s="760"/>
      <c r="J1" s="433"/>
    </row>
    <row r="2" spans="1:11" ht="26.25" x14ac:dyDescent="0.2">
      <c r="A2" s="2233" t="s">
        <v>1677</v>
      </c>
      <c r="B2" s="2234"/>
      <c r="C2" s="2234"/>
      <c r="D2" s="2234"/>
      <c r="E2" s="2235"/>
      <c r="F2" s="761" t="s">
        <v>904</v>
      </c>
      <c r="G2" s="762" t="s">
        <v>1674</v>
      </c>
      <c r="H2" s="762" t="s">
        <v>410</v>
      </c>
      <c r="I2" s="762" t="s">
        <v>1158</v>
      </c>
      <c r="J2" s="762" t="s">
        <v>1809</v>
      </c>
      <c r="K2" s="762" t="s">
        <v>138</v>
      </c>
    </row>
    <row r="3" spans="1:11" x14ac:dyDescent="0.2">
      <c r="A3" s="2236" t="s">
        <v>1961</v>
      </c>
      <c r="B3" s="2237"/>
      <c r="C3" s="2237"/>
      <c r="D3" s="2237"/>
      <c r="E3" s="2238"/>
      <c r="F3" s="763"/>
      <c r="G3" s="764"/>
      <c r="H3" s="764"/>
      <c r="I3" s="764"/>
      <c r="J3" s="765"/>
      <c r="K3" s="765"/>
    </row>
    <row r="4" spans="1:11" x14ac:dyDescent="0.2">
      <c r="A4" s="2239" t="s">
        <v>369</v>
      </c>
      <c r="B4" s="2240"/>
      <c r="C4" s="2240"/>
      <c r="D4" s="2240"/>
      <c r="E4" s="2186"/>
      <c r="F4" s="766"/>
      <c r="G4" s="767"/>
      <c r="H4" s="768"/>
      <c r="I4" s="767"/>
      <c r="J4" s="769"/>
      <c r="K4" s="769"/>
    </row>
    <row r="5" spans="1:11" x14ac:dyDescent="0.2">
      <c r="A5" s="2217" t="s">
        <v>1069</v>
      </c>
      <c r="B5" s="2218"/>
      <c r="C5" s="2218"/>
      <c r="D5" s="2218"/>
      <c r="E5" s="2219"/>
      <c r="F5" s="770" t="s">
        <v>848</v>
      </c>
      <c r="G5" s="771"/>
      <c r="H5" s="764">
        <v>3732577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7" t="s">
        <v>1810</v>
      </c>
      <c r="B10" s="2218"/>
      <c r="C10" s="2218"/>
      <c r="D10" s="2218"/>
      <c r="E10" s="2220"/>
      <c r="F10" s="783" t="s">
        <v>862</v>
      </c>
      <c r="G10" s="782"/>
      <c r="H10" s="784"/>
      <c r="I10" s="764"/>
      <c r="J10" s="765"/>
      <c r="K10" s="765"/>
    </row>
    <row r="11" spans="1:11" x14ac:dyDescent="0.2">
      <c r="A11" s="2217" t="s">
        <v>160</v>
      </c>
      <c r="B11" s="2218"/>
      <c r="C11" s="2218"/>
      <c r="D11" s="2218"/>
      <c r="E11" s="2219"/>
      <c r="F11" s="770" t="s">
        <v>852</v>
      </c>
      <c r="G11" s="771"/>
      <c r="H11" s="764"/>
      <c r="I11" s="764"/>
      <c r="J11" s="765"/>
      <c r="K11" s="773"/>
    </row>
    <row r="12" spans="1:11" ht="13.5" thickBot="1" x14ac:dyDescent="0.25">
      <c r="A12" s="2244" t="s">
        <v>905</v>
      </c>
      <c r="B12" s="2245"/>
      <c r="C12" s="2245"/>
      <c r="D12" s="2245"/>
      <c r="E12" s="2246"/>
      <c r="F12" s="1757"/>
      <c r="G12" s="1758">
        <f>SUM(G5:G11)</f>
        <v>0</v>
      </c>
      <c r="H12" s="1758">
        <f>SUM(H5:H11)</f>
        <v>3732577</v>
      </c>
      <c r="I12" s="1758">
        <f>SUM(I5:I11)</f>
        <v>0</v>
      </c>
      <c r="J12" s="1758">
        <f>SUM(J5:J11)</f>
        <v>0</v>
      </c>
      <c r="K12" s="1758">
        <f>SUM(K5:K11)</f>
        <v>0</v>
      </c>
    </row>
    <row r="13" spans="1:11" ht="13.5" thickTop="1" x14ac:dyDescent="0.2">
      <c r="A13" s="2241" t="s">
        <v>370</v>
      </c>
      <c r="B13" s="2242"/>
      <c r="C13" s="2242"/>
      <c r="D13" s="2242"/>
      <c r="E13" s="2243"/>
      <c r="F13" s="785"/>
      <c r="G13" s="786"/>
      <c r="H13" s="787"/>
      <c r="I13" s="788"/>
      <c r="J13" s="788"/>
      <c r="K13" s="788"/>
    </row>
    <row r="14" spans="1:11" x14ac:dyDescent="0.2">
      <c r="A14" s="2224" t="s">
        <v>456</v>
      </c>
      <c r="B14" s="2224"/>
      <c r="C14" s="2224"/>
      <c r="D14" s="2224"/>
      <c r="E14" s="2225"/>
      <c r="F14" s="789" t="s">
        <v>854</v>
      </c>
      <c r="G14" s="782"/>
      <c r="H14" s="764">
        <v>3732577</v>
      </c>
      <c r="I14" s="771"/>
      <c r="J14" s="773"/>
      <c r="K14" s="765"/>
    </row>
    <row r="15" spans="1:11" x14ac:dyDescent="0.2">
      <c r="A15" s="2218" t="s">
        <v>4</v>
      </c>
      <c r="B15" s="2218"/>
      <c r="C15" s="2218"/>
      <c r="D15" s="2218"/>
      <c r="E15" s="2219"/>
      <c r="F15" s="789" t="s">
        <v>855</v>
      </c>
      <c r="G15" s="771"/>
      <c r="H15" s="764"/>
      <c r="I15" s="764"/>
      <c r="J15" s="765"/>
      <c r="K15" s="765"/>
    </row>
    <row r="16" spans="1:11" x14ac:dyDescent="0.2">
      <c r="A16" s="2218" t="s">
        <v>298</v>
      </c>
      <c r="B16" s="2218"/>
      <c r="C16" s="2218"/>
      <c r="D16" s="2218"/>
      <c r="E16" s="2219"/>
      <c r="F16" s="789" t="s">
        <v>923</v>
      </c>
      <c r="G16" s="772"/>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26" t="s">
        <v>1806</v>
      </c>
      <c r="B19" s="2226"/>
      <c r="C19" s="2226"/>
      <c r="D19" s="2226"/>
      <c r="E19" s="2227"/>
      <c r="F19" s="789" t="s">
        <v>933</v>
      </c>
      <c r="G19" s="782"/>
      <c r="H19" s="782"/>
      <c r="I19" s="782"/>
      <c r="J19" s="765"/>
      <c r="K19" s="795"/>
    </row>
    <row r="20" spans="1:11" x14ac:dyDescent="0.2">
      <c r="A20" s="2228" t="s">
        <v>1811</v>
      </c>
      <c r="B20" s="2229"/>
      <c r="C20" s="2229"/>
      <c r="D20" s="2229"/>
      <c r="E20" s="2230"/>
      <c r="F20" s="789" t="s">
        <v>934</v>
      </c>
      <c r="G20" s="782"/>
      <c r="H20" s="782"/>
      <c r="I20" s="782"/>
      <c r="J20" s="765"/>
      <c r="K20" s="795"/>
    </row>
    <row r="21" spans="1:11" ht="13.5" thickBot="1" x14ac:dyDescent="0.25">
      <c r="A21" s="2247" t="s">
        <v>638</v>
      </c>
      <c r="B21" s="2247"/>
      <c r="C21" s="2247"/>
      <c r="D21" s="2247"/>
      <c r="E21" s="2247"/>
      <c r="F21" s="1759"/>
      <c r="G21" s="792"/>
      <c r="H21" s="796"/>
      <c r="I21" s="796"/>
      <c r="J21" s="1760">
        <f>SUM(J18:J20)</f>
        <v>0</v>
      </c>
      <c r="K21" s="793"/>
    </row>
    <row r="22" spans="1:11" ht="13.5" thickTop="1" x14ac:dyDescent="0.2">
      <c r="A22" s="2218" t="s">
        <v>1812</v>
      </c>
      <c r="B22" s="2218"/>
      <c r="C22" s="2218"/>
      <c r="D22" s="2218"/>
      <c r="E22" s="2219"/>
      <c r="F22" s="789" t="s">
        <v>862</v>
      </c>
      <c r="G22" s="782"/>
      <c r="H22" s="764"/>
      <c r="I22" s="764"/>
      <c r="J22" s="797"/>
      <c r="K22" s="765"/>
    </row>
    <row r="23" spans="1:11" ht="13.5" thickBot="1" x14ac:dyDescent="0.25">
      <c r="A23" s="2248" t="s">
        <v>906</v>
      </c>
      <c r="B23" s="2247"/>
      <c r="C23" s="2247"/>
      <c r="D23" s="2247"/>
      <c r="E23" s="2247"/>
      <c r="F23" s="1761"/>
      <c r="G23" s="1758">
        <f>SUM(G14:G16,G21,G22)</f>
        <v>0</v>
      </c>
      <c r="H23" s="1758">
        <f>SUM(H14:H16,H21,H22)</f>
        <v>3732577</v>
      </c>
      <c r="I23" s="1758">
        <f>SUM(I14:I16,I21,I22)</f>
        <v>0</v>
      </c>
      <c r="J23" s="1758">
        <f>SUM(J14:J16,J21,J22)</f>
        <v>0</v>
      </c>
      <c r="K23" s="1758">
        <f>SUM(K14:K16,K21,K22)</f>
        <v>0</v>
      </c>
    </row>
    <row r="24" spans="1:11" ht="14.25" thickTop="1" thickBot="1" x14ac:dyDescent="0.25">
      <c r="A24" s="2248" t="s">
        <v>1962</v>
      </c>
      <c r="B24" s="2247"/>
      <c r="C24" s="2247"/>
      <c r="D24" s="2247"/>
      <c r="E24" s="224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2061</v>
      </c>
      <c r="E30" s="808" t="s">
        <v>768</v>
      </c>
      <c r="F30" s="202"/>
      <c r="G30" s="805"/>
    </row>
    <row r="31" spans="1:11" x14ac:dyDescent="0.2">
      <c r="A31" s="809"/>
      <c r="D31" s="237"/>
      <c r="E31" s="810" t="s">
        <v>769</v>
      </c>
      <c r="F31" s="811" t="s">
        <v>539</v>
      </c>
      <c r="G31" s="764"/>
      <c r="H31" s="2221"/>
      <c r="I31" s="2222"/>
      <c r="J31" s="2222"/>
      <c r="K31" s="2222"/>
    </row>
    <row r="32" spans="1:11" x14ac:dyDescent="0.2">
      <c r="A32" s="809"/>
      <c r="B32" s="237"/>
      <c r="C32" s="237"/>
      <c r="D32" s="237"/>
      <c r="E32" s="805"/>
      <c r="F32" s="811" t="s">
        <v>540</v>
      </c>
      <c r="G32" s="764"/>
      <c r="H32" s="2223"/>
      <c r="I32" s="2222"/>
      <c r="J32" s="2222"/>
      <c r="K32" s="2222"/>
    </row>
    <row r="33" spans="1:11" ht="1.5" customHeight="1" x14ac:dyDescent="0.2">
      <c r="A33" s="812" t="s">
        <v>1169</v>
      </c>
      <c r="B33" s="364"/>
      <c r="C33" s="364"/>
      <c r="D33" s="364"/>
      <c r="E33" s="364"/>
      <c r="F33" s="364"/>
      <c r="G33" s="813"/>
      <c r="H33" s="2223"/>
      <c r="I33" s="2222"/>
      <c r="J33" s="2222"/>
      <c r="K33" s="2222"/>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31"/>
      <c r="C41" s="2231"/>
      <c r="D41" s="2231"/>
      <c r="E41" s="2231"/>
      <c r="F41" s="223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1906</v>
      </c>
      <c r="B1" s="2254"/>
      <c r="C1" s="2255"/>
      <c r="D1" s="826"/>
      <c r="E1" s="827"/>
      <c r="F1" s="827"/>
      <c r="G1" s="828"/>
      <c r="H1" s="829"/>
      <c r="I1" s="830"/>
      <c r="J1" s="2251"/>
      <c r="K1" s="2252"/>
      <c r="L1" s="2252"/>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878405</v>
      </c>
      <c r="D5" s="841"/>
      <c r="E5" s="841"/>
      <c r="F5" s="1760">
        <f>(C5+D5)-E5</f>
        <v>878405</v>
      </c>
      <c r="G5" s="837"/>
      <c r="H5" s="842"/>
      <c r="I5" s="842"/>
      <c r="J5" s="842"/>
      <c r="K5" s="793"/>
      <c r="L5" s="1769">
        <f>F5-K5</f>
        <v>878405</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212678620</v>
      </c>
      <c r="D8" s="844">
        <v>29238163</v>
      </c>
      <c r="E8" s="844"/>
      <c r="F8" s="1760">
        <f>(C8+D8)-E8</f>
        <v>241916783</v>
      </c>
      <c r="G8" s="843">
        <v>50</v>
      </c>
      <c r="H8" s="765">
        <v>52952690</v>
      </c>
      <c r="I8" s="765">
        <v>4158537</v>
      </c>
      <c r="J8" s="765"/>
      <c r="K8" s="1769">
        <f>(H8+I8)-J8</f>
        <v>57111227</v>
      </c>
      <c r="L8" s="1769">
        <f>F8-K8</f>
        <v>184805556</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12577191</v>
      </c>
      <c r="D10" s="846">
        <v>532050</v>
      </c>
      <c r="E10" s="846"/>
      <c r="F10" s="1764">
        <f>(C10+D10)-E10</f>
        <v>13109241</v>
      </c>
      <c r="G10" s="843">
        <v>20</v>
      </c>
      <c r="H10" s="847">
        <v>8903271</v>
      </c>
      <c r="I10" s="847">
        <v>431127</v>
      </c>
      <c r="J10" s="847"/>
      <c r="K10" s="1769">
        <f>(H10+I10)-J10</f>
        <v>9334398</v>
      </c>
      <c r="L10" s="1769">
        <f>F10-K10</f>
        <v>3774843</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47687863</v>
      </c>
      <c r="D12" s="844">
        <v>3885808</v>
      </c>
      <c r="E12" s="844"/>
      <c r="F12" s="1760">
        <f>(C12+D12)-E12</f>
        <v>51573671</v>
      </c>
      <c r="G12" s="843">
        <v>10</v>
      </c>
      <c r="H12" s="765">
        <v>34263753</v>
      </c>
      <c r="I12" s="765">
        <f>2603697+18082</f>
        <v>2621779</v>
      </c>
      <c r="J12" s="765"/>
      <c r="K12" s="1769">
        <f>(H12+I12)-J12</f>
        <v>36885532</v>
      </c>
      <c r="L12" s="1769">
        <f>F12-K12</f>
        <v>14688139</v>
      </c>
    </row>
    <row r="13" spans="1:14" ht="14.25" thickTop="1" thickBot="1" x14ac:dyDescent="0.25">
      <c r="A13" s="848" t="s">
        <v>1122</v>
      </c>
      <c r="B13" s="840">
        <v>252</v>
      </c>
      <c r="C13" s="844">
        <v>5848863</v>
      </c>
      <c r="D13" s="844">
        <f>39412+68000</f>
        <v>107412</v>
      </c>
      <c r="E13" s="844"/>
      <c r="F13" s="1760">
        <f>(C13+D13)-E13</f>
        <v>5956275</v>
      </c>
      <c r="G13" s="843">
        <v>5</v>
      </c>
      <c r="H13" s="765">
        <v>5578608</v>
      </c>
      <c r="I13" s="765">
        <f>84435+13600</f>
        <v>98035</v>
      </c>
      <c r="J13" s="765"/>
      <c r="K13" s="1769">
        <f>(H13+I13)-J13</f>
        <v>5676643</v>
      </c>
      <c r="L13" s="1769">
        <f>F13-K13</f>
        <v>279632</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279670942</v>
      </c>
      <c r="D16" s="1760">
        <f>SUM(D3,D5:D6,D8:D10,D12:D15)</f>
        <v>33763433</v>
      </c>
      <c r="E16" s="1760">
        <f>SUM(E3,E5:E6,E8:E10,E12:E15)</f>
        <v>0</v>
      </c>
      <c r="F16" s="1760">
        <f>SUM(F3,F5:F6,F8:F10,F12:F15)</f>
        <v>313434375</v>
      </c>
      <c r="G16" s="843"/>
      <c r="H16" s="1760">
        <f>SUM(H3,H6,H8:H10,H12:H14,)</f>
        <v>101698322</v>
      </c>
      <c r="I16" s="1760">
        <f>SUM(I3,I6,I8:I10,I12:I14,)</f>
        <v>7309478</v>
      </c>
      <c r="J16" s="1760">
        <f>SUM(J3,J6,J8:J10,J12:J14,)</f>
        <v>0</v>
      </c>
      <c r="K16" s="1760">
        <f>(H16+I16)-J16</f>
        <v>109007800</v>
      </c>
      <c r="L16" s="1760">
        <f>F16-K16</f>
        <v>204426575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7309478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48" activePane="bottomLeft" state="frozen"/>
      <selection activeCell="A47" sqref="A47"/>
      <selection pane="bottomLeft" activeCell="M94" sqref="M9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1972</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77725522</v>
      </c>
      <c r="G8" s="865"/>
    </row>
    <row r="9" spans="1:7" x14ac:dyDescent="0.2">
      <c r="A9" s="869" t="s">
        <v>460</v>
      </c>
      <c r="B9" s="870" t="s">
        <v>1874</v>
      </c>
      <c r="C9" s="871"/>
      <c r="D9" s="869" t="s">
        <v>501</v>
      </c>
      <c r="E9" s="868"/>
      <c r="F9" s="1909">
        <f>'Expenditures 15-22'!K151</f>
        <v>25857572</v>
      </c>
      <c r="G9" s="872"/>
    </row>
    <row r="10" spans="1:7" x14ac:dyDescent="0.2">
      <c r="A10" s="869" t="s">
        <v>499</v>
      </c>
      <c r="B10" s="870" t="s">
        <v>1875</v>
      </c>
      <c r="C10" s="871"/>
      <c r="D10" s="869" t="s">
        <v>501</v>
      </c>
      <c r="E10" s="868"/>
      <c r="F10" s="1909">
        <f>'Expenditures 15-22'!K174</f>
        <v>4922730</v>
      </c>
      <c r="G10" s="872"/>
    </row>
    <row r="11" spans="1:7" x14ac:dyDescent="0.2">
      <c r="A11" s="869" t="s">
        <v>461</v>
      </c>
      <c r="B11" s="870" t="s">
        <v>1876</v>
      </c>
      <c r="C11" s="871"/>
      <c r="D11" s="869" t="s">
        <v>501</v>
      </c>
      <c r="E11" s="868"/>
      <c r="F11" s="1909">
        <f>'Expenditures 15-22'!K210</f>
        <v>4849891</v>
      </c>
      <c r="G11" s="872"/>
    </row>
    <row r="12" spans="1:7" x14ac:dyDescent="0.2">
      <c r="A12" s="869" t="s">
        <v>462</v>
      </c>
      <c r="B12" s="870" t="s">
        <v>1877</v>
      </c>
      <c r="C12" s="871"/>
      <c r="D12" s="869" t="s">
        <v>501</v>
      </c>
      <c r="E12" s="868"/>
      <c r="F12" s="1909">
        <f>'Expenditures 15-22'!K295</f>
        <v>5044036</v>
      </c>
      <c r="G12" s="872"/>
    </row>
    <row r="13" spans="1:7" x14ac:dyDescent="0.2">
      <c r="A13" s="869" t="s">
        <v>106</v>
      </c>
      <c r="B13" s="870" t="s">
        <v>1878</v>
      </c>
      <c r="C13" s="871"/>
      <c r="D13" s="869" t="s">
        <v>501</v>
      </c>
      <c r="E13" s="868"/>
      <c r="F13" s="1909">
        <f>'Expenditures 15-22'!K342</f>
        <v>422748</v>
      </c>
      <c r="G13" s="873"/>
    </row>
    <row r="14" spans="1:7" ht="12" customHeight="1" thickBot="1" x14ac:dyDescent="0.25">
      <c r="A14" s="1770"/>
      <c r="B14" s="1771"/>
      <c r="C14" s="1772"/>
      <c r="D14" s="1773" t="s">
        <v>501</v>
      </c>
      <c r="E14" s="1774" t="s">
        <v>958</v>
      </c>
      <c r="F14" s="1775">
        <f>SUM(F8:F13)</f>
        <v>118822499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784113</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2199327</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2500146</v>
      </c>
      <c r="G52" s="865"/>
    </row>
    <row r="53" spans="1:7" x14ac:dyDescent="0.2">
      <c r="A53" s="869" t="s">
        <v>459</v>
      </c>
      <c r="B53" s="869" t="s">
        <v>1475</v>
      </c>
      <c r="C53" s="889">
        <f>'Expenditures 15-22'!B102</f>
        <v>4000</v>
      </c>
      <c r="D53" s="888" t="str">
        <f>'Expenditures 15-22'!A102</f>
        <v>Total Payments to Other Govt Units</v>
      </c>
      <c r="E53" s="868"/>
      <c r="F53" s="1913">
        <f>'Expenditures 15-22'!K102</f>
        <v>4258964</v>
      </c>
      <c r="G53" s="865"/>
    </row>
    <row r="54" spans="1:7" x14ac:dyDescent="0.2">
      <c r="A54" s="869" t="s">
        <v>459</v>
      </c>
      <c r="B54" s="869" t="s">
        <v>1476</v>
      </c>
      <c r="C54" s="889" t="s">
        <v>982</v>
      </c>
      <c r="D54" s="885" t="s">
        <v>1095</v>
      </c>
      <c r="E54" s="868"/>
      <c r="F54" s="1913">
        <f>'Expenditures 15-22'!G114</f>
        <v>2561634</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16876826</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3723832</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39412</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30776</v>
      </c>
      <c r="G71" s="865"/>
    </row>
    <row r="72" spans="1:8" x14ac:dyDescent="0.2">
      <c r="A72" s="869" t="s">
        <v>462</v>
      </c>
      <c r="B72" s="869" t="s">
        <v>1893</v>
      </c>
      <c r="C72" s="886">
        <f>'Expenditures 15-22'!B280</f>
        <v>3000</v>
      </c>
      <c r="D72" s="876" t="s">
        <v>449</v>
      </c>
      <c r="E72" s="868"/>
      <c r="F72" s="1913">
        <f>'Expenditures 15-22'!K280</f>
        <v>358461</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2602</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33336093</v>
      </c>
      <c r="G76" s="865"/>
    </row>
    <row r="77" spans="1:8" s="893" customFormat="1" ht="12" customHeight="1" thickTop="1" thickBot="1" x14ac:dyDescent="0.25">
      <c r="A77" s="1779"/>
      <c r="B77" s="1776"/>
      <c r="C77" s="1772"/>
      <c r="D77" s="1777" t="s">
        <v>1897</v>
      </c>
      <c r="E77" s="1774"/>
      <c r="F77" s="1780">
        <f>(F14-F76)</f>
        <v>85486406</v>
      </c>
      <c r="G77" s="869"/>
    </row>
    <row r="78" spans="1:8" s="893" customFormat="1" ht="12" customHeight="1" thickTop="1" x14ac:dyDescent="0.2">
      <c r="A78" s="1781"/>
      <c r="B78" s="1776"/>
      <c r="C78" s="1772"/>
      <c r="D78" s="1777" t="s">
        <v>2059</v>
      </c>
      <c r="E78" s="1774"/>
      <c r="F78" s="898">
        <v>3984.8</v>
      </c>
      <c r="G78" s="899"/>
      <c r="H78" s="869"/>
    </row>
    <row r="79" spans="1:8" s="893" customFormat="1" ht="12" customHeight="1" thickBot="1" x14ac:dyDescent="0.25">
      <c r="A79" s="1782"/>
      <c r="B79" s="1776"/>
      <c r="C79" s="1772"/>
      <c r="D79" s="1777" t="s">
        <v>1898</v>
      </c>
      <c r="E79" s="1774" t="s">
        <v>958</v>
      </c>
      <c r="F79" s="1783">
        <f>IF(F78&gt;0,F77/F78," Complete Line 78")</f>
        <v>21453.123368801444</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177662</v>
      </c>
      <c r="G94" s="912"/>
    </row>
    <row r="95" spans="1:7" x14ac:dyDescent="0.2">
      <c r="A95" s="908" t="s">
        <v>140</v>
      </c>
      <c r="B95" s="908" t="s">
        <v>175</v>
      </c>
      <c r="C95" s="910">
        <v>1700</v>
      </c>
      <c r="D95" s="918" t="str">
        <f>'Revenues 9-14'!A82</f>
        <v>Total District/School Activity Income</v>
      </c>
      <c r="E95" s="906"/>
      <c r="F95" s="1789">
        <f>SUM('Revenues 9-14'!C82,'Revenues 9-14'!D82)</f>
        <v>2934510</v>
      </c>
      <c r="G95" s="912"/>
    </row>
    <row r="96" spans="1:7" x14ac:dyDescent="0.2">
      <c r="A96" s="908" t="s">
        <v>459</v>
      </c>
      <c r="B96" s="908" t="s">
        <v>176</v>
      </c>
      <c r="C96" s="910">
        <f>'Revenues 9-14'!B84</f>
        <v>1811</v>
      </c>
      <c r="D96" s="911" t="str">
        <f>'Revenues 9-14'!A84</f>
        <v>Rentals - Regular Textbooks</v>
      </c>
      <c r="E96" s="906"/>
      <c r="F96" s="1789">
        <f>'Revenues 9-14'!C84</f>
        <v>832867</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104368</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2000</v>
      </c>
      <c r="C105" s="913">
        <v>3100</v>
      </c>
      <c r="D105" s="919" t="str">
        <f>'Revenues 9-14'!A132</f>
        <v>Total Special Education</v>
      </c>
      <c r="E105" s="906"/>
      <c r="F105" s="1789">
        <f>SUM('Revenues 9-14'!C132:D132,'Revenues 9-14'!F132)</f>
        <v>481234</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66230</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0</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70252</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1674537</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909822</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0</v>
      </c>
      <c r="G125" s="930"/>
    </row>
    <row r="126" spans="1:7" x14ac:dyDescent="0.2">
      <c r="A126" s="927" t="s">
        <v>668</v>
      </c>
      <c r="B126" s="927" t="s">
        <v>2021</v>
      </c>
      <c r="C126" s="932">
        <v>4300</v>
      </c>
      <c r="D126" s="933" t="str">
        <f>'Revenues 9-14'!A204</f>
        <v>Total Title I</v>
      </c>
      <c r="E126" s="906"/>
      <c r="F126" s="1789">
        <f>SUM('Revenues 9-14'!C204,'Revenues 9-14'!D204,'Revenues 9-14'!F204,'Revenues 9-14'!G204)</f>
        <v>0</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481721</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632828</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16432</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29220</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27019</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292263</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v>930688</v>
      </c>
      <c r="G171" s="927"/>
    </row>
    <row r="172" spans="1:7" x14ac:dyDescent="0.2">
      <c r="A172" s="1918" t="s">
        <v>664</v>
      </c>
      <c r="B172" s="1919" t="s">
        <v>1917</v>
      </c>
      <c r="C172" s="1920">
        <v>3300</v>
      </c>
      <c r="D172" s="1921" t="s">
        <v>1920</v>
      </c>
      <c r="E172" s="906"/>
      <c r="F172" s="1906">
        <v>36137</v>
      </c>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9697790</v>
      </c>
    </row>
    <row r="175" spans="1:7" ht="12" customHeight="1" x14ac:dyDescent="0.2">
      <c r="A175" s="1770"/>
      <c r="B175" s="1784"/>
      <c r="C175" s="1785"/>
      <c r="D175" s="1786" t="s">
        <v>2054</v>
      </c>
      <c r="E175" s="1787"/>
      <c r="F175" s="1789">
        <f>'PCTC-OEPP 27-28'!F77-F174</f>
        <v>75788616</v>
      </c>
    </row>
    <row r="176" spans="1:7" ht="12" customHeight="1" x14ac:dyDescent="0.2">
      <c r="A176" s="1770"/>
      <c r="B176" s="1784"/>
      <c r="C176" s="1785"/>
      <c r="D176" s="1786" t="s">
        <v>1814</v>
      </c>
      <c r="E176" s="1787"/>
      <c r="F176" s="1789">
        <f>'Cap Outlay Deprec 26'!I18</f>
        <v>7309478</v>
      </c>
    </row>
    <row r="177" spans="1:7" ht="12" customHeight="1" x14ac:dyDescent="0.2">
      <c r="A177" s="1770"/>
      <c r="B177" s="1784"/>
      <c r="C177" s="1785"/>
      <c r="D177" s="1786" t="s">
        <v>2055</v>
      </c>
      <c r="E177" s="1787"/>
      <c r="F177" s="1789">
        <f>F175+F176</f>
        <v>83098094</v>
      </c>
    </row>
    <row r="178" spans="1:7" ht="12" customHeight="1" x14ac:dyDescent="0.2">
      <c r="A178" s="1770"/>
      <c r="B178" s="1790"/>
      <c r="C178" s="1785"/>
      <c r="D178" s="1786" t="str">
        <f>D78</f>
        <v>9 Month ADA from District Average Daily Attendance/Prior General State Aid Inquiry 2018-2019</v>
      </c>
      <c r="E178" s="1787"/>
      <c r="F178" s="1791">
        <f>'PCTC-OEPP 27-28'!F78</f>
        <v>3984.8</v>
      </c>
      <c r="G178" s="930"/>
    </row>
    <row r="179" spans="1:7" ht="12" customHeight="1" thickBot="1" x14ac:dyDescent="0.25">
      <c r="A179" s="1770"/>
      <c r="B179" s="1790"/>
      <c r="C179" s="1785"/>
      <c r="D179" s="1786" t="s">
        <v>2056</v>
      </c>
      <c r="E179" s="1787" t="s">
        <v>1545</v>
      </c>
      <c r="F179" s="1792">
        <f>F177/F178</f>
        <v>20853.767817707288</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C30" sqref="C30"/>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1815</v>
      </c>
      <c r="B4" s="2271"/>
      <c r="C4" s="2271"/>
      <c r="D4" s="2271"/>
      <c r="E4" s="2271"/>
      <c r="F4" s="2271"/>
      <c r="G4" s="2272"/>
    </row>
    <row r="5" spans="1:7" x14ac:dyDescent="0.25">
      <c r="A5" s="2273"/>
      <c r="B5" s="2274"/>
      <c r="C5" s="2274"/>
      <c r="D5" s="2274"/>
      <c r="E5" s="2274"/>
      <c r="F5" s="2274"/>
      <c r="G5" s="2275"/>
    </row>
    <row r="6" spans="1:7" ht="18.75" x14ac:dyDescent="0.25">
      <c r="A6" s="1534" t="s">
        <v>1816</v>
      </c>
      <c r="B6" s="1535"/>
      <c r="C6" s="1535"/>
      <c r="D6" s="1535"/>
      <c r="E6" s="1535"/>
      <c r="F6" s="1535"/>
      <c r="G6" s="1536"/>
    </row>
    <row r="7" spans="1:7" ht="30.75" customHeight="1" x14ac:dyDescent="0.25">
      <c r="A7" s="2276" t="s">
        <v>1929</v>
      </c>
      <c r="B7" s="2277"/>
      <c r="C7" s="2277"/>
      <c r="D7" s="2277"/>
      <c r="E7" s="2277"/>
      <c r="F7" s="2277"/>
      <c r="G7" s="2278"/>
    </row>
    <row r="8" spans="1:7" ht="15.75" customHeight="1" x14ac:dyDescent="0.25">
      <c r="A8" s="2279" t="s">
        <v>1904</v>
      </c>
      <c r="B8" s="2280"/>
      <c r="C8" s="2280"/>
      <c r="D8" s="2280"/>
      <c r="E8" s="2280"/>
      <c r="F8" s="2280"/>
      <c r="G8" s="2281"/>
    </row>
    <row r="9" spans="1:7" ht="35.25" customHeight="1" x14ac:dyDescent="0.25">
      <c r="A9" s="2276" t="s">
        <v>1932</v>
      </c>
      <c r="B9" s="2277"/>
      <c r="C9" s="2277"/>
      <c r="D9" s="2277"/>
      <c r="E9" s="2277"/>
      <c r="F9" s="2277"/>
      <c r="G9" s="2278"/>
    </row>
    <row r="10" spans="1:7" ht="15" customHeight="1" x14ac:dyDescent="0.25">
      <c r="A10" s="1537" t="s">
        <v>1817</v>
      </c>
      <c r="B10" s="1538"/>
      <c r="C10" s="1538"/>
      <c r="D10" s="1538"/>
      <c r="E10" s="1538"/>
      <c r="F10" s="1538"/>
      <c r="G10" s="1539"/>
    </row>
    <row r="11" spans="1:7" ht="17.25" customHeight="1" x14ac:dyDescent="0.25">
      <c r="A11" s="2276" t="s">
        <v>1931</v>
      </c>
      <c r="B11" s="2277"/>
      <c r="C11" s="2277"/>
      <c r="D11" s="2277"/>
      <c r="E11" s="2277"/>
      <c r="F11" s="2277"/>
      <c r="G11" s="2278"/>
    </row>
    <row r="12" spans="1:7" ht="15" customHeight="1" x14ac:dyDescent="0.25">
      <c r="A12" s="1537" t="s">
        <v>1822</v>
      </c>
      <c r="B12" s="1538"/>
      <c r="C12" s="1538"/>
      <c r="D12" s="1538"/>
      <c r="E12" s="1538"/>
      <c r="F12" s="1538"/>
      <c r="G12" s="1539"/>
    </row>
    <row r="13" spans="1:7" ht="32.25" customHeight="1" x14ac:dyDescent="0.25">
      <c r="A13" s="2267" t="s">
        <v>1973</v>
      </c>
      <c r="B13" s="2268"/>
      <c r="C13" s="2268"/>
      <c r="D13" s="2268"/>
      <c r="E13" s="2268"/>
      <c r="F13" s="2268"/>
      <c r="G13" s="2269"/>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ht="30" x14ac:dyDescent="0.25">
      <c r="A17" s="1938" t="s">
        <v>2146</v>
      </c>
      <c r="B17" s="1939" t="s">
        <v>2147</v>
      </c>
      <c r="C17" s="1940" t="s">
        <v>2148</v>
      </c>
      <c r="D17" s="1844">
        <v>45000</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20000</v>
      </c>
      <c r="H17" s="1647"/>
    </row>
    <row r="18" spans="1:8" x14ac:dyDescent="0.25">
      <c r="A18" s="1938" t="s">
        <v>2151</v>
      </c>
      <c r="B18" s="1939" t="s">
        <v>2149</v>
      </c>
      <c r="C18" s="1940" t="s">
        <v>2150</v>
      </c>
      <c r="D18" s="1844">
        <v>421071</v>
      </c>
      <c r="E18" s="1540">
        <f t="shared" ref="E18:E140" si="2">IF(D18&lt;=25000,D18,IF(D18&gt;25000,25000,0))</f>
        <v>25000</v>
      </c>
      <c r="F18" s="1932">
        <f t="shared" si="1"/>
        <v>25000</v>
      </c>
      <c r="G18" s="1793">
        <f t="shared" ref="G18:G140" si="3">IF(F18=0,0,D18-F18)</f>
        <v>396071</v>
      </c>
    </row>
    <row r="19" spans="1:8" ht="30" x14ac:dyDescent="0.25">
      <c r="A19" s="1938" t="s">
        <v>2146</v>
      </c>
      <c r="B19" s="1939" t="s">
        <v>2152</v>
      </c>
      <c r="C19" s="1940" t="s">
        <v>2153</v>
      </c>
      <c r="D19" s="1844">
        <v>106266</v>
      </c>
      <c r="E19" s="1540">
        <f t="shared" si="2"/>
        <v>25000</v>
      </c>
      <c r="F19" s="1932">
        <f t="shared" si="1"/>
        <v>25000</v>
      </c>
      <c r="G19" s="1793">
        <f t="shared" si="3"/>
        <v>81266</v>
      </c>
    </row>
    <row r="20" spans="1:8" x14ac:dyDescent="0.25">
      <c r="A20" s="1938" t="s">
        <v>2154</v>
      </c>
      <c r="B20" s="1939" t="s">
        <v>2155</v>
      </c>
      <c r="C20" s="1940" t="s">
        <v>2156</v>
      </c>
      <c r="D20" s="1844">
        <v>30000</v>
      </c>
      <c r="E20" s="1540">
        <f t="shared" si="2"/>
        <v>25000</v>
      </c>
      <c r="F20" s="1932">
        <f t="shared" si="1"/>
        <v>25000</v>
      </c>
      <c r="G20" s="1793">
        <f t="shared" si="3"/>
        <v>5000</v>
      </c>
    </row>
    <row r="21" spans="1:8" ht="30" x14ac:dyDescent="0.25">
      <c r="A21" s="1938" t="s">
        <v>2157</v>
      </c>
      <c r="B21" s="1939" t="s">
        <v>2158</v>
      </c>
      <c r="C21" s="1940" t="s">
        <v>2159</v>
      </c>
      <c r="D21" s="1844">
        <v>611789</v>
      </c>
      <c r="E21" s="1540">
        <f t="shared" si="2"/>
        <v>25000</v>
      </c>
      <c r="F21" s="1932">
        <f t="shared" si="1"/>
        <v>25000</v>
      </c>
      <c r="G21" s="1793">
        <f t="shared" si="3"/>
        <v>586789</v>
      </c>
    </row>
    <row r="22" spans="1:8" x14ac:dyDescent="0.25">
      <c r="A22" s="1938" t="s">
        <v>2160</v>
      </c>
      <c r="B22" s="1939" t="s">
        <v>2161</v>
      </c>
      <c r="C22" s="1940" t="s">
        <v>2162</v>
      </c>
      <c r="D22" s="1844">
        <v>4047857</v>
      </c>
      <c r="E22" s="1540">
        <f t="shared" si="2"/>
        <v>25000</v>
      </c>
      <c r="F22" s="1932">
        <f t="shared" si="1"/>
        <v>25000</v>
      </c>
      <c r="G22" s="1793">
        <f t="shared" si="3"/>
        <v>4022857</v>
      </c>
    </row>
    <row r="23" spans="1:8" x14ac:dyDescent="0.25">
      <c r="A23" s="1938" t="s">
        <v>2163</v>
      </c>
      <c r="B23" s="1939" t="s">
        <v>2164</v>
      </c>
      <c r="C23" s="1940" t="s">
        <v>2165</v>
      </c>
      <c r="D23" s="1844">
        <v>121114</v>
      </c>
      <c r="E23" s="1540">
        <f t="shared" si="2"/>
        <v>25000</v>
      </c>
      <c r="F23" s="1932">
        <f t="shared" si="1"/>
        <v>25000</v>
      </c>
      <c r="G23" s="1793">
        <f t="shared" si="3"/>
        <v>96114</v>
      </c>
    </row>
    <row r="24" spans="1:8" ht="30" x14ac:dyDescent="0.25">
      <c r="A24" s="1938" t="s">
        <v>2157</v>
      </c>
      <c r="B24" s="1939" t="s">
        <v>2158</v>
      </c>
      <c r="C24" s="1940" t="s">
        <v>2166</v>
      </c>
      <c r="D24" s="1844">
        <v>63929</v>
      </c>
      <c r="E24" s="1540">
        <f t="shared" si="2"/>
        <v>25000</v>
      </c>
      <c r="F24" s="1932">
        <f t="shared" si="1"/>
        <v>25000</v>
      </c>
      <c r="G24" s="1793">
        <f t="shared" si="3"/>
        <v>38929</v>
      </c>
    </row>
    <row r="25" spans="1:8" x14ac:dyDescent="0.25">
      <c r="A25" s="1938" t="s">
        <v>2151</v>
      </c>
      <c r="B25" s="1939" t="s">
        <v>2149</v>
      </c>
      <c r="C25" s="1940" t="s">
        <v>2167</v>
      </c>
      <c r="D25" s="1844">
        <v>147006</v>
      </c>
      <c r="E25" s="1540">
        <f t="shared" si="2"/>
        <v>25000</v>
      </c>
      <c r="F25" s="1932">
        <f t="shared" si="1"/>
        <v>25000</v>
      </c>
      <c r="G25" s="1793">
        <f t="shared" si="3"/>
        <v>122006</v>
      </c>
    </row>
    <row r="26" spans="1:8" ht="30" x14ac:dyDescent="0.25">
      <c r="A26" s="1938" t="s">
        <v>2157</v>
      </c>
      <c r="B26" s="1939" t="s">
        <v>2158</v>
      </c>
      <c r="C26" s="1940" t="s">
        <v>2168</v>
      </c>
      <c r="D26" s="1844">
        <v>40655</v>
      </c>
      <c r="E26" s="1540">
        <f t="shared" si="2"/>
        <v>25000</v>
      </c>
      <c r="F26" s="1932">
        <f t="shared" si="1"/>
        <v>25000</v>
      </c>
      <c r="G26" s="1793">
        <f t="shared" si="3"/>
        <v>15655</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5634687</v>
      </c>
      <c r="E141" s="1541">
        <f t="shared" si="0"/>
        <v>25000</v>
      </c>
      <c r="F141" s="1933">
        <f>SUM(F17:F140)</f>
        <v>250000</v>
      </c>
      <c r="G141" s="1795">
        <f>SUM(G17:G140)</f>
        <v>5384687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56559</v>
      </c>
      <c r="F10" s="974"/>
      <c r="G10" s="975"/>
      <c r="H10" s="162"/>
      <c r="I10" s="162"/>
    </row>
    <row r="11" spans="1:9" s="668" customFormat="1" ht="22.5" customHeight="1" x14ac:dyDescent="0.2">
      <c r="A11" s="2287" t="s">
        <v>1974</v>
      </c>
      <c r="B11" s="2288"/>
      <c r="C11" s="2288"/>
      <c r="D11" s="2289"/>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52084447</v>
      </c>
      <c r="F19" s="1799"/>
      <c r="G19" s="1801">
        <f>'Expenditures 15-22'!K33-SUM('Expenditures 15-22'!G33,'Expenditures 15-22'!I33)+'Expenditures 15-22'!D229</f>
        <v>52084447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7865829</v>
      </c>
      <c r="F21" s="1802"/>
      <c r="G21" s="1805">
        <f>'Expenditures 15-22'!K42-SUM('Expenditures 15-22'!G42,'Expenditures 15-22'!I42)+'Expenditures 15-22'!K120-SUM('Expenditures 15-22'!G120,'Expenditures 15-22'!I120)+'Expenditures 15-22'!K180-SUM('Expenditures 15-22'!G180,'Expenditures 15-22'!I180)+'Expenditures 15-22'!D238</f>
        <v>7865829</v>
      </c>
      <c r="H21" s="987"/>
      <c r="I21" s="162"/>
    </row>
    <row r="22" spans="1:9" s="668" customFormat="1" ht="12" customHeight="1" x14ac:dyDescent="0.2">
      <c r="A22" s="994" t="s">
        <v>564</v>
      </c>
      <c r="B22" s="995"/>
      <c r="C22" s="993">
        <v>2200</v>
      </c>
      <c r="D22" s="1802"/>
      <c r="E22" s="1804">
        <f>'Expenditures 15-22'!K47-SUM('Expenditures 15-22'!G47,'Expenditures 15-22'!I47)+'Expenditures 15-22'!D243</f>
        <v>1915689</v>
      </c>
      <c r="F22" s="1802"/>
      <c r="G22" s="1805">
        <f>'Expenditures 15-22'!K47-SUM('Expenditures 15-22'!G47,'Expenditures 15-22'!I47)+'Expenditures 15-22'!D243</f>
        <v>1915689</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1064285</v>
      </c>
      <c r="F23" s="1802"/>
      <c r="G23" s="1804">
        <f>'Expenditures 15-22'!K53-SUM('Expenditures 15-22'!G53,'Expenditures 15-22'!I53)+'Expenditures 15-22'!D257+'Expenditures 15-22'!K330-SUM('Expenditures 15-22'!G330,'Expenditures 15-22'!I330)</f>
        <v>1064285</v>
      </c>
      <c r="H23" s="987"/>
      <c r="I23" s="162"/>
    </row>
    <row r="24" spans="1:9" s="668" customFormat="1" ht="12" customHeight="1" x14ac:dyDescent="0.2">
      <c r="A24" s="994" t="s">
        <v>566</v>
      </c>
      <c r="B24" s="995"/>
      <c r="C24" s="993">
        <v>2400</v>
      </c>
      <c r="D24" s="1802"/>
      <c r="E24" s="1804">
        <f>'Expenditures 15-22'!K57-SUM('Expenditures 15-22'!G57,'Expenditures 15-22'!I57)+'Expenditures 15-22'!D261</f>
        <v>1107578</v>
      </c>
      <c r="F24" s="1802"/>
      <c r="G24" s="1805">
        <f>'Expenditures 15-22'!K57-SUM('Expenditures 15-22'!G57,'Expenditures 15-22'!I57)+'Expenditures 15-22'!D261</f>
        <v>1107578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29208</v>
      </c>
      <c r="E26" s="1804">
        <f>'Expenditures 15-22'!K122-SUM('Expenditures 15-22'!G122,'Expenditures 15-22'!I122)+E7</f>
        <v>0</v>
      </c>
      <c r="F26" s="1804">
        <f>'Expenditures 15-22'!K59-SUM('Expenditures 15-22'!G59,'Expenditures 15-22'!I59)+'Expenditures 15-22'!D263-E7</f>
        <v>29208</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1308131</v>
      </c>
      <c r="E27" s="1804">
        <f>E8</f>
        <v>0</v>
      </c>
      <c r="F27" s="1804">
        <f>'Expenditures 15-22'!K60-SUM('Expenditures 15-22'!G60,'Expenditures 15-22'!I60)+'Expenditures 15-22'!D264-E8</f>
        <v>1308131</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8984246</v>
      </c>
      <c r="F28" s="1806">
        <f>'Expenditures 15-22'!K61-SUM('Expenditures 15-22'!G61,'Expenditures 15-22'!I61)+'Expenditures 15-22'!K124-SUM('Expenditures 15-22'!G124,'Expenditures 15-22'!I124)+'Expenditures 15-22'!D266-E9</f>
        <v>8984246</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4829328</v>
      </c>
      <c r="F29" s="1802"/>
      <c r="G29" s="1805">
        <f>'Expenditures 15-22'!K62-SUM('Expenditures 15-22'!G62,'Expenditures 15-22'!I62)+'Expenditures 15-22'!K125-SUM('Expenditures 15-22'!G125,'Expenditures 15-22'!I125)+'Expenditures 15-22'!K182-SUM('Expenditures 15-22'!G182,'Expenditures 15-22'!I182)+'Expenditures 15-22'!D267</f>
        <v>4829328</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955421</v>
      </c>
      <c r="E31" s="1804">
        <f>E12</f>
        <v>0</v>
      </c>
      <c r="F31" s="1804">
        <f>'Expenditures 15-22'!K64-SUM('Expenditures 15-22'!G64,'Expenditures 15-22'!I64)+'Expenditures 15-22'!D269-E12</f>
        <v>955421</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3479549</v>
      </c>
      <c r="F34" s="1802"/>
      <c r="G34" s="1804">
        <f>'Expenditures 15-22'!K68-SUM('Expenditures 15-22'!G68,'Expenditures 15-22'!I68)+'Expenditures 15-22'!D273</f>
        <v>3479549</v>
      </c>
    </row>
    <row r="35" spans="1:7" ht="12" customHeight="1" x14ac:dyDescent="0.2">
      <c r="A35" s="994" t="s">
        <v>1061</v>
      </c>
      <c r="B35" s="997"/>
      <c r="C35" s="993">
        <v>2630</v>
      </c>
      <c r="D35" s="1802"/>
      <c r="E35" s="1804">
        <f>'Expenditures 15-22'!K69-SUM('Expenditures 15-22'!G69,'Expenditures 15-22'!I69)+'Expenditures 15-22'!D274</f>
        <v>3409586</v>
      </c>
      <c r="F35" s="1802"/>
      <c r="G35" s="1804">
        <f>'Expenditures 15-22'!K69-SUM('Expenditures 15-22'!G69,'Expenditures 15-22'!I69)+'Expenditures 15-22'!D274</f>
        <v>3409586</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211868</v>
      </c>
      <c r="E37" s="1804">
        <f>E14</f>
        <v>0</v>
      </c>
      <c r="F37" s="1804">
        <f>'Expenditures 15-22'!K71-SUM('Expenditures 15-22'!G71,'Expenditures 15-22'!I71)+'Expenditures 15-22'!D276-E14</f>
        <v>211868</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2858607</v>
      </c>
      <c r="F39" s="1802"/>
      <c r="G39" s="1804">
        <f>'Expenditures 15-22'!K75-SUM('Expenditures 15-22'!G75,'Expenditures 15-22'!I75)+'Expenditures 15-22'!K130-SUM('Expenditures 15-22'!G130,'Expenditures 15-22'!I130)+'Expenditures 15-22'!K185-SUM('Expenditures 15-22'!G185,'Expenditures 15-22'!I185)+'Expenditures 15-22'!D280</f>
        <v>2858607</v>
      </c>
    </row>
    <row r="40" spans="1:7" ht="12" customHeight="1" x14ac:dyDescent="0.2">
      <c r="A40" s="990" t="s">
        <v>1820</v>
      </c>
      <c r="B40" s="991"/>
      <c r="C40" s="993"/>
      <c r="D40" s="1802"/>
      <c r="E40" s="1806">
        <f>-'Contracts Paid in CY 29'!G141</f>
        <v>-5384687</v>
      </c>
      <c r="F40" s="1802"/>
      <c r="G40" s="1806">
        <f>-'Contracts Paid in CY 29'!G141</f>
        <v>-5384687</v>
      </c>
    </row>
    <row r="41" spans="1:7" ht="12" customHeight="1" x14ac:dyDescent="0.2">
      <c r="A41" s="998" t="s">
        <v>156</v>
      </c>
      <c r="B41" s="999"/>
      <c r="C41" s="1000"/>
      <c r="D41" s="1806">
        <f>SUM(D19:D39)</f>
        <v>2504628</v>
      </c>
      <c r="E41" s="1806">
        <f>SUM(E19:E40)</f>
        <v>82214457</v>
      </c>
      <c r="F41" s="1806">
        <f>SUM(F19:F39)</f>
        <v>11488874</v>
      </c>
      <c r="G41" s="1806">
        <f>SUM(G19:G40)</f>
        <v>73230211</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2504628</v>
      </c>
      <c r="F43" s="1807" t="s">
        <v>473</v>
      </c>
      <c r="G43" s="1808">
        <f>F41</f>
        <v>11488874</v>
      </c>
    </row>
    <row r="44" spans="1:7" ht="12" customHeight="1" x14ac:dyDescent="0.2">
      <c r="A44" s="987"/>
      <c r="B44" s="162"/>
      <c r="C44" s="1001"/>
      <c r="D44" s="1807" t="s">
        <v>474</v>
      </c>
      <c r="E44" s="1808">
        <f>E41</f>
        <v>82214457</v>
      </c>
      <c r="F44" s="1807" t="s">
        <v>474</v>
      </c>
      <c r="G44" s="1808">
        <f>G41</f>
        <v>73230211</v>
      </c>
    </row>
    <row r="45" spans="1:7" ht="12" customHeight="1" x14ac:dyDescent="0.2">
      <c r="A45" s="987"/>
      <c r="B45" s="162"/>
      <c r="C45" s="162"/>
      <c r="D45" s="1809" t="s">
        <v>1006</v>
      </c>
      <c r="E45" s="1810">
        <f>(E43/E44)</f>
        <v>3.0464569023426136E-2</v>
      </c>
      <c r="F45" s="1809" t="s">
        <v>1006</v>
      </c>
      <c r="G45" s="1810">
        <f>(G43/G44)</f>
        <v>0.15688708038817475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D28" sqref="D28"/>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4" t="s">
        <v>1379</v>
      </c>
      <c r="B1" s="2304"/>
      <c r="C1" s="2304"/>
      <c r="D1" s="2304"/>
      <c r="E1" s="2304"/>
      <c r="F1" s="2304"/>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05" t="s">
        <v>1546</v>
      </c>
      <c r="B5" s="2306"/>
      <c r="C5" s="2307"/>
      <c r="D5" s="2307"/>
      <c r="E5" s="2307"/>
      <c r="F5" s="2307"/>
    </row>
    <row r="6" spans="1:10" ht="12" customHeight="1" x14ac:dyDescent="0.25">
      <c r="A6" s="1850"/>
      <c r="B6" s="1851"/>
      <c r="C6" s="2308" t="str">
        <f>COVER!A17</f>
        <v>Adlai E Stevenson HSD 125</v>
      </c>
      <c r="D6" s="2308"/>
      <c r="E6" s="2308"/>
      <c r="F6" s="1852"/>
    </row>
    <row r="7" spans="1:10" ht="11.25" customHeight="1" thickBot="1" x14ac:dyDescent="0.3">
      <c r="A7" s="1850"/>
      <c r="B7" s="1851"/>
      <c r="C7" s="2309">
        <f>COVER!A13</f>
        <v>34049125013</v>
      </c>
      <c r="D7" s="2309"/>
      <c r="E7" s="2309"/>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2061</v>
      </c>
      <c r="D14" s="1865" t="s">
        <v>2061</v>
      </c>
      <c r="E14" s="1868"/>
      <c r="F14" s="1867" t="s">
        <v>2081</v>
      </c>
      <c r="H14" s="1878">
        <f t="shared" si="0"/>
        <v>5</v>
      </c>
      <c r="I14" s="1878">
        <f t="shared" si="1"/>
        <v>5</v>
      </c>
      <c r="J14" s="1878">
        <f t="shared" si="2"/>
        <v>0</v>
      </c>
    </row>
    <row r="15" spans="1:10" ht="12" customHeight="1" x14ac:dyDescent="0.2">
      <c r="A15" s="1863" t="s">
        <v>1387</v>
      </c>
      <c r="B15" s="1864"/>
      <c r="C15" s="1865" t="s">
        <v>2061</v>
      </c>
      <c r="D15" s="1865" t="s">
        <v>2061</v>
      </c>
      <c r="E15" s="1868"/>
      <c r="F15" s="1867" t="s">
        <v>2082</v>
      </c>
      <c r="H15" s="1878">
        <f t="shared" si="0"/>
        <v>5</v>
      </c>
      <c r="I15" s="1878">
        <f t="shared" si="1"/>
        <v>5</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2061</v>
      </c>
      <c r="D19" s="1865" t="s">
        <v>2061</v>
      </c>
      <c r="E19" s="1868"/>
      <c r="F19" s="1867" t="s">
        <v>2083</v>
      </c>
      <c r="H19" s="1878">
        <f t="shared" si="0"/>
        <v>5</v>
      </c>
      <c r="I19" s="1878">
        <f t="shared" si="1"/>
        <v>5</v>
      </c>
      <c r="J19" s="1878">
        <f t="shared" si="2"/>
        <v>0</v>
      </c>
    </row>
    <row r="20" spans="1:12" ht="12" customHeight="1" x14ac:dyDescent="0.2">
      <c r="A20" s="1863" t="s">
        <v>1528</v>
      </c>
      <c r="B20" s="1864"/>
      <c r="C20" s="1865" t="s">
        <v>2061</v>
      </c>
      <c r="D20" s="1865" t="s">
        <v>2061</v>
      </c>
      <c r="E20" s="1868"/>
      <c r="F20" s="1867" t="s">
        <v>2084</v>
      </c>
      <c r="H20" s="1878">
        <f t="shared" si="0"/>
        <v>5</v>
      </c>
      <c r="I20" s="1878">
        <f t="shared" si="1"/>
        <v>5</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2061</v>
      </c>
      <c r="D26" s="1865" t="s">
        <v>2061</v>
      </c>
      <c r="E26" s="1868"/>
      <c r="F26" s="1867" t="s">
        <v>2085</v>
      </c>
      <c r="H26" s="1878">
        <f t="shared" si="0"/>
        <v>5</v>
      </c>
      <c r="I26" s="1878">
        <f t="shared" si="1"/>
        <v>5</v>
      </c>
      <c r="J26" s="1878">
        <f t="shared" si="2"/>
        <v>0</v>
      </c>
    </row>
    <row r="27" spans="1:12" ht="18.75" x14ac:dyDescent="0.2">
      <c r="A27" s="1863" t="s">
        <v>1535</v>
      </c>
      <c r="B27" s="1864"/>
      <c r="C27" s="1865" t="s">
        <v>2061</v>
      </c>
      <c r="D27" s="1865" t="s">
        <v>2061</v>
      </c>
      <c r="E27" s="1868"/>
      <c r="F27" s="1867" t="s">
        <v>2086</v>
      </c>
      <c r="H27" s="1878">
        <f t="shared" si="0"/>
        <v>5</v>
      </c>
      <c r="I27" s="1878">
        <f t="shared" si="1"/>
        <v>5</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30</v>
      </c>
      <c r="I34" s="1878">
        <f>SUM(I11:I32)</f>
        <v>30</v>
      </c>
      <c r="J34" s="1878">
        <f>SUM(J11:J32)</f>
        <v>0</v>
      </c>
      <c r="K34" s="1878">
        <f>SUM(H34:J34)</f>
        <v>60</v>
      </c>
    </row>
    <row r="35" spans="1:11" ht="12" customHeight="1" x14ac:dyDescent="0.2">
      <c r="A35" s="1871" t="s">
        <v>1392</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1391</v>
      </c>
      <c r="B40" s="1875"/>
      <c r="C40" s="2299"/>
      <c r="D40" s="2299"/>
      <c r="E40" s="2299"/>
      <c r="F40" s="2300"/>
      <c r="H40" s="1879"/>
      <c r="I40" s="1879"/>
      <c r="J40" s="1879"/>
      <c r="K40" s="1879"/>
    </row>
    <row r="41" spans="1:11" s="1870" customFormat="1" ht="12" customHeight="1" x14ac:dyDescent="0.25">
      <c r="A41" s="2301"/>
      <c r="B41" s="2302"/>
      <c r="C41" s="2302"/>
      <c r="D41" s="2302"/>
      <c r="E41" s="2302"/>
      <c r="F41" s="2303"/>
      <c r="H41" s="1879"/>
      <c r="I41" s="1879"/>
      <c r="J41" s="1879"/>
      <c r="K41" s="1879"/>
    </row>
    <row r="42" spans="1:11" s="1870" customFormat="1" ht="12" customHeight="1" x14ac:dyDescent="0.25">
      <c r="A42" s="2301"/>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C27" sqref="C2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Adlai E Stevenson HSD 125</v>
      </c>
      <c r="J6" s="2318"/>
      <c r="Q6" s="1664"/>
    </row>
    <row r="7" spans="1:17" x14ac:dyDescent="0.2">
      <c r="A7" s="2319" t="s">
        <v>869</v>
      </c>
      <c r="B7" s="2320"/>
      <c r="C7" s="2320"/>
      <c r="D7" s="2320"/>
      <c r="E7" s="2321"/>
      <c r="F7" s="1017"/>
      <c r="G7" s="1009"/>
      <c r="H7" s="1016" t="s">
        <v>372</v>
      </c>
      <c r="I7" s="2322">
        <f>COVER!A13</f>
        <v>34049125013</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429622</v>
      </c>
      <c r="F12" s="1039"/>
      <c r="G12" s="1811">
        <f t="shared" ref="G12:G18" si="0">SUM(E12:F12)</f>
        <v>429622</v>
      </c>
      <c r="H12" s="1040">
        <v>477000</v>
      </c>
      <c r="I12" s="1039"/>
      <c r="J12" s="1811">
        <f t="shared" ref="J12:J18" si="1">SUM(H12:I12)</f>
        <v>477000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641738</v>
      </c>
      <c r="F14" s="1039"/>
      <c r="G14" s="1811">
        <f t="shared" si="0"/>
        <v>641738</v>
      </c>
      <c r="H14" s="1040">
        <v>733600</v>
      </c>
      <c r="I14" s="1039"/>
      <c r="J14" s="1811">
        <f t="shared" si="1"/>
        <v>733600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955421</v>
      </c>
      <c r="F16" s="1039"/>
      <c r="G16" s="1811">
        <f t="shared" si="0"/>
        <v>955421</v>
      </c>
      <c r="H16" s="1040">
        <v>912000</v>
      </c>
      <c r="I16" s="1039"/>
      <c r="J16" s="1811">
        <f t="shared" si="1"/>
        <v>912000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2026781</v>
      </c>
      <c r="F19" s="1813">
        <f t="shared" si="2"/>
        <v>0</v>
      </c>
      <c r="G19" s="1813">
        <f t="shared" si="2"/>
        <v>2026781</v>
      </c>
      <c r="H19" s="1813">
        <f t="shared" si="2"/>
        <v>2122600</v>
      </c>
      <c r="I19" s="1813">
        <f t="shared" si="2"/>
        <v>0</v>
      </c>
      <c r="J19" s="1813">
        <f t="shared" si="2"/>
        <v>2122600</v>
      </c>
    </row>
    <row r="20" spans="1:10" ht="13.5" thickTop="1" x14ac:dyDescent="0.2">
      <c r="A20" s="1035">
        <v>9</v>
      </c>
      <c r="B20" s="2329" t="s">
        <v>1978</v>
      </c>
      <c r="C20" s="2329"/>
      <c r="D20" s="2330"/>
      <c r="E20" s="1046"/>
      <c r="F20" s="1046"/>
      <c r="G20" s="1046"/>
      <c r="H20" s="1046"/>
      <c r="I20" s="1046"/>
      <c r="J20" s="1814">
        <f>IF(AND(G19&gt;0,J19&gt;0),(((J19-G19)/G19)),"Enter Budget Data")</f>
        <v>4.7276444766356111E-2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1980</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83" t="s">
        <v>405</v>
      </c>
      <c r="J1" s="1984"/>
      <c r="K1" s="1984"/>
      <c r="L1" s="1984"/>
      <c r="M1" s="1984"/>
      <c r="N1" s="1984"/>
      <c r="O1" s="1984"/>
      <c r="P1" s="1984"/>
      <c r="Q1" s="1984"/>
      <c r="R1" s="1984"/>
      <c r="S1" s="1984"/>
    </row>
    <row r="2" spans="1:28" ht="12" customHeight="1" x14ac:dyDescent="0.2">
      <c r="A2" s="47" t="s">
        <v>1990</v>
      </c>
      <c r="D2" s="48"/>
      <c r="I2" s="1985" t="s">
        <v>979</v>
      </c>
      <c r="J2" s="1984"/>
      <c r="K2" s="1984"/>
      <c r="L2" s="1984"/>
      <c r="M2" s="1984"/>
      <c r="N2" s="1984"/>
      <c r="O2" s="1984"/>
      <c r="P2" s="1984"/>
      <c r="Q2" s="1984"/>
      <c r="R2" s="1984"/>
      <c r="S2" s="1984"/>
    </row>
    <row r="3" spans="1:28" ht="12" customHeight="1" x14ac:dyDescent="0.2">
      <c r="A3" s="155" t="s">
        <v>1942</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2061</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2061</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34049125013</v>
      </c>
      <c r="B13" s="2019"/>
      <c r="C13" s="2019"/>
      <c r="D13" s="2019"/>
      <c r="E13" s="2019"/>
      <c r="F13" s="2019"/>
      <c r="G13" s="2019"/>
      <c r="H13" s="2020"/>
      <c r="I13" s="31"/>
      <c r="J13" s="30"/>
      <c r="K13" s="28"/>
      <c r="L13" s="30"/>
      <c r="M13" s="30"/>
      <c r="N13" s="30"/>
      <c r="O13" s="30"/>
      <c r="P13" s="30"/>
      <c r="Q13" s="30"/>
      <c r="R13" s="30"/>
      <c r="S13" s="30"/>
      <c r="T13" s="2023" t="s">
        <v>2067</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2062</v>
      </c>
      <c r="B15" s="2021"/>
      <c r="C15" s="2021"/>
      <c r="D15" s="2021"/>
      <c r="E15" s="2021"/>
      <c r="F15" s="2021"/>
      <c r="G15" s="2021"/>
      <c r="H15" s="2022"/>
      <c r="T15" s="2027" t="s">
        <v>2068</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2170</v>
      </c>
      <c r="B17" s="1978"/>
      <c r="C17" s="1978"/>
      <c r="D17" s="1978"/>
      <c r="E17" s="1978"/>
      <c r="F17" s="1978"/>
      <c r="G17" s="1978"/>
      <c r="H17" s="2003"/>
      <c r="T17" s="2034" t="s">
        <v>2069</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2063</v>
      </c>
      <c r="B19" s="1963"/>
      <c r="C19" s="1963"/>
      <c r="D19" s="1963"/>
      <c r="E19" s="1963"/>
      <c r="F19" s="1963"/>
      <c r="G19" s="1963"/>
      <c r="H19" s="1943"/>
      <c r="I19" s="30"/>
      <c r="J19" s="99"/>
      <c r="K19" s="40"/>
      <c r="L19" s="38"/>
      <c r="M19" s="112" t="s">
        <v>315</v>
      </c>
      <c r="P19" s="27"/>
      <c r="Q19" s="27"/>
      <c r="R19" s="27"/>
      <c r="S19" s="31"/>
      <c r="T19" s="2017" t="s">
        <v>2070</v>
      </c>
      <c r="U19" s="1942"/>
      <c r="V19" s="1942"/>
      <c r="W19" s="1943"/>
      <c r="X19" s="2032" t="s">
        <v>2071</v>
      </c>
      <c r="Y19" s="2033"/>
      <c r="Z19" s="2030">
        <v>60087</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2064</v>
      </c>
      <c r="B21" s="1942"/>
      <c r="C21" s="1942"/>
      <c r="D21" s="1942"/>
      <c r="E21" s="1942"/>
      <c r="F21" s="1942"/>
      <c r="G21" s="1942"/>
      <c r="H21" s="1943"/>
      <c r="I21" s="1997" t="s">
        <v>678</v>
      </c>
      <c r="J21" s="1992"/>
      <c r="K21" s="1992"/>
      <c r="L21" s="1992"/>
      <c r="M21" s="1992"/>
      <c r="N21" s="1992"/>
      <c r="O21" s="1992"/>
      <c r="P21" s="1992"/>
      <c r="Q21" s="1992"/>
      <c r="R21" s="1992"/>
      <c r="S21" s="1998"/>
      <c r="T21" s="2041" t="s">
        <v>2072</v>
      </c>
      <c r="U21" s="2042"/>
      <c r="V21" s="2042"/>
      <c r="W21" s="2042"/>
      <c r="X21" s="2047" t="s">
        <v>2073</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c r="B23" s="1995"/>
      <c r="C23" s="1995"/>
      <c r="D23" s="1995"/>
      <c r="E23" s="1995"/>
      <c r="F23" s="1995"/>
      <c r="G23" s="1995"/>
      <c r="H23" s="1996"/>
      <c r="T23" s="1977" t="s">
        <v>2074</v>
      </c>
      <c r="U23" s="2040"/>
      <c r="V23" s="2040"/>
      <c r="W23" s="2040"/>
      <c r="X23" s="2044">
        <v>44530</v>
      </c>
      <c r="Y23" s="2045"/>
      <c r="Z23" s="2045"/>
      <c r="AA23" s="2046"/>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60069</v>
      </c>
      <c r="B25" s="1942"/>
      <c r="C25" s="1942"/>
      <c r="D25" s="1942"/>
      <c r="E25" s="1942"/>
      <c r="F25" s="1942"/>
      <c r="G25" s="1942"/>
      <c r="H25" s="1943"/>
      <c r="I25" s="113"/>
      <c r="J25" s="1966"/>
      <c r="K25" s="1966"/>
      <c r="L25" s="1966"/>
      <c r="M25" s="1966"/>
      <c r="N25" s="1966"/>
      <c r="O25" s="1966"/>
      <c r="P25" s="1966"/>
      <c r="Q25" s="1966"/>
      <c r="R25" s="1966"/>
      <c r="S25" s="1967"/>
      <c r="T25" s="2037"/>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2065</v>
      </c>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c r="B40" s="1956"/>
      <c r="C40" s="1957"/>
      <c r="D40" s="1957"/>
      <c r="E40" s="1957"/>
      <c r="F40" s="1958"/>
      <c r="G40" s="1958"/>
      <c r="H40" s="1959"/>
      <c r="I40" s="1980"/>
      <c r="J40" s="1981"/>
      <c r="K40" s="1981"/>
      <c r="L40" s="1981"/>
      <c r="M40" s="1981"/>
      <c r="N40" s="1981"/>
      <c r="O40" s="1981"/>
      <c r="P40" s="1981"/>
      <c r="Q40" s="1981"/>
      <c r="R40" s="1981"/>
      <c r="S40" s="1982"/>
      <c r="T40" s="1980"/>
      <c r="U40" s="2043"/>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2066</v>
      </c>
      <c r="B42" s="1961"/>
      <c r="C42" s="1962"/>
      <c r="D42" s="1960"/>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topLeftCell="A29" zoomScale="110" zoomScaleNormal="110" workbookViewId="0">
      <selection activeCell="A70" sqref="A7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1937" t="s">
        <v>2129</v>
      </c>
    </row>
    <row r="6" spans="1:2" x14ac:dyDescent="0.2">
      <c r="A6" s="1068"/>
      <c r="B6" s="329" t="s">
        <v>2133</v>
      </c>
    </row>
    <row r="7" spans="1:2" x14ac:dyDescent="0.2">
      <c r="A7" s="1068"/>
    </row>
    <row r="8" spans="1:2" x14ac:dyDescent="0.2">
      <c r="A8" s="1068"/>
      <c r="B8" s="329" t="s">
        <v>2136</v>
      </c>
    </row>
    <row r="9" spans="1:2" x14ac:dyDescent="0.2">
      <c r="A9" s="1068"/>
    </row>
    <row r="10" spans="1:2" x14ac:dyDescent="0.2">
      <c r="A10" s="1068"/>
      <c r="B10" s="329" t="s">
        <v>2141</v>
      </c>
    </row>
    <row r="11" spans="1:2" x14ac:dyDescent="0.2">
      <c r="A11" s="1068"/>
      <c r="B11" s="329" t="s">
        <v>2142</v>
      </c>
    </row>
    <row r="12" spans="1:2" x14ac:dyDescent="0.2">
      <c r="A12" s="1068"/>
    </row>
    <row r="13" spans="1:2" x14ac:dyDescent="0.2">
      <c r="A13" s="1068"/>
      <c r="B13" s="329" t="s">
        <v>2143</v>
      </c>
    </row>
    <row r="14" spans="1:2" x14ac:dyDescent="0.2">
      <c r="A14" s="1068"/>
    </row>
    <row r="15" spans="1:2" x14ac:dyDescent="0.2">
      <c r="A15" s="1068"/>
    </row>
    <row r="16" spans="1:2" x14ac:dyDescent="0.2">
      <c r="A16" s="1068"/>
    </row>
    <row r="17" spans="1:2" x14ac:dyDescent="0.2">
      <c r="A17" s="1068">
        <v>2</v>
      </c>
      <c r="B17" s="1937" t="s">
        <v>2130</v>
      </c>
    </row>
    <row r="18" spans="1:2" x14ac:dyDescent="0.2">
      <c r="A18" s="1068"/>
      <c r="B18" s="329" t="s">
        <v>2137</v>
      </c>
    </row>
    <row r="19" spans="1:2" x14ac:dyDescent="0.2">
      <c r="A19" s="1068"/>
    </row>
    <row r="20" spans="1:2" x14ac:dyDescent="0.2">
      <c r="A20" s="1068"/>
    </row>
    <row r="21" spans="1:2" x14ac:dyDescent="0.2">
      <c r="A21" s="1068"/>
    </row>
    <row r="22" spans="1:2" x14ac:dyDescent="0.2">
      <c r="A22" s="1068"/>
    </row>
    <row r="23" spans="1:2" x14ac:dyDescent="0.2">
      <c r="A23" s="1068"/>
    </row>
    <row r="24" spans="1:2" x14ac:dyDescent="0.2">
      <c r="A24" s="1068"/>
    </row>
    <row r="25" spans="1:2" x14ac:dyDescent="0.2">
      <c r="A25" s="1068"/>
    </row>
    <row r="26" spans="1:2" x14ac:dyDescent="0.2">
      <c r="A26" s="1068"/>
    </row>
    <row r="27" spans="1:2" x14ac:dyDescent="0.2">
      <c r="A27" s="1068"/>
    </row>
    <row r="28" spans="1:2" x14ac:dyDescent="0.2">
      <c r="A28" s="1068">
        <v>3</v>
      </c>
      <c r="B28" s="1937" t="s">
        <v>2131</v>
      </c>
    </row>
    <row r="29" spans="1:2" x14ac:dyDescent="0.2">
      <c r="A29" s="1068"/>
      <c r="B29" s="329" t="s">
        <v>2144</v>
      </c>
    </row>
    <row r="30" spans="1:2" x14ac:dyDescent="0.2">
      <c r="A30" s="1068"/>
    </row>
    <row r="31" spans="1:2" x14ac:dyDescent="0.2">
      <c r="A31" s="1068"/>
    </row>
    <row r="32" spans="1:2" x14ac:dyDescent="0.2">
      <c r="A32" s="1068"/>
    </row>
    <row r="33" spans="1:2" x14ac:dyDescent="0.2">
      <c r="A33" s="1068"/>
    </row>
    <row r="34" spans="1:2" x14ac:dyDescent="0.2">
      <c r="A34" s="1068"/>
    </row>
    <row r="35" spans="1:2" x14ac:dyDescent="0.2">
      <c r="A35" s="1068"/>
    </row>
    <row r="36" spans="1:2" x14ac:dyDescent="0.2">
      <c r="A36" s="1068"/>
    </row>
    <row r="37" spans="1:2" x14ac:dyDescent="0.2">
      <c r="A37" s="1068"/>
    </row>
    <row r="38" spans="1:2" x14ac:dyDescent="0.2">
      <c r="A38" s="1068"/>
    </row>
    <row r="39" spans="1:2" x14ac:dyDescent="0.2">
      <c r="A39" s="1068"/>
    </row>
    <row r="40" spans="1:2" x14ac:dyDescent="0.2">
      <c r="A40" s="1068">
        <v>4</v>
      </c>
      <c r="B40" s="1937" t="s">
        <v>2132</v>
      </c>
    </row>
    <row r="41" spans="1:2" x14ac:dyDescent="0.2">
      <c r="A41" s="1069"/>
      <c r="B41" s="329" t="s">
        <v>2145</v>
      </c>
    </row>
    <row r="42" spans="1:2" x14ac:dyDescent="0.2">
      <c r="A42" s="1069"/>
    </row>
    <row r="43" spans="1:2" x14ac:dyDescent="0.2">
      <c r="A43" s="1069"/>
    </row>
    <row r="44" spans="1:2" x14ac:dyDescent="0.2">
      <c r="A44" s="1069"/>
    </row>
    <row r="45" spans="1:2" x14ac:dyDescent="0.2">
      <c r="A45" s="1069"/>
    </row>
    <row r="46" spans="1:2" x14ac:dyDescent="0.2">
      <c r="A46" s="1069">
        <v>5</v>
      </c>
      <c r="B46" s="1937" t="s">
        <v>2134</v>
      </c>
    </row>
    <row r="47" spans="1:2" x14ac:dyDescent="0.2">
      <c r="A47" s="1069"/>
      <c r="B47" s="329" t="s">
        <v>2138</v>
      </c>
    </row>
    <row r="48" spans="1:2"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v>6</v>
      </c>
      <c r="B55" s="1937" t="s">
        <v>2135</v>
      </c>
    </row>
    <row r="56" spans="1:2" x14ac:dyDescent="0.2">
      <c r="A56" s="1069"/>
      <c r="B56" s="329" t="s">
        <v>2139</v>
      </c>
    </row>
    <row r="57" spans="1:2" x14ac:dyDescent="0.2">
      <c r="A57" s="1069"/>
      <c r="B57" s="329" t="s">
        <v>2140</v>
      </c>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row>
    <row r="65" spans="1:2" x14ac:dyDescent="0.2">
      <c r="A65" s="1069"/>
      <c r="B65" s="258" t="str">
        <f>COVER!A17</f>
        <v>Adlai E Stevenson HSD 125</v>
      </c>
    </row>
    <row r="66" spans="1:2" x14ac:dyDescent="0.2">
      <c r="B66" s="1070">
        <f>COVER!A13</f>
        <v>34049125013</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0</xdr:colOff>
                <xdr:row>1</xdr:row>
                <xdr:rowOff>0</xdr:rowOff>
              </from>
              <to>
                <xdr:col>1</xdr:col>
                <xdr:colOff>857250</xdr:colOff>
                <xdr:row>4</xdr:row>
                <xdr:rowOff>28575</xdr:rowOff>
              </to>
            </anchor>
          </objectPr>
        </oleObject>
      </mc:Choice>
      <mc:Fallback>
        <oleObject progId="Packager Shell Objec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1984</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1985</v>
      </c>
      <c r="B4" s="2357"/>
      <c r="C4" s="2357"/>
      <c r="D4" s="2357"/>
      <c r="E4" s="2357"/>
      <c r="F4" s="2358"/>
      <c r="G4" s="1074"/>
      <c r="H4" s="1074"/>
    </row>
    <row r="5" spans="1:8" ht="14.25" customHeight="1" x14ac:dyDescent="0.2">
      <c r="A5" s="2359" t="s">
        <v>1981</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77834543</v>
      </c>
      <c r="C8" s="1815">
        <f>'Acct Summary 7-8'!D8</f>
        <v>17832541</v>
      </c>
      <c r="D8" s="1815">
        <f>'Acct Summary 7-8'!F8</f>
        <v>6273311</v>
      </c>
      <c r="E8" s="1815">
        <f>'Acct Summary 7-8'!I8</f>
        <v>627059</v>
      </c>
      <c r="F8" s="1815">
        <f>SUM(B8:E8)</f>
        <v>102567454</v>
      </c>
    </row>
    <row r="9" spans="1:8" s="1079" customFormat="1" ht="14.25" customHeight="1" thickBot="1" x14ac:dyDescent="0.25">
      <c r="A9" s="1078" t="s">
        <v>1369</v>
      </c>
      <c r="B9" s="1816">
        <f>'Acct Summary 7-8'!C17</f>
        <v>77725522</v>
      </c>
      <c r="C9" s="1816">
        <f>'Acct Summary 7-8'!D17</f>
        <v>25857572</v>
      </c>
      <c r="D9" s="1816">
        <f>'Acct Summary 7-8'!F17</f>
        <v>4849891</v>
      </c>
      <c r="E9" s="1815"/>
      <c r="F9" s="1815">
        <f>SUM(B9:E9)</f>
        <v>108432985</v>
      </c>
    </row>
    <row r="10" spans="1:8" s="1079" customFormat="1" ht="14.25" thickTop="1" thickBot="1" x14ac:dyDescent="0.25">
      <c r="A10" s="1080" t="s">
        <v>1370</v>
      </c>
      <c r="B10" s="1817">
        <f>(B8-B9)</f>
        <v>109021</v>
      </c>
      <c r="C10" s="1817">
        <f>(C8-C9)</f>
        <v>-8025031</v>
      </c>
      <c r="D10" s="1817">
        <f>(D8-D9)</f>
        <v>1423420</v>
      </c>
      <c r="E10" s="1816">
        <f>(E8-E9)</f>
        <v>627059</v>
      </c>
      <c r="F10" s="1818">
        <f>SUM(F8-F9)</f>
        <v>-5865531</v>
      </c>
    </row>
    <row r="11" spans="1:8" s="1079" customFormat="1" ht="14.25" thickTop="1" thickBot="1" x14ac:dyDescent="0.25">
      <c r="A11" s="1081" t="s">
        <v>1982</v>
      </c>
      <c r="B11" s="1819">
        <f>'Acct Summary 7-8'!C81</f>
        <v>101168208</v>
      </c>
      <c r="C11" s="1819">
        <f>'Acct Summary 7-8'!D81</f>
        <v>22039408</v>
      </c>
      <c r="D11" s="1819">
        <f>'Acct Summary 7-8'!F81</f>
        <v>4186918</v>
      </c>
      <c r="E11" s="1819">
        <f>'Acct Summary 7-8'!I81</f>
        <v>10821836</v>
      </c>
      <c r="F11" s="1820">
        <f>SUM(B11:E11)</f>
        <v>138216370</v>
      </c>
    </row>
    <row r="12" spans="1:8" ht="16.5" customHeight="1" thickTop="1" x14ac:dyDescent="0.2">
      <c r="A12" s="1082"/>
      <c r="B12" s="1083"/>
      <c r="C12" s="2341" t="str">
        <f>IF(AND(F10&lt;0,F11&gt;=0,ABS(F10*3)&gt;ABS(F11)),A16,IF(AND(F10&lt;0,F11&gt;0,ABS(F10*3)&lt;=ABS(F11)),A17,IF(AND(F10&lt;0,F11&lt;0),A16,IF(F11=0,A19,A18))))</f>
        <v>Unbalanced -  however, a deficit reduction plan is not required at this time.</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A17" sqref="A1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34049125013</v>
      </c>
    </row>
    <row r="3" spans="1:2" x14ac:dyDescent="0.2">
      <c r="A3" t="s">
        <v>956</v>
      </c>
      <c r="B3" s="138" t="str">
        <f>COVER!A15</f>
        <v>LAKE</v>
      </c>
    </row>
    <row r="4" spans="1:2" x14ac:dyDescent="0.2">
      <c r="A4" t="s">
        <v>1007</v>
      </c>
      <c r="B4" s="138" t="str">
        <f>COVER!A17</f>
        <v>Adlai E Stevenson HSD 125</v>
      </c>
    </row>
    <row r="5" spans="1:2" x14ac:dyDescent="0.2">
      <c r="A5" t="s">
        <v>704</v>
      </c>
      <c r="B5" s="138" t="str">
        <f>COVER!A38</f>
        <v>Dr. Eric Twadell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066-003289</v>
      </c>
    </row>
    <row r="16" spans="1:2" x14ac:dyDescent="0.2">
      <c r="A16" t="s">
        <v>422</v>
      </c>
      <c r="B16" s="138" t="str">
        <f>COVER!T13</f>
        <v>Evoy, Kamschulte, Jacobs &amp; Co. LLP</v>
      </c>
    </row>
    <row r="17" spans="1:2" x14ac:dyDescent="0.2">
      <c r="A17" t="s">
        <v>884</v>
      </c>
      <c r="B17" s="138" t="str">
        <f>COVER!T15</f>
        <v>John D. Aceto, Jr., CPA</v>
      </c>
    </row>
    <row r="18" spans="1:2" x14ac:dyDescent="0.2">
      <c r="A18" t="s">
        <v>1150</v>
      </c>
      <c r="B18" s="138" t="str">
        <f>COVER!T17</f>
        <v>2122 Yeoman Street</v>
      </c>
    </row>
    <row r="19" spans="1:2" x14ac:dyDescent="0.2">
      <c r="A19" t="s">
        <v>886</v>
      </c>
      <c r="B19" s="138">
        <f>COVER!T25</f>
        <v>0</v>
      </c>
    </row>
    <row r="20" spans="1:2" x14ac:dyDescent="0.2">
      <c r="A20" t="s">
        <v>887</v>
      </c>
      <c r="B20" s="138" t="str">
        <f>COVER!T19</f>
        <v>Waukegan</v>
      </c>
    </row>
    <row r="21" spans="1:2" x14ac:dyDescent="0.2">
      <c r="A21" t="s">
        <v>479</v>
      </c>
      <c r="B21" s="138" t="str">
        <f>COVER!X19</f>
        <v>IL</v>
      </c>
    </row>
    <row r="22" spans="1:2" x14ac:dyDescent="0.2">
      <c r="A22" t="s">
        <v>888</v>
      </c>
      <c r="B22" s="138">
        <f>COVER!Z19</f>
        <v>60087</v>
      </c>
    </row>
    <row r="23" spans="1:2" x14ac:dyDescent="0.2">
      <c r="A23" t="s">
        <v>1152</v>
      </c>
      <c r="B23" s="138" t="str">
        <f>COVER!T21</f>
        <v>847-662-8300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33604</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735593</v>
      </c>
      <c r="D76" s="2" t="str">
        <f t="shared" si="0"/>
        <v>Error?</v>
      </c>
    </row>
    <row r="77" spans="1:4" x14ac:dyDescent="0.2">
      <c r="A77" s="5">
        <v>16</v>
      </c>
      <c r="B77" s="138">
        <f>'Assets-Liab 5-6'!C13</f>
        <v>101168208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101168208</v>
      </c>
      <c r="D92" s="2" t="str">
        <f t="shared" si="0"/>
        <v>Error?</v>
      </c>
    </row>
    <row r="93" spans="1:4" x14ac:dyDescent="0.2">
      <c r="A93" s="5">
        <v>32</v>
      </c>
      <c r="B93" s="138">
        <f>'Assets-Liab 5-6'!C41</f>
        <v>101168208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22039408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22039408</v>
      </c>
      <c r="D123" s="2" t="str">
        <f t="shared" si="0"/>
        <v>Error?</v>
      </c>
    </row>
    <row r="124" spans="1:4" x14ac:dyDescent="0.2">
      <c r="A124" s="5">
        <v>63</v>
      </c>
      <c r="B124" s="138">
        <f>'Assets-Liab 5-6'!D41</f>
        <v>22039408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3795997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3795997</v>
      </c>
      <c r="D140" s="2" t="str">
        <f t="shared" si="1"/>
        <v>Error?</v>
      </c>
    </row>
    <row r="141" spans="1:4" x14ac:dyDescent="0.2">
      <c r="A141" s="5">
        <v>80</v>
      </c>
      <c r="B141" s="138">
        <f>'Assets-Liab 5-6'!E41</f>
        <v>3795997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4186918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4186918</v>
      </c>
      <c r="D170" s="2" t="str">
        <f t="shared" si="1"/>
        <v>Error?</v>
      </c>
    </row>
    <row r="171" spans="1:4" x14ac:dyDescent="0.2">
      <c r="A171" s="5">
        <v>110</v>
      </c>
      <c r="B171" s="138">
        <f>'Assets-Liab 5-6'!F41</f>
        <v>4186918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4571444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4571444</v>
      </c>
      <c r="D189" s="2" t="str">
        <f t="shared" si="1"/>
        <v>Error?</v>
      </c>
    </row>
    <row r="190" spans="1:4" x14ac:dyDescent="0.2">
      <c r="A190" s="5">
        <v>129</v>
      </c>
      <c r="B190" s="138">
        <f>'Assets-Liab 5-6'!G41</f>
        <v>4571444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878405</v>
      </c>
      <c r="D273" s="2" t="str">
        <f t="shared" si="3"/>
        <v>Error?</v>
      </c>
    </row>
    <row r="274" spans="1:4" x14ac:dyDescent="0.2">
      <c r="A274" s="5">
        <v>213</v>
      </c>
      <c r="B274" s="138">
        <f>'Assets-Liab 5-6'!M17</f>
        <v>241916783</v>
      </c>
      <c r="D274" s="2" t="str">
        <f t="shared" si="3"/>
        <v>Error?</v>
      </c>
    </row>
    <row r="275" spans="1:4" x14ac:dyDescent="0.2">
      <c r="A275" s="5">
        <v>214</v>
      </c>
      <c r="B275" s="138">
        <f>'Assets-Liab 5-6'!M18</f>
        <v>13109241</v>
      </c>
      <c r="D275" s="2" t="str">
        <f t="shared" si="3"/>
        <v>Error?</v>
      </c>
    </row>
    <row r="276" spans="1:4" x14ac:dyDescent="0.2">
      <c r="A276" s="5">
        <v>215</v>
      </c>
      <c r="B276" s="138">
        <f>'Assets-Liab 5-6'!M19</f>
        <v>57529946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313434375</v>
      </c>
      <c r="C279" s="2" t="s">
        <v>573</v>
      </c>
      <c r="D279" s="2" t="str">
        <f t="shared" si="3"/>
        <v>Error?</v>
      </c>
    </row>
    <row r="280" spans="1:4" x14ac:dyDescent="0.2">
      <c r="A280" s="5">
        <v>219</v>
      </c>
      <c r="B280" s="138">
        <f>'Assets-Liab 5-6'!M40</f>
        <v>313434375</v>
      </c>
      <c r="D280" s="2" t="str">
        <f t="shared" si="3"/>
        <v>Error?</v>
      </c>
    </row>
    <row r="281" spans="1:4" x14ac:dyDescent="0.2">
      <c r="A281" s="5">
        <v>220</v>
      </c>
      <c r="B281" s="138">
        <f>'Assets-Liab 5-6'!M41</f>
        <v>313434375</v>
      </c>
      <c r="C281" s="2" t="s">
        <v>573</v>
      </c>
      <c r="D281" s="2" t="str">
        <f t="shared" si="3"/>
        <v>Error?</v>
      </c>
    </row>
    <row r="282" spans="1:4" x14ac:dyDescent="0.2">
      <c r="A282" s="5">
        <v>221</v>
      </c>
      <c r="B282" s="138">
        <f>'Assets-Liab 5-6'!N21</f>
        <v>3795997</v>
      </c>
      <c r="D282" s="2" t="str">
        <f t="shared" si="3"/>
        <v>Error?</v>
      </c>
    </row>
    <row r="283" spans="1:4" x14ac:dyDescent="0.2">
      <c r="A283" s="5">
        <v>222</v>
      </c>
      <c r="B283" s="138">
        <f>'Assets-Liab 5-6'!N22</f>
        <v>41098388</v>
      </c>
      <c r="D283" s="2" t="str">
        <f t="shared" si="3"/>
        <v>Error?</v>
      </c>
    </row>
    <row r="284" spans="1:4" x14ac:dyDescent="0.2">
      <c r="A284" s="5">
        <v>223</v>
      </c>
      <c r="B284" s="138">
        <f>'Assets-Liab 5-6'!N23</f>
        <v>44894385</v>
      </c>
      <c r="C284" s="2" t="s">
        <v>573</v>
      </c>
      <c r="D284" s="2" t="str">
        <f t="shared" si="3"/>
        <v>Error?</v>
      </c>
    </row>
    <row r="285" spans="1:4" x14ac:dyDescent="0.2">
      <c r="A285" s="5">
        <v>224</v>
      </c>
      <c r="B285" s="138">
        <f>'Assets-Liab 5-6'!N36</f>
        <v>44894385</v>
      </c>
      <c r="D285" s="2" t="str">
        <f t="shared" si="3"/>
        <v>Error?</v>
      </c>
    </row>
    <row r="286" spans="1:4" x14ac:dyDescent="0.2">
      <c r="A286" s="10">
        <v>225</v>
      </c>
      <c r="D286" s="2" t="str">
        <f t="shared" si="3"/>
        <v>OK</v>
      </c>
    </row>
    <row r="287" spans="1:4" x14ac:dyDescent="0.2">
      <c r="A287" s="5">
        <v>226</v>
      </c>
      <c r="B287" s="138">
        <f>'Assets-Liab 5-6'!N37</f>
        <v>44894385</v>
      </c>
      <c r="C287" s="2" t="s">
        <v>573</v>
      </c>
      <c r="D287" s="2" t="str">
        <f t="shared" si="3"/>
        <v>Error?</v>
      </c>
    </row>
    <row r="288" spans="1:4" x14ac:dyDescent="0.2">
      <c r="A288" s="5">
        <v>227</v>
      </c>
      <c r="B288" s="138">
        <f>'Assets-Liab 5-6'!N41</f>
        <v>44894385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172438</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28316457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277317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621547</v>
      </c>
      <c r="D717" s="2" t="str">
        <f t="shared" si="10"/>
        <v>Error?</v>
      </c>
    </row>
    <row r="718" spans="1:4" x14ac:dyDescent="0.2">
      <c r="A718" s="5">
        <v>657</v>
      </c>
      <c r="B718" s="138">
        <f>'Expenditures 15-22'!C14</f>
        <v>2496704</v>
      </c>
      <c r="D718" s="2" t="str">
        <f t="shared" si="10"/>
        <v>Error?</v>
      </c>
    </row>
    <row r="719" spans="1:4" x14ac:dyDescent="0.2">
      <c r="A719" s="5">
        <v>658</v>
      </c>
      <c r="B719" s="138">
        <f>'Expenditures 15-22'!C15</f>
        <v>766774</v>
      </c>
      <c r="D719" s="2" t="str">
        <f t="shared" si="10"/>
        <v>Error?</v>
      </c>
    </row>
    <row r="720" spans="1:4" x14ac:dyDescent="0.2">
      <c r="A720" s="5">
        <v>659</v>
      </c>
      <c r="B720" s="138">
        <f>'Expenditures 15-22'!C33</f>
        <v>37611406</v>
      </c>
      <c r="C720" s="2" t="s">
        <v>573</v>
      </c>
      <c r="D720" s="2" t="str">
        <f t="shared" si="10"/>
        <v>Error?</v>
      </c>
    </row>
    <row r="721" spans="1:4" x14ac:dyDescent="0.2">
      <c r="A721" s="5">
        <v>660</v>
      </c>
      <c r="B721" s="138">
        <f>'Expenditures 15-22'!C36</f>
        <v>2559181</v>
      </c>
      <c r="D721" s="2" t="str">
        <f t="shared" si="10"/>
        <v>Error?</v>
      </c>
    </row>
    <row r="722" spans="1:4" x14ac:dyDescent="0.2">
      <c r="A722" s="5">
        <v>661</v>
      </c>
      <c r="B722" s="138">
        <f>'Expenditures 15-22'!C37</f>
        <v>2999844</v>
      </c>
      <c r="D722" s="2" t="str">
        <f t="shared" si="10"/>
        <v>Error?</v>
      </c>
    </row>
    <row r="723" spans="1:4" x14ac:dyDescent="0.2">
      <c r="A723" s="5">
        <v>662</v>
      </c>
      <c r="B723" s="138">
        <f>'Expenditures 15-22'!C38</f>
        <v>248739</v>
      </c>
      <c r="D723" s="2" t="str">
        <f t="shared" si="10"/>
        <v>Error?</v>
      </c>
    </row>
    <row r="724" spans="1:4" x14ac:dyDescent="0.2">
      <c r="A724" s="5">
        <v>663</v>
      </c>
      <c r="B724" s="138">
        <f>'Expenditures 15-22'!C39</f>
        <v>102501</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5910265</v>
      </c>
      <c r="C727" s="2" t="s">
        <v>573</v>
      </c>
      <c r="D727" s="2" t="str">
        <f t="shared" si="10"/>
        <v>Error?</v>
      </c>
    </row>
    <row r="728" spans="1:4" x14ac:dyDescent="0.2">
      <c r="A728" s="5">
        <v>667</v>
      </c>
      <c r="B728" s="138">
        <f>'Expenditures 15-22'!C44</f>
        <v>323973</v>
      </c>
      <c r="D728" s="2" t="str">
        <f t="shared" si="10"/>
        <v>Error?</v>
      </c>
    </row>
    <row r="729" spans="1:4" x14ac:dyDescent="0.2">
      <c r="A729" s="5">
        <v>668</v>
      </c>
      <c r="B729" s="138">
        <f>'Expenditures 15-22'!C45</f>
        <v>588207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912180</v>
      </c>
      <c r="C731" s="2" t="s">
        <v>573</v>
      </c>
      <c r="D731" s="2" t="str">
        <f t="shared" si="10"/>
        <v>Error?</v>
      </c>
    </row>
    <row r="732" spans="1:4" x14ac:dyDescent="0.2">
      <c r="A732" s="5">
        <v>671</v>
      </c>
      <c r="B732" s="138">
        <f>'Expenditures 15-22'!C49</f>
        <v>4134</v>
      </c>
      <c r="D732" s="2" t="str">
        <f t="shared" si="10"/>
        <v>Error?</v>
      </c>
    </row>
    <row r="733" spans="1:4" x14ac:dyDescent="0.2">
      <c r="A733" s="5">
        <v>672</v>
      </c>
      <c r="B733" s="138">
        <f>'Expenditures 15-22'!C50</f>
        <v>286369</v>
      </c>
      <c r="D733" s="2" t="str">
        <f t="shared" si="10"/>
        <v>Error?</v>
      </c>
    </row>
    <row r="734" spans="1:4" x14ac:dyDescent="0.2">
      <c r="A734" s="5">
        <v>673</v>
      </c>
      <c r="B734" s="138">
        <f>'Expenditures 15-22'!C53</f>
        <v>290503</v>
      </c>
      <c r="C734" s="2" t="s">
        <v>573</v>
      </c>
      <c r="D734" s="2" t="str">
        <f t="shared" si="10"/>
        <v>Error?</v>
      </c>
    </row>
    <row r="735" spans="1:4" x14ac:dyDescent="0.2">
      <c r="A735" s="5">
        <v>674</v>
      </c>
      <c r="B735" s="138">
        <f>'Expenditures 15-22'!C55</f>
        <v>315757</v>
      </c>
      <c r="D735" s="2" t="str">
        <f t="shared" si="10"/>
        <v>Error?</v>
      </c>
    </row>
    <row r="736" spans="1:4" x14ac:dyDescent="0.2">
      <c r="A736" s="5">
        <v>675</v>
      </c>
      <c r="B736" s="138">
        <f>'Expenditures 15-22'!C56</f>
        <v>394469</v>
      </c>
      <c r="D736" s="2" t="str">
        <f t="shared" si="10"/>
        <v>Error?</v>
      </c>
    </row>
    <row r="737" spans="1:4" x14ac:dyDescent="0.2">
      <c r="A737" s="5">
        <v>676</v>
      </c>
      <c r="B737" s="138">
        <f>'Expenditures 15-22'!C57</f>
        <v>710226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762277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762277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2232282</v>
      </c>
      <c r="D747" s="2" t="str">
        <f t="shared" si="10"/>
        <v>Error?</v>
      </c>
    </row>
    <row r="748" spans="1:4" x14ac:dyDescent="0.2">
      <c r="A748" s="5">
        <v>687</v>
      </c>
      <c r="B748" s="138">
        <f>'Expenditures 15-22'!C69</f>
        <v>1437497</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101984</v>
      </c>
      <c r="D751" s="2" t="str">
        <f t="shared" si="10"/>
        <v>Error?</v>
      </c>
    </row>
    <row r="752" spans="1:4" x14ac:dyDescent="0.2">
      <c r="A752" s="10">
        <v>691</v>
      </c>
      <c r="D752" s="2" t="str">
        <f t="shared" si="10"/>
        <v>OK</v>
      </c>
    </row>
    <row r="753" spans="1:4" x14ac:dyDescent="0.2">
      <c r="A753" s="5">
        <v>692</v>
      </c>
      <c r="B753" s="138">
        <f>'Expenditures 15-22'!C72</f>
        <v>3771763</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12357214</v>
      </c>
      <c r="C755" s="2" t="s">
        <v>573</v>
      </c>
      <c r="D755" s="2" t="str">
        <f t="shared" si="10"/>
        <v>Error?</v>
      </c>
    </row>
    <row r="756" spans="1:4" x14ac:dyDescent="0.2">
      <c r="A756" s="5">
        <v>695</v>
      </c>
      <c r="B756" s="138">
        <f>'Expenditures 15-22'!C75</f>
        <v>2138657</v>
      </c>
      <c r="D756" s="2" t="str">
        <f t="shared" si="10"/>
        <v>Error?</v>
      </c>
    </row>
    <row r="757" spans="1:4" x14ac:dyDescent="0.2">
      <c r="A757" s="5">
        <v>696</v>
      </c>
      <c r="B757" s="138">
        <f>'Expenditures 15-22'!C114</f>
        <v>52107277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4885192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65396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101495</v>
      </c>
      <c r="D775" s="2" t="str">
        <f t="shared" si="11"/>
        <v>Error?</v>
      </c>
    </row>
    <row r="776" spans="1:4" x14ac:dyDescent="0.2">
      <c r="A776" s="5">
        <v>715</v>
      </c>
      <c r="B776" s="138">
        <f>'Expenditures 15-22'!D14</f>
        <v>211887</v>
      </c>
      <c r="D776" s="2" t="str">
        <f t="shared" si="11"/>
        <v>Error?</v>
      </c>
    </row>
    <row r="777" spans="1:4" x14ac:dyDescent="0.2">
      <c r="A777" s="5">
        <v>716</v>
      </c>
      <c r="B777" s="138">
        <f>'Expenditures 15-22'!D15</f>
        <v>9560</v>
      </c>
      <c r="D777" s="2" t="str">
        <f t="shared" si="11"/>
        <v>Error?</v>
      </c>
    </row>
    <row r="778" spans="1:4" x14ac:dyDescent="0.2">
      <c r="A778" s="5">
        <v>717</v>
      </c>
      <c r="B778" s="138">
        <f>'Expenditures 15-22'!D33</f>
        <v>6227930</v>
      </c>
      <c r="C778" s="2" t="s">
        <v>573</v>
      </c>
      <c r="D778" s="2" t="str">
        <f t="shared" si="11"/>
        <v>Error?</v>
      </c>
    </row>
    <row r="779" spans="1:4" x14ac:dyDescent="0.2">
      <c r="A779" s="5">
        <v>718</v>
      </c>
      <c r="B779" s="138">
        <f>'Expenditures 15-22'!D36</f>
        <v>563790</v>
      </c>
      <c r="D779" s="2" t="str">
        <f t="shared" si="11"/>
        <v>Error?</v>
      </c>
    </row>
    <row r="780" spans="1:4" x14ac:dyDescent="0.2">
      <c r="A780" s="5">
        <v>719</v>
      </c>
      <c r="B780" s="138">
        <f>'Expenditures 15-22'!D37</f>
        <v>583566</v>
      </c>
      <c r="D780" s="2" t="str">
        <f t="shared" si="11"/>
        <v>Error?</v>
      </c>
    </row>
    <row r="781" spans="1:4" x14ac:dyDescent="0.2">
      <c r="A781" s="5">
        <v>720</v>
      </c>
      <c r="B781" s="138">
        <f>'Expenditures 15-22'!D38</f>
        <v>34680</v>
      </c>
      <c r="D781" s="2" t="str">
        <f t="shared" si="11"/>
        <v>Error?</v>
      </c>
    </row>
    <row r="782" spans="1:4" x14ac:dyDescent="0.2">
      <c r="A782" s="5">
        <v>721</v>
      </c>
      <c r="B782" s="138">
        <f>'Expenditures 15-22'!D39</f>
        <v>1367</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1183403</v>
      </c>
      <c r="C785" s="2" t="s">
        <v>573</v>
      </c>
      <c r="D785" s="2" t="str">
        <f t="shared" si="11"/>
        <v>Error?</v>
      </c>
    </row>
    <row r="786" spans="1:4" x14ac:dyDescent="0.2">
      <c r="A786" s="5">
        <v>725</v>
      </c>
      <c r="B786" s="138">
        <f>'Expenditures 15-22'!D44</f>
        <v>123050</v>
      </c>
      <c r="D786" s="2" t="str">
        <f t="shared" si="11"/>
        <v>Error?</v>
      </c>
    </row>
    <row r="787" spans="1:4" x14ac:dyDescent="0.2">
      <c r="A787" s="5">
        <v>726</v>
      </c>
      <c r="B787" s="138">
        <f>'Expenditures 15-22'!D45</f>
        <v>130085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253135</v>
      </c>
      <c r="C789" s="2" t="s">
        <v>573</v>
      </c>
      <c r="D789" s="2" t="str">
        <f t="shared" si="11"/>
        <v>Error?</v>
      </c>
    </row>
    <row r="790" spans="1:4" x14ac:dyDescent="0.2">
      <c r="A790" s="5">
        <v>729</v>
      </c>
      <c r="B790" s="138">
        <f>'Expenditures 15-22'!D49</f>
        <v>18</v>
      </c>
      <c r="D790" s="2" t="str">
        <f t="shared" si="11"/>
        <v>Error?</v>
      </c>
    </row>
    <row r="791" spans="1:4" x14ac:dyDescent="0.2">
      <c r="A791" s="5">
        <v>730</v>
      </c>
      <c r="B791" s="138">
        <f>'Expenditures 15-22'!D50</f>
        <v>61625</v>
      </c>
      <c r="D791" s="2" t="str">
        <f t="shared" si="11"/>
        <v>Error?</v>
      </c>
    </row>
    <row r="792" spans="1:4" x14ac:dyDescent="0.2">
      <c r="A792" s="5">
        <v>731</v>
      </c>
      <c r="B792" s="138">
        <f>'Expenditures 15-22'!D53</f>
        <v>61643</v>
      </c>
      <c r="C792" s="2" t="s">
        <v>573</v>
      </c>
      <c r="D792" s="2" t="str">
        <f t="shared" si="11"/>
        <v>Error?</v>
      </c>
    </row>
    <row r="793" spans="1:4" x14ac:dyDescent="0.2">
      <c r="A793" s="5">
        <v>732</v>
      </c>
      <c r="B793" s="138">
        <f>'Expenditures 15-22'!D55</f>
        <v>68725</v>
      </c>
      <c r="D793" s="2" t="str">
        <f t="shared" si="11"/>
        <v>Error?</v>
      </c>
    </row>
    <row r="794" spans="1:4" x14ac:dyDescent="0.2">
      <c r="A794" s="5">
        <v>733</v>
      </c>
      <c r="B794" s="138">
        <f>'Expenditures 15-22'!D56</f>
        <v>94463</v>
      </c>
      <c r="D794" s="2" t="str">
        <f t="shared" si="11"/>
        <v>Error?</v>
      </c>
    </row>
    <row r="795" spans="1:4" x14ac:dyDescent="0.2">
      <c r="A795" s="5">
        <v>734</v>
      </c>
      <c r="B795" s="138">
        <f>'Expenditures 15-22'!D57</f>
        <v>163188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151311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151311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516789</v>
      </c>
      <c r="D805" s="2" t="str">
        <f t="shared" si="11"/>
        <v>Error?</v>
      </c>
    </row>
    <row r="806" spans="1:4" x14ac:dyDescent="0.2">
      <c r="A806" s="5">
        <v>745</v>
      </c>
      <c r="B806" s="138">
        <f>'Expenditures 15-22'!D69</f>
        <v>221038</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54020</v>
      </c>
      <c r="D809" s="2" t="str">
        <f t="shared" si="11"/>
        <v>Error?</v>
      </c>
    </row>
    <row r="810" spans="1:4" x14ac:dyDescent="0.2">
      <c r="A810" s="10">
        <v>749</v>
      </c>
      <c r="D810" s="2" t="str">
        <f t="shared" si="11"/>
        <v>OK</v>
      </c>
    </row>
    <row r="811" spans="1:4" x14ac:dyDescent="0.2">
      <c r="A811" s="5">
        <v>750</v>
      </c>
      <c r="B811" s="138">
        <f>'Expenditures 15-22'!D72</f>
        <v>791847</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2604527</v>
      </c>
      <c r="C813" s="2" t="s">
        <v>573</v>
      </c>
      <c r="D813" s="2" t="str">
        <f t="shared" si="11"/>
        <v>Error?</v>
      </c>
    </row>
    <row r="814" spans="1:4" x14ac:dyDescent="0.2">
      <c r="A814" s="5">
        <v>753</v>
      </c>
      <c r="B814" s="138">
        <f>'Expenditures 15-22'!D75</f>
        <v>265958</v>
      </c>
      <c r="D814" s="2" t="str">
        <f t="shared" si="11"/>
        <v>Error?</v>
      </c>
    </row>
    <row r="815" spans="1:4" x14ac:dyDescent="0.2">
      <c r="A815" s="5">
        <v>754</v>
      </c>
      <c r="B815" s="138">
        <f>'Expenditures 15-22'!D114</f>
        <v>9098415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857728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5173</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381753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1258451</v>
      </c>
      <c r="C836" s="2" t="s">
        <v>573</v>
      </c>
      <c r="D836" s="2" t="str">
        <f t="shared" si="12"/>
        <v>Error?</v>
      </c>
    </row>
    <row r="837" spans="1:4" x14ac:dyDescent="0.2">
      <c r="A837" s="5">
        <v>776</v>
      </c>
      <c r="B837" s="138">
        <f>'Expenditures 15-22'!E36</f>
        <v>18391</v>
      </c>
      <c r="D837" s="2" t="str">
        <f t="shared" si="12"/>
        <v>Error?</v>
      </c>
    </row>
    <row r="838" spans="1:4" x14ac:dyDescent="0.2">
      <c r="A838" s="5">
        <v>777</v>
      </c>
      <c r="B838" s="138">
        <f>'Expenditures 15-22'!E37</f>
        <v>115640</v>
      </c>
      <c r="D838" s="2" t="str">
        <f t="shared" si="12"/>
        <v>Error?</v>
      </c>
    </row>
    <row r="839" spans="1:4" x14ac:dyDescent="0.2">
      <c r="A839" s="5">
        <v>778</v>
      </c>
      <c r="B839" s="138">
        <f>'Expenditures 15-22'!E38</f>
        <v>5777</v>
      </c>
      <c r="D839" s="2" t="str">
        <f t="shared" si="12"/>
        <v>Error?</v>
      </c>
    </row>
    <row r="840" spans="1:4" x14ac:dyDescent="0.2">
      <c r="A840" s="5">
        <v>779</v>
      </c>
      <c r="B840" s="138">
        <f>'Expenditures 15-22'!E39</f>
        <v>13268</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153076</v>
      </c>
      <c r="C843" s="2" t="s">
        <v>573</v>
      </c>
      <c r="D843" s="2" t="str">
        <f t="shared" si="12"/>
        <v>Error?</v>
      </c>
    </row>
    <row r="844" spans="1:4" x14ac:dyDescent="0.2">
      <c r="A844" s="5">
        <v>783</v>
      </c>
      <c r="B844" s="138">
        <f>'Expenditures 15-22'!E44</f>
        <v>8926</v>
      </c>
      <c r="D844" s="2" t="str">
        <f t="shared" si="12"/>
        <v>Error?</v>
      </c>
    </row>
    <row r="845" spans="1:4" x14ac:dyDescent="0.2">
      <c r="A845" s="5">
        <v>784</v>
      </c>
      <c r="B845" s="138">
        <f>'Expenditures 15-22'!E45</f>
        <v>18748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27674</v>
      </c>
      <c r="C847" s="2" t="s">
        <v>573</v>
      </c>
      <c r="D847" s="2" t="str">
        <f t="shared" si="12"/>
        <v>Error?</v>
      </c>
    </row>
    <row r="848" spans="1:4" x14ac:dyDescent="0.2">
      <c r="A848" s="5">
        <v>787</v>
      </c>
      <c r="B848" s="138">
        <f>'Expenditures 15-22'!E49</f>
        <v>122335</v>
      </c>
      <c r="D848" s="2" t="str">
        <f t="shared" si="12"/>
        <v>Error?</v>
      </c>
    </row>
    <row r="849" spans="1:4" x14ac:dyDescent="0.2">
      <c r="A849" s="5">
        <v>788</v>
      </c>
      <c r="B849" s="138">
        <f>'Expenditures 15-22'!E50</f>
        <v>53202</v>
      </c>
      <c r="D849" s="2" t="str">
        <f t="shared" si="12"/>
        <v>Error?</v>
      </c>
    </row>
    <row r="850" spans="1:4" x14ac:dyDescent="0.2">
      <c r="A850" s="5">
        <v>789</v>
      </c>
      <c r="B850" s="138">
        <f>'Expenditures 15-22'!E53</f>
        <v>175537</v>
      </c>
      <c r="C850" s="2" t="s">
        <v>573</v>
      </c>
      <c r="D850" s="2" t="str">
        <f t="shared" si="12"/>
        <v>Error?</v>
      </c>
    </row>
    <row r="851" spans="1:4" x14ac:dyDescent="0.2">
      <c r="A851" s="5">
        <v>790</v>
      </c>
      <c r="B851" s="138">
        <f>'Expenditures 15-22'!E55</f>
        <v>8164</v>
      </c>
      <c r="D851" s="2" t="str">
        <f t="shared" si="12"/>
        <v>Error?</v>
      </c>
    </row>
    <row r="852" spans="1:4" x14ac:dyDescent="0.2">
      <c r="A852" s="5">
        <v>791</v>
      </c>
      <c r="B852" s="138">
        <f>'Expenditures 15-22'!E56</f>
        <v>37881</v>
      </c>
      <c r="D852" s="2" t="str">
        <f t="shared" si="12"/>
        <v>Error?</v>
      </c>
    </row>
    <row r="853" spans="1:4" x14ac:dyDescent="0.2">
      <c r="A853" s="5">
        <v>792</v>
      </c>
      <c r="B853" s="138">
        <f>'Expenditures 15-22'!E57</f>
        <v>46045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193323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21024</v>
      </c>
      <c r="D858" s="2" t="str">
        <f t="shared" si="12"/>
        <v>Error?</v>
      </c>
    </row>
    <row r="859" spans="1:4" x14ac:dyDescent="0.2">
      <c r="A859" s="5">
        <v>798</v>
      </c>
      <c r="B859" s="138">
        <f>'Expenditures 15-22'!E64</f>
        <v>749889</v>
      </c>
      <c r="D859" s="2" t="str">
        <f t="shared" si="12"/>
        <v>Error?</v>
      </c>
    </row>
    <row r="860" spans="1:4" x14ac:dyDescent="0.2">
      <c r="A860" s="10">
        <v>799</v>
      </c>
      <c r="D860" s="2" t="str">
        <f t="shared" si="12"/>
        <v>OK</v>
      </c>
    </row>
    <row r="861" spans="1:4" x14ac:dyDescent="0.2">
      <c r="A861" s="5">
        <v>800</v>
      </c>
      <c r="B861" s="138">
        <f>'Expenditures 15-22'!E65</f>
        <v>964236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312006</v>
      </c>
      <c r="D863" s="2" t="str">
        <f t="shared" si="12"/>
        <v>Error?</v>
      </c>
    </row>
    <row r="864" spans="1:4" x14ac:dyDescent="0.2">
      <c r="A864" s="5">
        <v>803</v>
      </c>
      <c r="B864" s="138">
        <f>'Expenditures 15-22'!E69</f>
        <v>428018</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7623</v>
      </c>
      <c r="D867" s="2" t="str">
        <f t="shared" si="12"/>
        <v>Error?</v>
      </c>
    </row>
    <row r="868" spans="1:4" x14ac:dyDescent="0.2">
      <c r="A868" s="10">
        <v>807</v>
      </c>
      <c r="D868" s="2" t="str">
        <f t="shared" si="12"/>
        <v>OK</v>
      </c>
    </row>
    <row r="869" spans="1:4" x14ac:dyDescent="0.2">
      <c r="A869" s="5">
        <v>808</v>
      </c>
      <c r="B869" s="138">
        <f>'Expenditures 15-22'!E72</f>
        <v>747647</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2114215</v>
      </c>
      <c r="C871" s="2" t="s">
        <v>573</v>
      </c>
      <c r="D871" s="2" t="str">
        <f t="shared" si="12"/>
        <v>Error?</v>
      </c>
    </row>
    <row r="872" spans="1:4" x14ac:dyDescent="0.2">
      <c r="A872" s="5">
        <v>811</v>
      </c>
      <c r="B872" s="138">
        <f>'Expenditures 15-22'!E75</f>
        <v>74833</v>
      </c>
      <c r="D872" s="2" t="str">
        <f t="shared" si="12"/>
        <v>Error?</v>
      </c>
    </row>
    <row r="873" spans="1:4" x14ac:dyDescent="0.2">
      <c r="A873" s="5">
        <v>812</v>
      </c>
      <c r="B873" s="138">
        <f>'Expenditures 15-22'!E114</f>
        <v>7064805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942785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13651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121631</v>
      </c>
      <c r="D891" s="2" t="str">
        <f t="shared" si="12"/>
        <v>Error?</v>
      </c>
    </row>
    <row r="892" spans="1:4" x14ac:dyDescent="0.2">
      <c r="A892" s="5">
        <v>831</v>
      </c>
      <c r="B892" s="138">
        <f>'Expenditures 15-22'!F14</f>
        <v>74903</v>
      </c>
      <c r="D892" s="2" t="str">
        <f t="shared" si="12"/>
        <v>Error?</v>
      </c>
    </row>
    <row r="893" spans="1:4" x14ac:dyDescent="0.2">
      <c r="A893" s="5">
        <v>832</v>
      </c>
      <c r="B893" s="138">
        <f>'Expenditures 15-22'!F15</f>
        <v>7779</v>
      </c>
      <c r="D893" s="2" t="str">
        <f t="shared" si="12"/>
        <v>Error?</v>
      </c>
    </row>
    <row r="894" spans="1:4" x14ac:dyDescent="0.2">
      <c r="A894" s="5">
        <v>833</v>
      </c>
      <c r="B894" s="138">
        <f>'Expenditures 15-22'!F33</f>
        <v>1200146</v>
      </c>
      <c r="C894" s="2" t="s">
        <v>573</v>
      </c>
      <c r="D894" s="2" t="str">
        <f t="shared" si="12"/>
        <v>Error?</v>
      </c>
    </row>
    <row r="895" spans="1:4" x14ac:dyDescent="0.2">
      <c r="A895" s="5">
        <v>834</v>
      </c>
      <c r="B895" s="138">
        <f>'Expenditures 15-22'!F36</f>
        <v>29775</v>
      </c>
      <c r="D895" s="2" t="str">
        <f t="shared" ref="D895:D958" si="13">IF(ISBLANK(B895),"OK",IF(A895-B895=0,"OK","Error?"))</f>
        <v>Error?</v>
      </c>
    </row>
    <row r="896" spans="1:4" x14ac:dyDescent="0.2">
      <c r="A896" s="5">
        <v>835</v>
      </c>
      <c r="B896" s="138">
        <f>'Expenditures 15-22'!F37</f>
        <v>30670</v>
      </c>
      <c r="D896" s="2" t="str">
        <f t="shared" si="13"/>
        <v>Error?</v>
      </c>
    </row>
    <row r="897" spans="1:4" x14ac:dyDescent="0.2">
      <c r="A897" s="5">
        <v>836</v>
      </c>
      <c r="B897" s="138">
        <f>'Expenditures 15-22'!F38</f>
        <v>13666</v>
      </c>
      <c r="D897" s="2" t="str">
        <f t="shared" si="13"/>
        <v>Error?</v>
      </c>
    </row>
    <row r="898" spans="1:4" x14ac:dyDescent="0.2">
      <c r="A898" s="5">
        <v>837</v>
      </c>
      <c r="B898" s="138">
        <f>'Expenditures 15-22'!F39</f>
        <v>14060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88171</v>
      </c>
      <c r="C901" s="2" t="s">
        <v>573</v>
      </c>
      <c r="D901" s="2" t="str">
        <f t="shared" si="13"/>
        <v>Error?</v>
      </c>
    </row>
    <row r="902" spans="1:4" x14ac:dyDescent="0.2">
      <c r="A902" s="5">
        <v>841</v>
      </c>
      <c r="B902" s="138">
        <f>'Expenditures 15-22'!F44</f>
        <v>198211</v>
      </c>
      <c r="D902" s="2" t="str">
        <f t="shared" si="13"/>
        <v>Error?</v>
      </c>
    </row>
    <row r="903" spans="1:4" x14ac:dyDescent="0.2">
      <c r="A903" s="5">
        <v>842</v>
      </c>
      <c r="B903" s="138">
        <f>'Expenditures 15-22'!F45</f>
        <v>194176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392387</v>
      </c>
      <c r="C905" s="2" t="s">
        <v>573</v>
      </c>
      <c r="D905" s="2" t="str">
        <f t="shared" si="13"/>
        <v>Error?</v>
      </c>
    </row>
    <row r="906" spans="1:4" x14ac:dyDescent="0.2">
      <c r="A906" s="5">
        <v>845</v>
      </c>
      <c r="B906" s="138">
        <f>'Expenditures 15-22'!F49</f>
        <v>34902</v>
      </c>
      <c r="D906" s="2" t="str">
        <f t="shared" si="13"/>
        <v>Error?</v>
      </c>
    </row>
    <row r="907" spans="1:4" x14ac:dyDescent="0.2">
      <c r="A907" s="5">
        <v>846</v>
      </c>
      <c r="B907" s="138">
        <f>'Expenditures 15-22'!F50</f>
        <v>19033</v>
      </c>
      <c r="D907" s="2" t="str">
        <f t="shared" si="13"/>
        <v>Error?</v>
      </c>
    </row>
    <row r="908" spans="1:4" x14ac:dyDescent="0.2">
      <c r="A908" s="5">
        <v>847</v>
      </c>
      <c r="B908" s="138">
        <f>'Expenditures 15-22'!F53</f>
        <v>53935</v>
      </c>
      <c r="C908" s="2" t="s">
        <v>573</v>
      </c>
      <c r="D908" s="2" t="str">
        <f t="shared" si="13"/>
        <v>Error?</v>
      </c>
    </row>
    <row r="909" spans="1:4" x14ac:dyDescent="0.2">
      <c r="A909" s="5">
        <v>848</v>
      </c>
      <c r="B909" s="138">
        <f>'Expenditures 15-22'!F55</f>
        <v>77465</v>
      </c>
      <c r="D909" s="2" t="str">
        <f t="shared" si="13"/>
        <v>Error?</v>
      </c>
    </row>
    <row r="910" spans="1:4" x14ac:dyDescent="0.2">
      <c r="A910" s="5">
        <v>849</v>
      </c>
      <c r="B910" s="138">
        <f>'Expenditures 15-22'!F56</f>
        <v>21307</v>
      </c>
      <c r="D910" s="2" t="str">
        <f t="shared" si="13"/>
        <v>Error?</v>
      </c>
    </row>
    <row r="911" spans="1:4" x14ac:dyDescent="0.2">
      <c r="A911" s="5">
        <v>850</v>
      </c>
      <c r="B911" s="138">
        <f>'Expenditures 15-22'!F57</f>
        <v>98772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120902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35535</v>
      </c>
      <c r="D916" s="2" t="str">
        <f t="shared" si="13"/>
        <v>Error?</v>
      </c>
    </row>
    <row r="917" spans="1:4" x14ac:dyDescent="0.2">
      <c r="A917" s="5">
        <v>856</v>
      </c>
      <c r="B917" s="138">
        <f>'Expenditures 15-22'!F64</f>
        <v>205532</v>
      </c>
      <c r="D917" s="2" t="str">
        <f t="shared" si="13"/>
        <v>Error?</v>
      </c>
    </row>
    <row r="918" spans="1:4" x14ac:dyDescent="0.2">
      <c r="A918" s="10">
        <v>857</v>
      </c>
      <c r="D918" s="2" t="str">
        <f t="shared" si="13"/>
        <v>OK</v>
      </c>
    </row>
    <row r="919" spans="1:4" x14ac:dyDescent="0.2">
      <c r="A919" s="5">
        <v>858</v>
      </c>
      <c r="B919" s="138">
        <f>'Expenditures 15-22'!F65</f>
        <v>361969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89850</v>
      </c>
      <c r="D921" s="2" t="str">
        <f t="shared" si="13"/>
        <v>Error?</v>
      </c>
    </row>
    <row r="922" spans="1:4" x14ac:dyDescent="0.2">
      <c r="A922" s="5">
        <v>861</v>
      </c>
      <c r="B922" s="138">
        <f>'Expenditures 15-22'!F69</f>
        <v>1021558</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21552</v>
      </c>
      <c r="D925" s="2" t="str">
        <f t="shared" si="13"/>
        <v>Error?</v>
      </c>
    </row>
    <row r="926" spans="1:4" x14ac:dyDescent="0.2">
      <c r="A926" s="10">
        <v>865</v>
      </c>
      <c r="D926" s="2" t="str">
        <f t="shared" si="13"/>
        <v>OK</v>
      </c>
    </row>
    <row r="927" spans="1:4" x14ac:dyDescent="0.2">
      <c r="A927" s="5">
        <v>866</v>
      </c>
      <c r="B927" s="138">
        <f>'Expenditures 15-22'!F72</f>
        <v>1132960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2128194</v>
      </c>
      <c r="C929" s="2" t="s">
        <v>573</v>
      </c>
      <c r="D929" s="2" t="str">
        <f t="shared" si="13"/>
        <v>Error?</v>
      </c>
    </row>
    <row r="930" spans="1:4" x14ac:dyDescent="0.2">
      <c r="A930" s="5">
        <v>869</v>
      </c>
      <c r="B930" s="138">
        <f>'Expenditures 15-22'!F75</f>
        <v>20698</v>
      </c>
      <c r="D930" s="2" t="str">
        <f t="shared" si="13"/>
        <v>Error?</v>
      </c>
    </row>
    <row r="931" spans="1:4" x14ac:dyDescent="0.2">
      <c r="A931" s="5">
        <v>870</v>
      </c>
      <c r="B931" s="138">
        <f>'Expenditures 15-22'!F114</f>
        <v>3349038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225159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118786</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430240</v>
      </c>
      <c r="C952" s="2" t="s">
        <v>573</v>
      </c>
      <c r="D952" s="2" t="str">
        <f t="shared" si="13"/>
        <v>Error?</v>
      </c>
    </row>
    <row r="953" spans="1:4" x14ac:dyDescent="0.2">
      <c r="A953" s="5">
        <v>892</v>
      </c>
      <c r="B953" s="138">
        <f>'Expenditures 15-22'!G36</f>
        <v>29552</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2000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31552</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50335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50335</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93223</v>
      </c>
      <c r="D968" s="2" t="str">
        <f t="shared" si="14"/>
        <v>Error?</v>
      </c>
    </row>
    <row r="969" spans="1:4" x14ac:dyDescent="0.2">
      <c r="A969" s="5">
        <v>908</v>
      </c>
      <c r="B969" s="138">
        <f>'Expenditures 15-22'!G57</f>
        <v>93223</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5318</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5318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1875642</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1875642</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2056070</v>
      </c>
      <c r="C987" s="2" t="s">
        <v>573</v>
      </c>
      <c r="D987" s="2" t="str">
        <f t="shared" si="14"/>
        <v>Error?</v>
      </c>
    </row>
    <row r="988" spans="1:4" x14ac:dyDescent="0.2">
      <c r="A988" s="5">
        <v>927</v>
      </c>
      <c r="B988" s="138">
        <f>'Expenditures 15-22'!G75</f>
        <v>75324</v>
      </c>
      <c r="D988" s="2" t="str">
        <f t="shared" si="14"/>
        <v>Error?</v>
      </c>
    </row>
    <row r="989" spans="1:4" x14ac:dyDescent="0.2">
      <c r="A989" s="5">
        <v>928</v>
      </c>
      <c r="B989" s="138">
        <f>'Expenditures 15-22'!G114</f>
        <v>2561634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46058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45</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273095</v>
      </c>
      <c r="D1007" s="2" t="str">
        <f t="shared" si="14"/>
        <v>Error?</v>
      </c>
    </row>
    <row r="1008" spans="1:4" x14ac:dyDescent="0.2">
      <c r="A1008" s="5">
        <v>947</v>
      </c>
      <c r="B1008" s="138">
        <f>'Expenditures 15-22'!H14</f>
        <v>1771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2545309</v>
      </c>
      <c r="C1010" s="2" t="s">
        <v>573</v>
      </c>
      <c r="D1010" s="2" t="str">
        <f t="shared" si="14"/>
        <v>Error?</v>
      </c>
    </row>
    <row r="1011" spans="1:4" x14ac:dyDescent="0.2">
      <c r="A1011" s="5">
        <v>950</v>
      </c>
      <c r="B1011" s="138">
        <f>'Expenditures 15-22'!H36</f>
        <v>3717</v>
      </c>
      <c r="D1011" s="2" t="str">
        <f t="shared" si="14"/>
        <v>Error?</v>
      </c>
    </row>
    <row r="1012" spans="1:4" x14ac:dyDescent="0.2">
      <c r="A1012" s="5">
        <v>951</v>
      </c>
      <c r="B1012" s="138">
        <f>'Expenditures 15-22'!H37</f>
        <v>37638</v>
      </c>
      <c r="D1012" s="2" t="str">
        <f t="shared" si="14"/>
        <v>Error?</v>
      </c>
    </row>
    <row r="1013" spans="1:4" x14ac:dyDescent="0.2">
      <c r="A1013" s="5">
        <v>952</v>
      </c>
      <c r="B1013" s="138">
        <f>'Expenditures 15-22'!H38</f>
        <v>1164</v>
      </c>
      <c r="D1013" s="2" t="str">
        <f t="shared" si="14"/>
        <v>Error?</v>
      </c>
    </row>
    <row r="1014" spans="1:4" x14ac:dyDescent="0.2">
      <c r="A1014" s="5">
        <v>953</v>
      </c>
      <c r="B1014" s="138">
        <f>'Expenditures 15-22'!H39</f>
        <v>140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42659</v>
      </c>
      <c r="C1017" s="2" t="s">
        <v>573</v>
      </c>
      <c r="D1017" s="2" t="str">
        <f t="shared" si="14"/>
        <v>Error?</v>
      </c>
    </row>
    <row r="1018" spans="1:4" x14ac:dyDescent="0.2">
      <c r="A1018" s="5">
        <v>957</v>
      </c>
      <c r="B1018" s="138">
        <f>'Expenditures 15-22'!H44</f>
        <v>214785</v>
      </c>
      <c r="D1018" s="2" t="str">
        <f t="shared" si="14"/>
        <v>Error?</v>
      </c>
    </row>
    <row r="1019" spans="1:4" x14ac:dyDescent="0.2">
      <c r="A1019" s="5">
        <v>958</v>
      </c>
      <c r="B1019" s="138">
        <f>'Expenditures 15-22'!H45</f>
        <v>3486</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218271</v>
      </c>
      <c r="C1021" s="2" t="s">
        <v>573</v>
      </c>
      <c r="D1021" s="2" t="str">
        <f t="shared" si="14"/>
        <v>Error?</v>
      </c>
    </row>
    <row r="1022" spans="1:4" x14ac:dyDescent="0.2">
      <c r="A1022" s="5">
        <v>961</v>
      </c>
      <c r="B1022" s="138">
        <f>'Expenditures 15-22'!H49</f>
        <v>25771</v>
      </c>
      <c r="D1022" s="2" t="str">
        <f t="shared" si="14"/>
        <v>Error?</v>
      </c>
    </row>
    <row r="1023" spans="1:4" x14ac:dyDescent="0.2">
      <c r="A1023" s="5">
        <v>962</v>
      </c>
      <c r="B1023" s="138">
        <f>'Expenditures 15-22'!H50</f>
        <v>9393</v>
      </c>
      <c r="D1023" s="2" t="str">
        <f t="shared" ref="D1023:D1086" si="15">IF(ISBLANK(B1023),"OK",IF(A1023-B1023=0,"OK","Error?"))</f>
        <v>Error?</v>
      </c>
    </row>
    <row r="1024" spans="1:4" x14ac:dyDescent="0.2">
      <c r="A1024" s="5">
        <v>963</v>
      </c>
      <c r="B1024" s="138">
        <f>'Expenditures 15-22'!H53</f>
        <v>35164</v>
      </c>
      <c r="C1024" s="2" t="s">
        <v>573</v>
      </c>
      <c r="D1024" s="2" t="str">
        <f t="shared" si="15"/>
        <v>Error?</v>
      </c>
    </row>
    <row r="1025" spans="1:4" x14ac:dyDescent="0.2">
      <c r="A1025" s="5">
        <v>964</v>
      </c>
      <c r="B1025" s="138">
        <f>'Expenditures 15-22'!H55</f>
        <v>10056</v>
      </c>
      <c r="D1025" s="2" t="str">
        <f t="shared" si="15"/>
        <v>Error?</v>
      </c>
    </row>
    <row r="1026" spans="1:4" x14ac:dyDescent="0.2">
      <c r="A1026" s="5">
        <v>965</v>
      </c>
      <c r="B1026" s="138">
        <f>'Expenditures 15-22'!H56</f>
        <v>395</v>
      </c>
      <c r="D1026" s="2" t="str">
        <f t="shared" si="15"/>
        <v>Error?</v>
      </c>
    </row>
    <row r="1027" spans="1:4" x14ac:dyDescent="0.2">
      <c r="A1027" s="5">
        <v>966</v>
      </c>
      <c r="B1027" s="138">
        <f>'Expenditures 15-22'!H57</f>
        <v>10451</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3665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3665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3615</v>
      </c>
      <c r="D1037" s="2" t="str">
        <f t="shared" si="15"/>
        <v>Error?</v>
      </c>
    </row>
    <row r="1038" spans="1:4" x14ac:dyDescent="0.2">
      <c r="A1038" s="5">
        <v>977</v>
      </c>
      <c r="B1038" s="138">
        <f>'Expenditures 15-22'!H69</f>
        <v>43561</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47176</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357386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641658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3544353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35273379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361582</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1117768</v>
      </c>
      <c r="C1105" s="2" t="s">
        <v>573</v>
      </c>
      <c r="D1105" s="2" t="str">
        <f t="shared" si="16"/>
        <v>Error?</v>
      </c>
    </row>
    <row r="1106" spans="1:4" x14ac:dyDescent="0.2">
      <c r="A1106" s="5">
        <v>1045</v>
      </c>
      <c r="B1106" s="138">
        <f>'Expenditures 15-22'!K14</f>
        <v>3285804</v>
      </c>
      <c r="C1106" s="2" t="s">
        <v>573</v>
      </c>
      <c r="D1106" s="2" t="str">
        <f t="shared" si="16"/>
        <v>Error?</v>
      </c>
    </row>
    <row r="1107" spans="1:4" x14ac:dyDescent="0.2">
      <c r="A1107" s="5">
        <v>1046</v>
      </c>
      <c r="B1107" s="138">
        <f>'Expenditures 15-22'!K15</f>
        <v>784113</v>
      </c>
      <c r="C1107" s="2" t="s">
        <v>573</v>
      </c>
      <c r="D1107" s="2" t="str">
        <f t="shared" si="16"/>
        <v>Error?</v>
      </c>
    </row>
    <row r="1108" spans="1:4" x14ac:dyDescent="0.2">
      <c r="A1108" s="5">
        <v>1047</v>
      </c>
      <c r="B1108" s="138">
        <f>'Expenditures 15-22'!K33</f>
        <v>49273482</v>
      </c>
      <c r="C1108" s="2" t="s">
        <v>573</v>
      </c>
      <c r="D1108" s="2" t="str">
        <f t="shared" si="16"/>
        <v>Error?</v>
      </c>
    </row>
    <row r="1109" spans="1:4" x14ac:dyDescent="0.2">
      <c r="A1109" s="5">
        <v>1048</v>
      </c>
      <c r="B1109" s="138">
        <f>'Expenditures 15-22'!K36</f>
        <v>3204406</v>
      </c>
      <c r="C1109" s="2" t="s">
        <v>573</v>
      </c>
      <c r="D1109" s="2" t="str">
        <f t="shared" si="16"/>
        <v>Error?</v>
      </c>
    </row>
    <row r="1110" spans="1:4" x14ac:dyDescent="0.2">
      <c r="A1110" s="5">
        <v>1049</v>
      </c>
      <c r="B1110" s="138">
        <f>'Expenditures 15-22'!K37</f>
        <v>3767358</v>
      </c>
      <c r="C1110" s="2" t="s">
        <v>573</v>
      </c>
      <c r="D1110" s="2" t="str">
        <f t="shared" si="16"/>
        <v>Error?</v>
      </c>
    </row>
    <row r="1111" spans="1:4" x14ac:dyDescent="0.2">
      <c r="A1111" s="5">
        <v>1050</v>
      </c>
      <c r="B1111" s="138">
        <f>'Expenditures 15-22'!K38</f>
        <v>306026</v>
      </c>
      <c r="C1111" s="2" t="s">
        <v>573</v>
      </c>
      <c r="D1111" s="2" t="str">
        <f t="shared" si="16"/>
        <v>Error?</v>
      </c>
    </row>
    <row r="1112" spans="1:4" x14ac:dyDescent="0.2">
      <c r="A1112" s="5">
        <v>1051</v>
      </c>
      <c r="B1112" s="138">
        <f>'Expenditures 15-22'!K39</f>
        <v>131336</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7409126</v>
      </c>
      <c r="C1115" s="2" t="s">
        <v>573</v>
      </c>
      <c r="D1115" s="2" t="str">
        <f t="shared" si="16"/>
        <v>Error?</v>
      </c>
    </row>
    <row r="1116" spans="1:4" x14ac:dyDescent="0.2">
      <c r="A1116" s="5">
        <v>1055</v>
      </c>
      <c r="B1116" s="138">
        <f>'Expenditures 15-22'!K44</f>
        <v>868945</v>
      </c>
      <c r="C1116" s="2" t="s">
        <v>573</v>
      </c>
      <c r="D1116" s="2" t="str">
        <f t="shared" si="16"/>
        <v>Error?</v>
      </c>
    </row>
    <row r="1117" spans="1:4" x14ac:dyDescent="0.2">
      <c r="A1117" s="5">
        <v>1056</v>
      </c>
      <c r="B1117" s="138">
        <f>'Expenditures 15-22'!K45</f>
        <v>985037</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1853982</v>
      </c>
      <c r="C1119" s="2" t="s">
        <v>573</v>
      </c>
      <c r="D1119" s="2" t="str">
        <f t="shared" si="16"/>
        <v>Error?</v>
      </c>
    </row>
    <row r="1120" spans="1:4" x14ac:dyDescent="0.2">
      <c r="A1120" s="5">
        <v>1059</v>
      </c>
      <c r="B1120" s="138">
        <f>'Expenditures 15-22'!K49</f>
        <v>187160</v>
      </c>
      <c r="C1120" s="2" t="s">
        <v>573</v>
      </c>
      <c r="D1120" s="2" t="str">
        <f t="shared" si="16"/>
        <v>Error?</v>
      </c>
    </row>
    <row r="1121" spans="1:4" x14ac:dyDescent="0.2">
      <c r="A1121" s="5">
        <v>1060</v>
      </c>
      <c r="B1121" s="138">
        <f>'Expenditures 15-22'!K50</f>
        <v>429622</v>
      </c>
      <c r="C1121" s="2" t="s">
        <v>573</v>
      </c>
      <c r="D1121" s="2" t="str">
        <f t="shared" si="16"/>
        <v>Error?</v>
      </c>
    </row>
    <row r="1122" spans="1:4" x14ac:dyDescent="0.2">
      <c r="A1122" s="5">
        <v>1061</v>
      </c>
      <c r="B1122" s="138">
        <f>'Expenditures 15-22'!K53</f>
        <v>616782</v>
      </c>
      <c r="C1122" s="2" t="s">
        <v>573</v>
      </c>
      <c r="D1122" s="2" t="str">
        <f t="shared" si="16"/>
        <v>Error?</v>
      </c>
    </row>
    <row r="1123" spans="1:4" x14ac:dyDescent="0.2">
      <c r="A1123" s="5">
        <v>1062</v>
      </c>
      <c r="B1123" s="138">
        <f>'Expenditures 15-22'!K55</f>
        <v>480167</v>
      </c>
      <c r="C1123" s="2" t="s">
        <v>573</v>
      </c>
      <c r="D1123" s="2" t="str">
        <f t="shared" si="16"/>
        <v>Error?</v>
      </c>
    </row>
    <row r="1124" spans="1:4" x14ac:dyDescent="0.2">
      <c r="A1124" s="5">
        <v>1063</v>
      </c>
      <c r="B1124" s="138">
        <f>'Expenditures 15-22'!K56</f>
        <v>641738</v>
      </c>
      <c r="C1124" s="2" t="s">
        <v>573</v>
      </c>
      <c r="D1124" s="2" t="str">
        <f t="shared" si="16"/>
        <v>Error?</v>
      </c>
    </row>
    <row r="1125" spans="1:4" x14ac:dyDescent="0.2">
      <c r="A1125" s="5">
        <v>1064</v>
      </c>
      <c r="B1125" s="138">
        <f>'Expenditures 15-22'!K57</f>
        <v>1121905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1236796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56559</v>
      </c>
      <c r="C1130" s="2" t="s">
        <v>573</v>
      </c>
      <c r="D1130" s="2" t="str">
        <f t="shared" si="16"/>
        <v>Error?</v>
      </c>
    </row>
    <row r="1131" spans="1:4" x14ac:dyDescent="0.2">
      <c r="A1131" s="5">
        <v>1070</v>
      </c>
      <c r="B1131" s="138">
        <f>'Expenditures 15-22'!K64</f>
        <v>955421</v>
      </c>
      <c r="C1131" s="2" t="s">
        <v>573</v>
      </c>
      <c r="D1131" s="2" t="str">
        <f t="shared" si="16"/>
        <v>Error?</v>
      </c>
    </row>
    <row r="1132" spans="1:4" x14ac:dyDescent="0.2">
      <c r="A1132" s="10">
        <v>1071</v>
      </c>
      <c r="D1132" s="2" t="str">
        <f t="shared" si="16"/>
        <v>OK</v>
      </c>
    </row>
    <row r="1133" spans="1:4" x14ac:dyDescent="0.2">
      <c r="A1133" s="5">
        <v>1072</v>
      </c>
      <c r="B1133" s="138">
        <f>'Expenditures 15-22'!K65</f>
        <v>2248776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3154542</v>
      </c>
      <c r="C1135" s="2" t="s">
        <v>573</v>
      </c>
      <c r="D1135" s="2" t="str">
        <f t="shared" si="16"/>
        <v>Error?</v>
      </c>
    </row>
    <row r="1136" spans="1:4" x14ac:dyDescent="0.2">
      <c r="A1136" s="5">
        <v>1075</v>
      </c>
      <c r="B1136" s="138">
        <f>'Expenditures 15-22'!K69</f>
        <v>5027314</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185179</v>
      </c>
      <c r="C1139" s="2" t="s">
        <v>573</v>
      </c>
      <c r="D1139" s="2" t="str">
        <f t="shared" si="16"/>
        <v>Error?</v>
      </c>
    </row>
    <row r="1140" spans="1:4" x14ac:dyDescent="0.2">
      <c r="A1140" s="10">
        <v>1079</v>
      </c>
      <c r="D1140" s="2" t="str">
        <f t="shared" si="16"/>
        <v>OK</v>
      </c>
    </row>
    <row r="1141" spans="1:4" x14ac:dyDescent="0.2">
      <c r="A1141" s="5">
        <v>1080</v>
      </c>
      <c r="B1141" s="138">
        <f>'Expenditures 15-22'!K72</f>
        <v>8367035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21617606</v>
      </c>
      <c r="C1143" s="2" t="s">
        <v>573</v>
      </c>
      <c r="D1143" s="2" t="str">
        <f t="shared" si="16"/>
        <v>Error?</v>
      </c>
    </row>
    <row r="1144" spans="1:4" x14ac:dyDescent="0.2">
      <c r="A1144" s="5">
        <v>1083</v>
      </c>
      <c r="B1144" s="138">
        <f>'Expenditures 15-22'!K75</f>
        <v>2575470</v>
      </c>
      <c r="C1144" s="2" t="s">
        <v>573</v>
      </c>
      <c r="D1144" s="2" t="str">
        <f t="shared" si="16"/>
        <v>Error?</v>
      </c>
    </row>
    <row r="1145" spans="1:4" x14ac:dyDescent="0.2">
      <c r="A1145" s="5">
        <v>1084</v>
      </c>
      <c r="B1145" s="138">
        <f>'Expenditures 15-22'!K102</f>
        <v>4258964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77725522</v>
      </c>
      <c r="C1152" s="2" t="s">
        <v>573</v>
      </c>
      <c r="D1152" s="2" t="str">
        <f t="shared" si="17"/>
        <v>Error?</v>
      </c>
    </row>
    <row r="1153" spans="1:4" x14ac:dyDescent="0.2">
      <c r="A1153" s="5">
        <v>1092</v>
      </c>
      <c r="B1153" s="138">
        <f>'Expenditures 15-22'!K115</f>
        <v>109021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23838</v>
      </c>
      <c r="D1221" s="2" t="str">
        <f t="shared" si="18"/>
        <v>Error?</v>
      </c>
    </row>
    <row r="1222" spans="1:4" x14ac:dyDescent="0.2">
      <c r="A1222" s="10">
        <v>1161</v>
      </c>
      <c r="D1222" s="2" t="str">
        <f t="shared" si="18"/>
        <v>OK</v>
      </c>
    </row>
    <row r="1223" spans="1:4" x14ac:dyDescent="0.2">
      <c r="A1223" s="5">
        <v>1162</v>
      </c>
      <c r="B1223" s="138">
        <f>'Expenditures 15-22'!C127</f>
        <v>23838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23838</v>
      </c>
      <c r="C1225" s="2" t="s">
        <v>573</v>
      </c>
      <c r="D1225" s="2" t="str">
        <f t="shared" si="18"/>
        <v>Error?</v>
      </c>
    </row>
    <row r="1226" spans="1:4" x14ac:dyDescent="0.2">
      <c r="A1226" s="5">
        <v>1165</v>
      </c>
      <c r="B1226" s="138">
        <f>'Expenditures 15-22'!C151</f>
        <v>23838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1286</v>
      </c>
      <c r="D1229" s="2" t="str">
        <f t="shared" si="18"/>
        <v>Error?</v>
      </c>
    </row>
    <row r="1230" spans="1:4" x14ac:dyDescent="0.2">
      <c r="A1230" s="10">
        <v>1169</v>
      </c>
      <c r="D1230" s="2" t="str">
        <f t="shared" si="18"/>
        <v>OK</v>
      </c>
    </row>
    <row r="1231" spans="1:4" x14ac:dyDescent="0.2">
      <c r="A1231" s="5">
        <v>1170</v>
      </c>
      <c r="B1231" s="138">
        <f>'Expenditures 15-22'!D127</f>
        <v>1286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1286</v>
      </c>
      <c r="C1233" s="2" t="s">
        <v>573</v>
      </c>
      <c r="D1233" s="2" t="str">
        <f t="shared" si="18"/>
        <v>Error?</v>
      </c>
    </row>
    <row r="1234" spans="1:4" x14ac:dyDescent="0.2">
      <c r="A1234" s="5">
        <v>1173</v>
      </c>
      <c r="B1234" s="138">
        <f>'Expenditures 15-22'!D151</f>
        <v>1286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6190501</v>
      </c>
      <c r="D1237" s="2" t="str">
        <f t="shared" si="18"/>
        <v>Error?</v>
      </c>
    </row>
    <row r="1238" spans="1:4" x14ac:dyDescent="0.2">
      <c r="A1238" s="10">
        <v>1177</v>
      </c>
      <c r="D1238" s="2" t="str">
        <f t="shared" si="18"/>
        <v>OK</v>
      </c>
    </row>
    <row r="1239" spans="1:4" x14ac:dyDescent="0.2">
      <c r="A1239" s="5">
        <v>1178</v>
      </c>
      <c r="B1239" s="138">
        <f>'Expenditures 15-22'!E127</f>
        <v>6190501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6190501</v>
      </c>
      <c r="C1241" s="2" t="s">
        <v>573</v>
      </c>
      <c r="D1241" s="2" t="str">
        <f t="shared" si="18"/>
        <v>Error?</v>
      </c>
    </row>
    <row r="1242" spans="1:4" x14ac:dyDescent="0.2">
      <c r="A1242" s="5">
        <v>1181</v>
      </c>
      <c r="B1242" s="138">
        <f>'Expenditures 15-22'!E151</f>
        <v>6190501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2765121</v>
      </c>
      <c r="D1245" s="2" t="str">
        <f t="shared" si="18"/>
        <v>Error?</v>
      </c>
    </row>
    <row r="1246" spans="1:4" x14ac:dyDescent="0.2">
      <c r="A1246" s="10">
        <v>1185</v>
      </c>
      <c r="D1246" s="2" t="str">
        <f t="shared" si="18"/>
        <v>OK</v>
      </c>
    </row>
    <row r="1247" spans="1:4" x14ac:dyDescent="0.2">
      <c r="A1247" s="5">
        <v>1186</v>
      </c>
      <c r="B1247" s="138">
        <f>'Expenditures 15-22'!F127</f>
        <v>2765121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2765121</v>
      </c>
      <c r="C1249" s="2" t="s">
        <v>573</v>
      </c>
      <c r="D1249" s="2" t="str">
        <f t="shared" si="18"/>
        <v>Error?</v>
      </c>
    </row>
    <row r="1250" spans="1:4" x14ac:dyDescent="0.2">
      <c r="A1250" s="5">
        <v>1189</v>
      </c>
      <c r="B1250" s="138">
        <f>'Expenditures 15-22'!F151</f>
        <v>2765121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16876826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16876826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16876826</v>
      </c>
      <c r="C1258" s="2" t="s">
        <v>573</v>
      </c>
      <c r="D1258" s="2" t="str">
        <f t="shared" si="18"/>
        <v>Error?</v>
      </c>
    </row>
    <row r="1259" spans="1:4" x14ac:dyDescent="0.2">
      <c r="A1259" s="5">
        <v>1198</v>
      </c>
      <c r="B1259" s="138">
        <f>'Expenditures 15-22'!G151</f>
        <v>16876826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25857572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25857572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25857572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25857572</v>
      </c>
      <c r="C1288" s="2" t="s">
        <v>573</v>
      </c>
      <c r="D1288" s="2" t="str">
        <f t="shared" si="19"/>
        <v>Error?</v>
      </c>
    </row>
    <row r="1289" spans="1:4" x14ac:dyDescent="0.2">
      <c r="A1289" s="5">
        <v>1228</v>
      </c>
      <c r="B1289" s="138">
        <f>'Expenditures 15-22'!K152</f>
        <v>-8025031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1198599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3723832</v>
      </c>
      <c r="D1315" s="2" t="str">
        <f t="shared" si="19"/>
        <v>Error?</v>
      </c>
    </row>
    <row r="1316" spans="1:4" x14ac:dyDescent="0.2">
      <c r="A1316" s="5">
        <v>1255</v>
      </c>
      <c r="B1316" s="138">
        <f>'Expenditures 15-22'!H171</f>
        <v>299</v>
      </c>
      <c r="D1316" s="2" t="str">
        <f t="shared" si="19"/>
        <v>Error?</v>
      </c>
    </row>
    <row r="1317" spans="1:4" x14ac:dyDescent="0.2">
      <c r="A1317" s="5">
        <v>1256</v>
      </c>
      <c r="B1317" s="138">
        <f>'Expenditures 15-22'!H172</f>
        <v>4922730</v>
      </c>
      <c r="C1317" s="2" t="s">
        <v>573</v>
      </c>
      <c r="D1317" s="2" t="str">
        <f t="shared" si="19"/>
        <v>Error?</v>
      </c>
    </row>
    <row r="1318" spans="1:4" x14ac:dyDescent="0.2">
      <c r="A1318" s="5">
        <v>1257</v>
      </c>
      <c r="B1318" s="138">
        <f>'Expenditures 15-22'!H174</f>
        <v>4922730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1198599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3723832</v>
      </c>
      <c r="C1329" s="2" t="s">
        <v>573</v>
      </c>
      <c r="D1329" s="2" t="str">
        <f t="shared" si="19"/>
        <v>Error?</v>
      </c>
    </row>
    <row r="1330" spans="1:4" x14ac:dyDescent="0.2">
      <c r="A1330" s="5">
        <v>1269</v>
      </c>
      <c r="B1330" s="138">
        <f>'Expenditures 15-22'!K171</f>
        <v>299</v>
      </c>
      <c r="C1330" s="2" t="s">
        <v>573</v>
      </c>
      <c r="D1330" s="2" t="str">
        <f t="shared" si="19"/>
        <v>Error?</v>
      </c>
    </row>
    <row r="1331" spans="1:4" x14ac:dyDescent="0.2">
      <c r="A1331" s="5">
        <v>1270</v>
      </c>
      <c r="B1331" s="138">
        <f>'Expenditures 15-22'!K172</f>
        <v>4922730</v>
      </c>
      <c r="C1331" s="2" t="s">
        <v>573</v>
      </c>
      <c r="D1331" s="2" t="str">
        <f t="shared" si="19"/>
        <v>Error?</v>
      </c>
    </row>
    <row r="1332" spans="1:4" x14ac:dyDescent="0.2">
      <c r="A1332" s="5">
        <v>1271</v>
      </c>
      <c r="B1332" s="138">
        <f>'Expenditures 15-22'!K174</f>
        <v>4922730</v>
      </c>
      <c r="C1332" s="2" t="s">
        <v>573</v>
      </c>
      <c r="D1332" s="2" t="str">
        <f t="shared" si="19"/>
        <v>Error?</v>
      </c>
    </row>
    <row r="1333" spans="1:4" x14ac:dyDescent="0.2">
      <c r="A1333" s="5">
        <v>1272</v>
      </c>
      <c r="B1333" s="138">
        <f>'Expenditures 15-22'!K175</f>
        <v>-425163</v>
      </c>
      <c r="C1333" s="2" t="s">
        <v>573</v>
      </c>
      <c r="D1333" s="2" t="str">
        <f t="shared" si="19"/>
        <v>Error?</v>
      </c>
    </row>
    <row r="1334" spans="1:4" x14ac:dyDescent="0.2">
      <c r="A1334" s="10">
        <v>1273</v>
      </c>
      <c r="D1334" s="2" t="str">
        <f t="shared" si="19"/>
        <v>OK</v>
      </c>
    </row>
    <row r="1335" spans="1:4" x14ac:dyDescent="0.2">
      <c r="A1335" s="5">
        <v>1274</v>
      </c>
      <c r="B1335" s="138">
        <f>'Expenditures 15-22'!C182</f>
        <v>213334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213334</v>
      </c>
      <c r="C1339" s="2" t="s">
        <v>573</v>
      </c>
      <c r="D1339" s="2" t="str">
        <f t="shared" si="19"/>
        <v>Error?</v>
      </c>
    </row>
    <row r="1340" spans="1:4" x14ac:dyDescent="0.2">
      <c r="A1340" s="5">
        <v>1279</v>
      </c>
      <c r="B1340" s="138">
        <f>'Expenditures 15-22'!C210</f>
        <v>213334</v>
      </c>
      <c r="C1340" s="2" t="s">
        <v>573</v>
      </c>
      <c r="D1340" s="2" t="str">
        <f t="shared" si="19"/>
        <v>Error?</v>
      </c>
    </row>
    <row r="1341" spans="1:4" x14ac:dyDescent="0.2">
      <c r="A1341" s="5">
        <v>1280</v>
      </c>
      <c r="B1341" s="138">
        <f>'Expenditures 15-22'!D182</f>
        <v>23452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23452</v>
      </c>
      <c r="C1345" s="2" t="s">
        <v>573</v>
      </c>
      <c r="D1345" s="2" t="str">
        <f t="shared" si="20"/>
        <v>Error?</v>
      </c>
    </row>
    <row r="1346" spans="1:4" x14ac:dyDescent="0.2">
      <c r="A1346" s="5">
        <v>1285</v>
      </c>
      <c r="B1346" s="138">
        <f>'Expenditures 15-22'!D210</f>
        <v>23452</v>
      </c>
      <c r="C1346" s="2" t="s">
        <v>573</v>
      </c>
      <c r="D1346" s="2" t="str">
        <f t="shared" si="20"/>
        <v>Error?</v>
      </c>
    </row>
    <row r="1347" spans="1:4" x14ac:dyDescent="0.2">
      <c r="A1347" s="5">
        <v>1286</v>
      </c>
      <c r="B1347" s="138">
        <f>'Expenditures 15-22'!E182</f>
        <v>4398301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4398301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4398301</v>
      </c>
      <c r="C1353" s="2" t="s">
        <v>573</v>
      </c>
      <c r="D1353" s="2" t="str">
        <f t="shared" si="20"/>
        <v>Error?</v>
      </c>
    </row>
    <row r="1354" spans="1:4" x14ac:dyDescent="0.2">
      <c r="A1354" s="5">
        <v>1293</v>
      </c>
      <c r="B1354" s="138">
        <f>'Expenditures 15-22'!F182</f>
        <v>175392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175392</v>
      </c>
      <c r="C1358" s="2" t="s">
        <v>573</v>
      </c>
      <c r="D1358" s="2" t="str">
        <f t="shared" si="20"/>
        <v>Error?</v>
      </c>
    </row>
    <row r="1359" spans="1:4" x14ac:dyDescent="0.2">
      <c r="A1359" s="5">
        <v>1298</v>
      </c>
      <c r="B1359" s="138">
        <f>'Expenditures 15-22'!F210</f>
        <v>175392</v>
      </c>
      <c r="C1359" s="2" t="s">
        <v>573</v>
      </c>
      <c r="D1359" s="2" t="str">
        <f t="shared" si="20"/>
        <v>Error?</v>
      </c>
    </row>
    <row r="1360" spans="1:4" x14ac:dyDescent="0.2">
      <c r="A1360" s="5">
        <v>1299</v>
      </c>
      <c r="B1360" s="138">
        <f>'Expenditures 15-22'!G182</f>
        <v>39412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39412</v>
      </c>
      <c r="C1364" s="2" t="s">
        <v>573</v>
      </c>
      <c r="D1364" s="2" t="str">
        <f t="shared" si="20"/>
        <v>Error?</v>
      </c>
    </row>
    <row r="1365" spans="1:4" x14ac:dyDescent="0.2">
      <c r="A1365" s="5">
        <v>1304</v>
      </c>
      <c r="B1365" s="138">
        <f>'Expenditures 15-22'!G210</f>
        <v>39412</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4849891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4849891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4849891</v>
      </c>
      <c r="C1388" s="2" t="s">
        <v>573</v>
      </c>
      <c r="D1388" s="2" t="str">
        <f t="shared" si="20"/>
        <v>Error?</v>
      </c>
    </row>
    <row r="1389" spans="1:4" x14ac:dyDescent="0.2">
      <c r="A1389" s="5">
        <v>1328</v>
      </c>
      <c r="B1389" s="138">
        <f>'Expenditures 15-22'!K211</f>
        <v>1423420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15435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9079</v>
      </c>
      <c r="D1407" s="2" t="str">
        <f t="shared" ref="D1407:D1470" si="21">IF(ISBLANK(B1407),"OK",IF(A1407-B1407=0,"OK","Error?"))</f>
        <v>Error?</v>
      </c>
    </row>
    <row r="1408" spans="1:4" x14ac:dyDescent="0.2">
      <c r="A1408" s="5">
        <v>1347</v>
      </c>
      <c r="B1408" s="138">
        <f>'Expenditures 15-22'!D223</f>
        <v>226468</v>
      </c>
      <c r="D1408" s="2" t="str">
        <f t="shared" si="21"/>
        <v>Error?</v>
      </c>
    </row>
    <row r="1409" spans="1:4" x14ac:dyDescent="0.2">
      <c r="A1409" s="5">
        <v>1348</v>
      </c>
      <c r="B1409" s="138">
        <f>'Expenditures 15-22'!D224</f>
        <v>30776</v>
      </c>
      <c r="D1409" s="2" t="str">
        <f t="shared" si="21"/>
        <v>Error?</v>
      </c>
    </row>
    <row r="1410" spans="1:4" x14ac:dyDescent="0.2">
      <c r="A1410" s="5">
        <v>1349</v>
      </c>
      <c r="B1410" s="138">
        <f>'Expenditures 15-22'!D229</f>
        <v>3241205</v>
      </c>
      <c r="C1410" s="2" t="s">
        <v>573</v>
      </c>
      <c r="D1410" s="2" t="str">
        <f t="shared" si="21"/>
        <v>Error?</v>
      </c>
    </row>
    <row r="1411" spans="1:4" x14ac:dyDescent="0.2">
      <c r="A1411" s="5">
        <v>1350</v>
      </c>
      <c r="B1411" s="138">
        <f>'Expenditures 15-22'!D232</f>
        <v>279067</v>
      </c>
      <c r="D1411" s="2" t="str">
        <f t="shared" si="21"/>
        <v>Error?</v>
      </c>
    </row>
    <row r="1412" spans="1:4" x14ac:dyDescent="0.2">
      <c r="A1412" s="5">
        <v>1351</v>
      </c>
      <c r="B1412" s="138">
        <f>'Expenditures 15-22'!D233</f>
        <v>140696</v>
      </c>
      <c r="D1412" s="2" t="str">
        <f t="shared" si="21"/>
        <v>Error?</v>
      </c>
    </row>
    <row r="1413" spans="1:4" x14ac:dyDescent="0.2">
      <c r="A1413" s="5">
        <v>1352</v>
      </c>
      <c r="B1413" s="138">
        <f>'Expenditures 15-22'!D234</f>
        <v>52105</v>
      </c>
      <c r="D1413" s="2" t="str">
        <f t="shared" si="21"/>
        <v>Error?</v>
      </c>
    </row>
    <row r="1414" spans="1:4" x14ac:dyDescent="0.2">
      <c r="A1414" s="5">
        <v>1353</v>
      </c>
      <c r="B1414" s="138">
        <f>'Expenditures 15-22'!D235</f>
        <v>16387</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488255</v>
      </c>
      <c r="C1417" s="2" t="s">
        <v>573</v>
      </c>
      <c r="D1417" s="2" t="str">
        <f t="shared" si="21"/>
        <v>Error?</v>
      </c>
    </row>
    <row r="1418" spans="1:4" x14ac:dyDescent="0.2">
      <c r="A1418" s="5">
        <v>1357</v>
      </c>
      <c r="B1418" s="138">
        <f>'Expenditures 15-22'!D240</f>
        <v>29280</v>
      </c>
      <c r="D1418" s="2" t="str">
        <f t="shared" si="21"/>
        <v>Error?</v>
      </c>
    </row>
    <row r="1419" spans="1:4" x14ac:dyDescent="0.2">
      <c r="A1419" s="5">
        <v>1358</v>
      </c>
      <c r="B1419" s="138">
        <f>'Expenditures 15-22'!D241</f>
        <v>82762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112042</v>
      </c>
      <c r="C1421" s="2" t="s">
        <v>573</v>
      </c>
      <c r="D1421" s="2" t="str">
        <f t="shared" si="21"/>
        <v>Error?</v>
      </c>
    </row>
    <row r="1422" spans="1:4" x14ac:dyDescent="0.2">
      <c r="A1422" s="5">
        <v>1361</v>
      </c>
      <c r="B1422" s="138">
        <f>'Expenditures 15-22'!D245</f>
        <v>3283</v>
      </c>
      <c r="D1422" s="2" t="str">
        <f t="shared" si="21"/>
        <v>Error?</v>
      </c>
    </row>
    <row r="1423" spans="1:4" x14ac:dyDescent="0.2">
      <c r="A1423" s="5">
        <v>1362</v>
      </c>
      <c r="B1423" s="138">
        <f>'Expenditures 15-22'!D246</f>
        <v>21472</v>
      </c>
      <c r="D1423" s="2" t="str">
        <f t="shared" si="21"/>
        <v>Error?</v>
      </c>
    </row>
    <row r="1424" spans="1:4" x14ac:dyDescent="0.2">
      <c r="A1424" s="5">
        <v>1363</v>
      </c>
      <c r="B1424" s="138">
        <f>'Expenditures 15-22'!D257</f>
        <v>24755</v>
      </c>
      <c r="C1424" s="2" t="s">
        <v>573</v>
      </c>
      <c r="D1424" s="2" t="str">
        <f t="shared" si="21"/>
        <v>Error?</v>
      </c>
    </row>
    <row r="1425" spans="1:4" x14ac:dyDescent="0.2">
      <c r="A1425" s="5">
        <v>1364</v>
      </c>
      <c r="B1425" s="138">
        <f>'Expenditures 15-22'!D259</f>
        <v>27820</v>
      </c>
      <c r="D1425" s="2" t="str">
        <f t="shared" si="21"/>
        <v>Error?</v>
      </c>
    </row>
    <row r="1426" spans="1:4" x14ac:dyDescent="0.2">
      <c r="A1426" s="5">
        <v>1365</v>
      </c>
      <c r="B1426" s="138">
        <f>'Expenditures 15-22'!D260</f>
        <v>51076</v>
      </c>
      <c r="D1426" s="2" t="str">
        <f t="shared" si="21"/>
        <v>Error?</v>
      </c>
    </row>
    <row r="1427" spans="1:4" x14ac:dyDescent="0.2">
      <c r="A1427" s="5">
        <v>1366</v>
      </c>
      <c r="B1427" s="138">
        <f>'Expenditures 15-22'!D261</f>
        <v>78896</v>
      </c>
      <c r="C1427" s="2" t="s">
        <v>573</v>
      </c>
      <c r="D1427" s="2" t="str">
        <f t="shared" si="21"/>
        <v>Error?</v>
      </c>
    </row>
    <row r="1428" spans="1:4" x14ac:dyDescent="0.2">
      <c r="A1428" s="5">
        <v>1367</v>
      </c>
      <c r="B1428" s="138">
        <f>'Expenditures 15-22'!D263</f>
        <v>29208</v>
      </c>
      <c r="D1428" s="2" t="str">
        <f t="shared" si="21"/>
        <v>Error?</v>
      </c>
    </row>
    <row r="1429" spans="1:4" x14ac:dyDescent="0.2">
      <c r="A1429" s="5">
        <v>1368</v>
      </c>
      <c r="B1429" s="138">
        <f>'Expenditures 15-22'!D264</f>
        <v>76653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3500</v>
      </c>
      <c r="D1431" s="2" t="str">
        <f t="shared" si="21"/>
        <v>Error?</v>
      </c>
    </row>
    <row r="1432" spans="1:4" x14ac:dyDescent="0.2">
      <c r="A1432" s="5">
        <v>1371</v>
      </c>
      <c r="B1432" s="138">
        <f>'Expenditures 15-22'!D267</f>
        <v>18849</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128210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325007</v>
      </c>
      <c r="D1438" s="2" t="str">
        <f t="shared" si="21"/>
        <v>Error?</v>
      </c>
    </row>
    <row r="1439" spans="1:4" x14ac:dyDescent="0.2">
      <c r="A1439" s="5">
        <v>1378</v>
      </c>
      <c r="B1439" s="138">
        <f>'Expenditures 15-22'!D274</f>
        <v>257914</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26689</v>
      </c>
      <c r="D1442" s="2" t="str">
        <f t="shared" si="21"/>
        <v>Error?</v>
      </c>
    </row>
    <row r="1443" spans="1:4" x14ac:dyDescent="0.2">
      <c r="A1443" s="10">
        <v>1382</v>
      </c>
      <c r="D1443" s="2" t="str">
        <f t="shared" si="21"/>
        <v>OK</v>
      </c>
    </row>
    <row r="1444" spans="1:4" x14ac:dyDescent="0.2">
      <c r="A1444" s="5">
        <v>1383</v>
      </c>
      <c r="B1444" s="138">
        <f>'Expenditures 15-22'!D277</f>
        <v>609610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1441768</v>
      </c>
      <c r="C1446" s="2" t="s">
        <v>573</v>
      </c>
      <c r="D1446" s="2" t="str">
        <f t="shared" si="21"/>
        <v>Error?</v>
      </c>
    </row>
    <row r="1447" spans="1:4" x14ac:dyDescent="0.2">
      <c r="A1447" s="5">
        <v>1386</v>
      </c>
      <c r="B1447" s="138">
        <f>'Expenditures 15-22'!D280</f>
        <v>358461</v>
      </c>
      <c r="D1447" s="2" t="str">
        <f t="shared" si="21"/>
        <v>Error?</v>
      </c>
    </row>
    <row r="1448" spans="1:4" x14ac:dyDescent="0.2">
      <c r="A1448" s="5">
        <v>1387</v>
      </c>
      <c r="B1448" s="138">
        <f>'Expenditures 15-22'!D295</f>
        <v>5044036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15435</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9079</v>
      </c>
      <c r="C1471" s="2" t="s">
        <v>573</v>
      </c>
      <c r="D1471" s="2" t="str">
        <f t="shared" ref="D1471:D1534" si="22">IF(ISBLANK(B1471),"OK",IF(A1471-B1471=0,"OK","Error?"))</f>
        <v>Error?</v>
      </c>
    </row>
    <row r="1472" spans="1:4" x14ac:dyDescent="0.2">
      <c r="A1472" s="5">
        <v>1411</v>
      </c>
      <c r="B1472" s="138">
        <f>'Expenditures 15-22'!K223</f>
        <v>226468</v>
      </c>
      <c r="C1472" s="2" t="s">
        <v>573</v>
      </c>
      <c r="D1472" s="2" t="str">
        <f t="shared" si="22"/>
        <v>Error?</v>
      </c>
    </row>
    <row r="1473" spans="1:4" x14ac:dyDescent="0.2">
      <c r="A1473" s="5">
        <v>1412</v>
      </c>
      <c r="B1473" s="138">
        <f>'Expenditures 15-22'!K224</f>
        <v>30776</v>
      </c>
      <c r="C1473" s="2" t="s">
        <v>573</v>
      </c>
      <c r="D1473" s="2" t="str">
        <f t="shared" si="22"/>
        <v>Error?</v>
      </c>
    </row>
    <row r="1474" spans="1:4" x14ac:dyDescent="0.2">
      <c r="A1474" s="5">
        <v>1413</v>
      </c>
      <c r="B1474" s="138">
        <f>'Expenditures 15-22'!K229</f>
        <v>3241205</v>
      </c>
      <c r="C1474" s="2" t="s">
        <v>573</v>
      </c>
      <c r="D1474" s="2" t="str">
        <f t="shared" si="22"/>
        <v>Error?</v>
      </c>
    </row>
    <row r="1475" spans="1:4" x14ac:dyDescent="0.2">
      <c r="A1475" s="5">
        <v>1414</v>
      </c>
      <c r="B1475" s="138">
        <f>'Expenditures 15-22'!K232</f>
        <v>279067</v>
      </c>
      <c r="C1475" s="2" t="s">
        <v>573</v>
      </c>
      <c r="D1475" s="2" t="str">
        <f t="shared" si="22"/>
        <v>Error?</v>
      </c>
    </row>
    <row r="1476" spans="1:4" x14ac:dyDescent="0.2">
      <c r="A1476" s="5">
        <v>1415</v>
      </c>
      <c r="B1476" s="138">
        <f>'Expenditures 15-22'!K233</f>
        <v>140696</v>
      </c>
      <c r="C1476" s="2" t="s">
        <v>573</v>
      </c>
      <c r="D1476" s="2" t="str">
        <f t="shared" si="22"/>
        <v>Error?</v>
      </c>
    </row>
    <row r="1477" spans="1:4" x14ac:dyDescent="0.2">
      <c r="A1477" s="5">
        <v>1416</v>
      </c>
      <c r="B1477" s="138">
        <f>'Expenditures 15-22'!K234</f>
        <v>52105</v>
      </c>
      <c r="C1477" s="2" t="s">
        <v>573</v>
      </c>
      <c r="D1477" s="2" t="str">
        <f t="shared" si="22"/>
        <v>Error?</v>
      </c>
    </row>
    <row r="1478" spans="1:4" x14ac:dyDescent="0.2">
      <c r="A1478" s="5">
        <v>1417</v>
      </c>
      <c r="B1478" s="138">
        <f>'Expenditures 15-22'!K235</f>
        <v>16387</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488255</v>
      </c>
      <c r="C1481" s="2" t="s">
        <v>573</v>
      </c>
      <c r="D1481" s="2" t="str">
        <f t="shared" si="22"/>
        <v>Error?</v>
      </c>
    </row>
    <row r="1482" spans="1:4" x14ac:dyDescent="0.2">
      <c r="A1482" s="5">
        <v>1421</v>
      </c>
      <c r="B1482" s="138">
        <f>'Expenditures 15-22'!K240</f>
        <v>29280</v>
      </c>
      <c r="C1482" s="2" t="s">
        <v>573</v>
      </c>
      <c r="D1482" s="2" t="str">
        <f t="shared" si="22"/>
        <v>Error?</v>
      </c>
    </row>
    <row r="1483" spans="1:4" x14ac:dyDescent="0.2">
      <c r="A1483" s="5">
        <v>1422</v>
      </c>
      <c r="B1483" s="138">
        <f>'Expenditures 15-22'!K241</f>
        <v>82762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112042</v>
      </c>
      <c r="C1485" s="2" t="s">
        <v>573</v>
      </c>
      <c r="D1485" s="2" t="str">
        <f t="shared" si="22"/>
        <v>Error?</v>
      </c>
    </row>
    <row r="1486" spans="1:4" x14ac:dyDescent="0.2">
      <c r="A1486" s="5">
        <v>1425</v>
      </c>
      <c r="B1486" s="138">
        <f>'Expenditures 15-22'!K245</f>
        <v>3283</v>
      </c>
      <c r="C1486" s="2" t="s">
        <v>573</v>
      </c>
      <c r="D1486" s="2" t="str">
        <f t="shared" si="22"/>
        <v>Error?</v>
      </c>
    </row>
    <row r="1487" spans="1:4" x14ac:dyDescent="0.2">
      <c r="A1487" s="5">
        <v>1426</v>
      </c>
      <c r="B1487" s="138">
        <f>'Expenditures 15-22'!K246</f>
        <v>21472</v>
      </c>
      <c r="C1487" s="2" t="s">
        <v>573</v>
      </c>
      <c r="D1487" s="2" t="str">
        <f t="shared" si="22"/>
        <v>Error?</v>
      </c>
    </row>
    <row r="1488" spans="1:4" x14ac:dyDescent="0.2">
      <c r="A1488" s="5">
        <v>1427</v>
      </c>
      <c r="B1488" s="138">
        <f>'Expenditures 15-22'!K257</f>
        <v>24755</v>
      </c>
      <c r="C1488" s="2" t="s">
        <v>573</v>
      </c>
      <c r="D1488" s="2" t="str">
        <f t="shared" si="22"/>
        <v>Error?</v>
      </c>
    </row>
    <row r="1489" spans="1:4" x14ac:dyDescent="0.2">
      <c r="A1489" s="5">
        <v>1428</v>
      </c>
      <c r="B1489" s="138">
        <f>'Expenditures 15-22'!K259</f>
        <v>27820</v>
      </c>
      <c r="C1489" s="2" t="s">
        <v>573</v>
      </c>
      <c r="D1489" s="2" t="str">
        <f t="shared" si="22"/>
        <v>Error?</v>
      </c>
    </row>
    <row r="1490" spans="1:4" x14ac:dyDescent="0.2">
      <c r="A1490" s="5">
        <v>1429</v>
      </c>
      <c r="B1490" s="138">
        <f>'Expenditures 15-22'!K260</f>
        <v>51076</v>
      </c>
      <c r="C1490" s="2" t="s">
        <v>573</v>
      </c>
      <c r="D1490" s="2" t="str">
        <f t="shared" si="22"/>
        <v>Error?</v>
      </c>
    </row>
    <row r="1491" spans="1:4" x14ac:dyDescent="0.2">
      <c r="A1491" s="5">
        <v>1430</v>
      </c>
      <c r="B1491" s="138">
        <f>'Expenditures 15-22'!K261</f>
        <v>78896</v>
      </c>
      <c r="C1491" s="2" t="s">
        <v>573</v>
      </c>
      <c r="D1491" s="2" t="str">
        <f t="shared" si="22"/>
        <v>Error?</v>
      </c>
    </row>
    <row r="1492" spans="1:4" x14ac:dyDescent="0.2">
      <c r="A1492" s="5">
        <v>1431</v>
      </c>
      <c r="B1492" s="138">
        <f>'Expenditures 15-22'!K263</f>
        <v>29208</v>
      </c>
      <c r="C1492" s="2" t="s">
        <v>573</v>
      </c>
      <c r="D1492" s="2" t="str">
        <f t="shared" si="22"/>
        <v>Error?</v>
      </c>
    </row>
    <row r="1493" spans="1:4" x14ac:dyDescent="0.2">
      <c r="A1493" s="5">
        <v>1432</v>
      </c>
      <c r="B1493" s="138">
        <f>'Expenditures 15-22'!K264</f>
        <v>76653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3500</v>
      </c>
      <c r="C1495" s="2" t="s">
        <v>573</v>
      </c>
      <c r="D1495" s="2" t="str">
        <f t="shared" si="22"/>
        <v>Error?</v>
      </c>
    </row>
    <row r="1496" spans="1:4" x14ac:dyDescent="0.2">
      <c r="A1496" s="5">
        <v>1435</v>
      </c>
      <c r="B1496" s="138">
        <f>'Expenditures 15-22'!K267</f>
        <v>18849</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128210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325007</v>
      </c>
      <c r="C1502" s="2" t="s">
        <v>573</v>
      </c>
      <c r="D1502" s="2" t="str">
        <f t="shared" si="22"/>
        <v>Error?</v>
      </c>
    </row>
    <row r="1503" spans="1:4" x14ac:dyDescent="0.2">
      <c r="A1503" s="5">
        <v>1442</v>
      </c>
      <c r="B1503" s="138">
        <f>'Expenditures 15-22'!K274</f>
        <v>257914</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26689</v>
      </c>
      <c r="C1506" s="2" t="s">
        <v>573</v>
      </c>
      <c r="D1506" s="2" t="str">
        <f t="shared" si="22"/>
        <v>Error?</v>
      </c>
    </row>
    <row r="1507" spans="1:4" x14ac:dyDescent="0.2">
      <c r="A1507" s="10">
        <v>1446</v>
      </c>
      <c r="D1507" s="2" t="str">
        <f t="shared" si="22"/>
        <v>OK</v>
      </c>
    </row>
    <row r="1508" spans="1:4" x14ac:dyDescent="0.2">
      <c r="A1508" s="5">
        <v>1447</v>
      </c>
      <c r="B1508" s="138">
        <f>'Expenditures 15-22'!K277</f>
        <v>609610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1441768</v>
      </c>
      <c r="C1510" s="2" t="s">
        <v>573</v>
      </c>
      <c r="D1510" s="2" t="str">
        <f t="shared" si="22"/>
        <v>Error?</v>
      </c>
    </row>
    <row r="1511" spans="1:4" x14ac:dyDescent="0.2">
      <c r="A1511" s="5">
        <v>1450</v>
      </c>
      <c r="B1511" s="138">
        <f>'Expenditures 15-22'!K280</f>
        <v>358461</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5044036</v>
      </c>
      <c r="C1517" s="2" t="s">
        <v>573</v>
      </c>
      <c r="D1517" s="2" t="str">
        <f t="shared" si="22"/>
        <v>Error?</v>
      </c>
    </row>
    <row r="1518" spans="1:4" x14ac:dyDescent="0.2">
      <c r="A1518" s="5">
        <v>1457</v>
      </c>
      <c r="B1518" s="138">
        <f>'Expenditures 15-22'!K296</f>
        <v>-1066253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14285561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14285561</v>
      </c>
      <c r="C1547" s="2" t="s">
        <v>573</v>
      </c>
      <c r="D1547" s="2" t="str">
        <f t="shared" si="23"/>
        <v>Error?</v>
      </c>
    </row>
    <row r="1548" spans="1:4" x14ac:dyDescent="0.2">
      <c r="A1548" s="5">
        <v>1487</v>
      </c>
      <c r="B1548" s="138">
        <f>'Expenditures 15-22'!G312</f>
        <v>14285561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14285561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14285561</v>
      </c>
      <c r="C1559" s="2" t="s">
        <v>573</v>
      </c>
      <c r="D1559" s="2" t="str">
        <f t="shared" si="23"/>
        <v>Error?</v>
      </c>
    </row>
    <row r="1560" spans="1:4" x14ac:dyDescent="0.2">
      <c r="A1560" s="5">
        <v>1499</v>
      </c>
      <c r="B1560" s="138">
        <f>'Expenditures 15-22'!K312</f>
        <v>14285561</v>
      </c>
      <c r="C1560" s="2" t="s">
        <v>573</v>
      </c>
      <c r="D1560" s="2" t="str">
        <f t="shared" si="23"/>
        <v>Error?</v>
      </c>
    </row>
    <row r="1561" spans="1:4" x14ac:dyDescent="0.2">
      <c r="A1561" s="5">
        <v>1500</v>
      </c>
      <c r="B1561" s="138">
        <f>'Expenditures 15-22'!K313</f>
        <v>-13888319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102455352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101168208</v>
      </c>
      <c r="C1630" s="2" t="s">
        <v>573</v>
      </c>
      <c r="D1630" s="2" t="str">
        <f t="shared" si="24"/>
        <v>Error?</v>
      </c>
    </row>
    <row r="1631" spans="1:4" x14ac:dyDescent="0.2">
      <c r="A1631" s="5">
        <v>1570</v>
      </c>
      <c r="B1631" s="138">
        <f>'Acct Summary 7-8'!D79</f>
        <v>28330823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22039408</v>
      </c>
      <c r="C1644" s="2" t="s">
        <v>573</v>
      </c>
      <c r="D1644" s="2" t="str">
        <f t="shared" si="24"/>
        <v>Error?</v>
      </c>
    </row>
    <row r="1645" spans="1:4" x14ac:dyDescent="0.2">
      <c r="A1645" s="5">
        <v>1584</v>
      </c>
      <c r="B1645" s="138">
        <f>'Acct Summary 7-8'!E79</f>
        <v>4221762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3795997</v>
      </c>
      <c r="C1658" s="2" t="s">
        <v>573</v>
      </c>
      <c r="D1658" s="2" t="str">
        <f t="shared" si="24"/>
        <v>Error?</v>
      </c>
    </row>
    <row r="1659" spans="1:4" x14ac:dyDescent="0.2">
      <c r="A1659" s="5">
        <v>1598</v>
      </c>
      <c r="B1659" s="138">
        <f>'Acct Summary 7-8'!F79</f>
        <v>2812503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4186918</v>
      </c>
      <c r="C1672" s="2" t="s">
        <v>573</v>
      </c>
      <c r="D1672" s="2" t="str">
        <f t="shared" si="25"/>
        <v>Error?</v>
      </c>
    </row>
    <row r="1673" spans="1:4" x14ac:dyDescent="0.2">
      <c r="A1673" s="5">
        <v>1612</v>
      </c>
      <c r="B1673" s="138">
        <f>'Acct Summary 7-8'!G79</f>
        <v>5637697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4571444</v>
      </c>
      <c r="C1686" s="2" t="s">
        <v>573</v>
      </c>
      <c r="D1686" s="2" t="str">
        <f t="shared" si="25"/>
        <v>Error?</v>
      </c>
    </row>
    <row r="1687" spans="1:4" x14ac:dyDescent="0.2">
      <c r="A1687" s="5">
        <v>1626</v>
      </c>
      <c r="B1687" s="138">
        <f>'Acct Summary 7-8'!H79</f>
        <v>13985561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60621326</v>
      </c>
      <c r="C1744" s="2" t="s">
        <v>573</v>
      </c>
      <c r="D1744" s="2" t="str">
        <f t="shared" si="26"/>
        <v>Error?</v>
      </c>
    </row>
    <row r="1745" spans="1:5" x14ac:dyDescent="0.2">
      <c r="A1745" s="5">
        <v>1684</v>
      </c>
      <c r="B1745" s="138">
        <f>'Tax Sched 23'!B5</f>
        <v>17191616</v>
      </c>
      <c r="C1745" s="2" t="s">
        <v>573</v>
      </c>
      <c r="D1745" s="2" t="str">
        <f t="shared" si="26"/>
        <v>Error?</v>
      </c>
    </row>
    <row r="1746" spans="1:5" x14ac:dyDescent="0.2">
      <c r="A1746" s="5">
        <v>1685</v>
      </c>
      <c r="B1746" s="138">
        <f>'Tax Sched 23'!B6</f>
        <v>4436114</v>
      </c>
      <c r="C1746" s="2" t="s">
        <v>573</v>
      </c>
      <c r="D1746" s="2" t="str">
        <f t="shared" si="26"/>
        <v>Error?</v>
      </c>
    </row>
    <row r="1747" spans="1:5" x14ac:dyDescent="0.2">
      <c r="A1747" s="5">
        <v>1686</v>
      </c>
      <c r="B1747" s="138">
        <f>'Tax Sched 23'!B7</f>
        <v>4549769</v>
      </c>
      <c r="C1747" s="2" t="s">
        <v>573</v>
      </c>
      <c r="D1747" s="2" t="str">
        <f t="shared" si="26"/>
        <v>Error?</v>
      </c>
    </row>
    <row r="1748" spans="1:5" x14ac:dyDescent="0.2">
      <c r="A1748" s="5">
        <v>1687</v>
      </c>
      <c r="B1748" s="138">
        <f>'Tax Sched 23'!B8</f>
        <v>2332704</v>
      </c>
      <c r="C1748" s="2" t="s">
        <v>573</v>
      </c>
      <c r="D1748" s="2" t="str">
        <f t="shared" si="26"/>
        <v>Error?</v>
      </c>
    </row>
    <row r="1749" spans="1:5" x14ac:dyDescent="0.2">
      <c r="A1749" s="5">
        <v>1688</v>
      </c>
      <c r="B1749" s="138">
        <f>'Tax Sched 23'!B10</f>
        <v>454621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9471</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3732577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94712730</v>
      </c>
      <c r="C1759" s="2" t="s">
        <v>573</v>
      </c>
      <c r="D1759" s="2" t="str">
        <f t="shared" si="26"/>
        <v>Error?</v>
      </c>
    </row>
    <row r="1760" spans="1:5" x14ac:dyDescent="0.2">
      <c r="A1760" s="5">
        <v>1699</v>
      </c>
      <c r="B1760" s="138">
        <f>'Tax Sched 23'!D4</f>
        <v>28278376</v>
      </c>
      <c r="C1760" s="2" t="s">
        <v>573</v>
      </c>
      <c r="D1760" s="2" t="str">
        <f t="shared" si="26"/>
        <v>Error?</v>
      </c>
    </row>
    <row r="1761" spans="1:5" x14ac:dyDescent="0.2">
      <c r="A1761" s="5">
        <v>1700</v>
      </c>
      <c r="B1761" s="138">
        <f>'Tax Sched 23'!D5</f>
        <v>7961029</v>
      </c>
      <c r="C1761" s="2" t="s">
        <v>573</v>
      </c>
      <c r="D1761" s="2" t="str">
        <f t="shared" si="26"/>
        <v>Error?</v>
      </c>
    </row>
    <row r="1762" spans="1:5" s="8" customFormat="1" x14ac:dyDescent="0.2">
      <c r="A1762" s="5">
        <v>1701</v>
      </c>
      <c r="B1762" s="138">
        <f>'Tax Sched 23'!D6</f>
        <v>2041290</v>
      </c>
      <c r="C1762" s="2" t="s">
        <v>573</v>
      </c>
      <c r="D1762" s="2" t="str">
        <f t="shared" si="26"/>
        <v>Error?</v>
      </c>
      <c r="E1762" s="9"/>
    </row>
    <row r="1763" spans="1:5" x14ac:dyDescent="0.2">
      <c r="A1763" s="5">
        <v>1702</v>
      </c>
      <c r="B1763" s="138">
        <f>'Tax Sched 23'!D7</f>
        <v>2093407</v>
      </c>
      <c r="C1763" s="2" t="s">
        <v>573</v>
      </c>
      <c r="D1763" s="2" t="str">
        <f t="shared" si="26"/>
        <v>Error?</v>
      </c>
    </row>
    <row r="1764" spans="1:5" x14ac:dyDescent="0.2">
      <c r="A1764" s="5">
        <v>1703</v>
      </c>
      <c r="B1764" s="138">
        <f>'Tax Sched 23'!D8</f>
        <v>1507079</v>
      </c>
      <c r="C1764" s="2" t="s">
        <v>573</v>
      </c>
      <c r="D1764" s="2" t="str">
        <f t="shared" si="26"/>
        <v>Error?</v>
      </c>
    </row>
    <row r="1765" spans="1:5" x14ac:dyDescent="0.2">
      <c r="A1765" s="5">
        <v>1704</v>
      </c>
      <c r="B1765" s="138">
        <f>'Tax Sched 23'!D10</f>
        <v>208472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4343</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542897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43431693</v>
      </c>
      <c r="C1775" s="2" t="s">
        <v>573</v>
      </c>
      <c r="D1775" s="2" t="str">
        <f t="shared" si="26"/>
        <v>Error?</v>
      </c>
    </row>
    <row r="1776" spans="1:5" x14ac:dyDescent="0.2">
      <c r="A1776" s="5">
        <v>1715</v>
      </c>
      <c r="B1776" s="138">
        <f>'Tax Sched 23'!C4</f>
        <v>32342950</v>
      </c>
      <c r="D1776" s="2" t="str">
        <f t="shared" si="26"/>
        <v>Error?</v>
      </c>
    </row>
    <row r="1777" spans="1:4" x14ac:dyDescent="0.2">
      <c r="A1777" s="5">
        <v>1716</v>
      </c>
      <c r="B1777" s="138">
        <f>'Tax Sched 23'!C5</f>
        <v>9230587</v>
      </c>
      <c r="D1777" s="2" t="str">
        <f t="shared" si="26"/>
        <v>Error?</v>
      </c>
    </row>
    <row r="1778" spans="1:4" x14ac:dyDescent="0.2">
      <c r="A1778" s="5">
        <v>1717</v>
      </c>
      <c r="B1778" s="138">
        <f>'Tax Sched 23'!C6</f>
        <v>2394824</v>
      </c>
      <c r="D1778" s="2" t="str">
        <f t="shared" si="26"/>
        <v>Error?</v>
      </c>
    </row>
    <row r="1779" spans="1:4" x14ac:dyDescent="0.2">
      <c r="A1779" s="5">
        <v>1718</v>
      </c>
      <c r="B1779" s="138">
        <f>'Tax Sched 23'!C7</f>
        <v>2456362</v>
      </c>
      <c r="D1779" s="2" t="str">
        <f t="shared" si="26"/>
        <v>Error?</v>
      </c>
    </row>
    <row r="1780" spans="1:4" x14ac:dyDescent="0.2">
      <c r="A1780" s="5">
        <v>1719</v>
      </c>
      <c r="B1780" s="138">
        <f>'Tax Sched 23'!C8</f>
        <v>825625</v>
      </c>
      <c r="D1780" s="2" t="str">
        <f t="shared" si="26"/>
        <v>Error?</v>
      </c>
    </row>
    <row r="1781" spans="1:4" x14ac:dyDescent="0.2">
      <c r="A1781" s="5">
        <v>1720</v>
      </c>
      <c r="B1781" s="138">
        <f>'Tax Sched 23'!C10</f>
        <v>246149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5128</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3189680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51281037</v>
      </c>
      <c r="C1791" s="2" t="s">
        <v>573</v>
      </c>
      <c r="D1791" s="2" t="str">
        <f t="shared" ref="D1791:D1854" si="27">IF(ISBLANK(B1791),"OK",IF(A1791-B1791=0,"OK","Error?"))</f>
        <v>Error?</v>
      </c>
    </row>
    <row r="1792" spans="1:4" x14ac:dyDescent="0.2">
      <c r="A1792" s="5">
        <v>1731</v>
      </c>
      <c r="B1792" s="138">
        <f>'Tax Sched 23'!F4</f>
        <v>33543618</v>
      </c>
      <c r="C1792" s="2" t="s">
        <v>573</v>
      </c>
      <c r="D1792" s="2" t="str">
        <f t="shared" si="27"/>
        <v>Error?</v>
      </c>
    </row>
    <row r="1793" spans="1:4" x14ac:dyDescent="0.2">
      <c r="A1793" s="5">
        <v>1732</v>
      </c>
      <c r="B1793" s="138">
        <f>'Tax Sched 23'!F5</f>
        <v>9569420</v>
      </c>
      <c r="C1793" s="2" t="s">
        <v>573</v>
      </c>
      <c r="D1793" s="2" t="str">
        <f t="shared" si="27"/>
        <v>Error?</v>
      </c>
    </row>
    <row r="1794" spans="1:4" x14ac:dyDescent="0.2">
      <c r="A1794" s="5">
        <v>1733</v>
      </c>
      <c r="B1794" s="138">
        <f>'Tax Sched 23'!F6</f>
        <v>2478591</v>
      </c>
      <c r="C1794" s="2" t="s">
        <v>573</v>
      </c>
      <c r="D1794" s="2" t="str">
        <f t="shared" si="27"/>
        <v>Error?</v>
      </c>
    </row>
    <row r="1795" spans="1:4" x14ac:dyDescent="0.2">
      <c r="A1795" s="5">
        <v>1734</v>
      </c>
      <c r="B1795" s="138">
        <f>'Tax Sched 23'!F7</f>
        <v>2543669</v>
      </c>
      <c r="C1795" s="2" t="s">
        <v>573</v>
      </c>
      <c r="D1795" s="2" t="str">
        <f t="shared" si="27"/>
        <v>Error?</v>
      </c>
    </row>
    <row r="1796" spans="1:4" x14ac:dyDescent="0.2">
      <c r="A1796" s="5">
        <v>1735</v>
      </c>
      <c r="B1796" s="138">
        <f>'Tax Sched 23'!F8</f>
        <v>859400</v>
      </c>
      <c r="C1796" s="2" t="s">
        <v>573</v>
      </c>
      <c r="D1796" s="2" t="str">
        <f t="shared" si="27"/>
        <v>Error?</v>
      </c>
    </row>
    <row r="1797" spans="1:4" x14ac:dyDescent="0.2">
      <c r="A1797" s="5">
        <v>1736</v>
      </c>
      <c r="B1797" s="138">
        <f>'Tax Sched 23'!F10</f>
        <v>253876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4890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3310353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53174383</v>
      </c>
      <c r="C1807" s="2" t="s">
        <v>573</v>
      </c>
      <c r="D1807" s="2" t="str">
        <f t="shared" si="27"/>
        <v>Error?</v>
      </c>
    </row>
    <row r="1808" spans="1:4" x14ac:dyDescent="0.2">
      <c r="A1808" s="5">
        <v>1747</v>
      </c>
      <c r="B1808" s="138">
        <f>'Tax Sched 23'!E4</f>
        <v>65886568</v>
      </c>
      <c r="D1808" s="2" t="str">
        <f t="shared" si="27"/>
        <v>Error?</v>
      </c>
    </row>
    <row r="1809" spans="1:4" x14ac:dyDescent="0.2">
      <c r="A1809" s="5">
        <v>1748</v>
      </c>
      <c r="B1809" s="138">
        <f>'Tax Sched 23'!E5</f>
        <v>18800007</v>
      </c>
      <c r="D1809" s="2" t="str">
        <f t="shared" si="27"/>
        <v>Error?</v>
      </c>
    </row>
    <row r="1810" spans="1:4" x14ac:dyDescent="0.2">
      <c r="A1810" s="5">
        <v>1749</v>
      </c>
      <c r="B1810" s="138">
        <f>'Tax Sched 23'!E6</f>
        <v>4873415</v>
      </c>
      <c r="D1810" s="2" t="str">
        <f t="shared" si="27"/>
        <v>Error?</v>
      </c>
    </row>
    <row r="1811" spans="1:4" x14ac:dyDescent="0.2">
      <c r="A1811" s="5">
        <v>1750</v>
      </c>
      <c r="B1811" s="138">
        <f>'Tax Sched 23'!E7</f>
        <v>5000031</v>
      </c>
      <c r="D1811" s="2" t="str">
        <f t="shared" si="27"/>
        <v>Error?</v>
      </c>
    </row>
    <row r="1812" spans="1:4" x14ac:dyDescent="0.2">
      <c r="A1812" s="5">
        <v>1751</v>
      </c>
      <c r="B1812" s="138">
        <f>'Tax Sched 23'!E8</f>
        <v>1685025</v>
      </c>
      <c r="D1812" s="2" t="str">
        <f t="shared" si="27"/>
        <v>Error?</v>
      </c>
    </row>
    <row r="1813" spans="1:4" x14ac:dyDescent="0.2">
      <c r="A1813" s="5">
        <v>1752</v>
      </c>
      <c r="B1813" s="138">
        <f>'Tax Sched 23'!E10</f>
        <v>500025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10018</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6500033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104455420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48426136</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3732577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3732577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3732577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878405</v>
      </c>
      <c r="D2008" s="2" t="str">
        <f t="shared" si="30"/>
        <v>Error?</v>
      </c>
    </row>
    <row r="2009" spans="1:4" x14ac:dyDescent="0.2">
      <c r="A2009" s="5">
        <v>1948</v>
      </c>
      <c r="B2009" s="138">
        <f>'Cap Outlay Deprec 26'!C8</f>
        <v>212678620</v>
      </c>
      <c r="D2009" s="2" t="str">
        <f t="shared" si="30"/>
        <v>Error?</v>
      </c>
    </row>
    <row r="2010" spans="1:4" x14ac:dyDescent="0.2">
      <c r="A2010" s="5">
        <v>1949</v>
      </c>
      <c r="B2010" s="138">
        <f>'Cap Outlay Deprec 26'!C10</f>
        <v>12577191</v>
      </c>
      <c r="D2010" s="2" t="str">
        <f t="shared" si="30"/>
        <v>Error?</v>
      </c>
    </row>
    <row r="2011" spans="1:4" x14ac:dyDescent="0.2">
      <c r="A2011" s="5">
        <v>1950</v>
      </c>
      <c r="B2011" s="138">
        <f>'Cap Outlay Deprec 26'!C12</f>
        <v>47687863</v>
      </c>
      <c r="D2011" s="2" t="str">
        <f t="shared" si="30"/>
        <v>Error?</v>
      </c>
    </row>
    <row r="2012" spans="1:4" x14ac:dyDescent="0.2">
      <c r="A2012" s="5">
        <v>1951</v>
      </c>
      <c r="B2012" s="138">
        <f>'Cap Outlay Deprec 26'!C13</f>
        <v>5848863</v>
      </c>
      <c r="D2012" s="2" t="str">
        <f t="shared" si="30"/>
        <v>Error?</v>
      </c>
    </row>
    <row r="2013" spans="1:4" x14ac:dyDescent="0.2">
      <c r="A2013" s="5">
        <v>1952</v>
      </c>
      <c r="B2013" s="138">
        <f>'Cap Outlay Deprec 26'!C16</f>
        <v>279670942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29238163</v>
      </c>
      <c r="D2015" s="2" t="str">
        <f t="shared" si="30"/>
        <v>Error?</v>
      </c>
    </row>
    <row r="2016" spans="1:4" x14ac:dyDescent="0.2">
      <c r="A2016" s="5">
        <v>1955</v>
      </c>
      <c r="B2016" s="138">
        <f>'Cap Outlay Deprec 26'!D10</f>
        <v>532050</v>
      </c>
      <c r="D2016" s="2" t="str">
        <f t="shared" si="30"/>
        <v>Error?</v>
      </c>
    </row>
    <row r="2017" spans="1:4" x14ac:dyDescent="0.2">
      <c r="A2017" s="5">
        <v>1956</v>
      </c>
      <c r="B2017" s="138">
        <f>'Cap Outlay Deprec 26'!D12</f>
        <v>3885808</v>
      </c>
      <c r="D2017" s="2" t="str">
        <f t="shared" si="30"/>
        <v>Error?</v>
      </c>
    </row>
    <row r="2018" spans="1:4" x14ac:dyDescent="0.2">
      <c r="A2018" s="5">
        <v>1957</v>
      </c>
      <c r="B2018" s="138">
        <f>'Cap Outlay Deprec 26'!D13</f>
        <v>107412</v>
      </c>
      <c r="D2018" s="2" t="str">
        <f t="shared" si="30"/>
        <v>Error?</v>
      </c>
    </row>
    <row r="2019" spans="1:4" x14ac:dyDescent="0.2">
      <c r="A2019" s="5">
        <v>1958</v>
      </c>
      <c r="B2019" s="138">
        <f>'Cap Outlay Deprec 26'!D16</f>
        <v>33763433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878405</v>
      </c>
      <c r="C2026" s="2" t="s">
        <v>573</v>
      </c>
      <c r="D2026" s="2" t="str">
        <f t="shared" si="30"/>
        <v>Error?</v>
      </c>
    </row>
    <row r="2027" spans="1:4" x14ac:dyDescent="0.2">
      <c r="A2027" s="5">
        <v>1966</v>
      </c>
      <c r="B2027" s="138">
        <f>'Cap Outlay Deprec 26'!F8</f>
        <v>241916783</v>
      </c>
      <c r="C2027" s="2" t="s">
        <v>573</v>
      </c>
      <c r="D2027" s="2" t="str">
        <f t="shared" si="30"/>
        <v>Error?</v>
      </c>
    </row>
    <row r="2028" spans="1:4" x14ac:dyDescent="0.2">
      <c r="A2028" s="5">
        <v>1967</v>
      </c>
      <c r="B2028" s="138">
        <f>'Cap Outlay Deprec 26'!F10</f>
        <v>13109241</v>
      </c>
      <c r="C2028" s="2" t="s">
        <v>573</v>
      </c>
      <c r="D2028" s="2" t="str">
        <f t="shared" si="30"/>
        <v>Error?</v>
      </c>
    </row>
    <row r="2029" spans="1:4" x14ac:dyDescent="0.2">
      <c r="A2029" s="5">
        <v>1968</v>
      </c>
      <c r="B2029" s="138">
        <f>'Cap Outlay Deprec 26'!F12</f>
        <v>51573671</v>
      </c>
      <c r="C2029" s="2" t="s">
        <v>573</v>
      </c>
      <c r="D2029" s="2" t="str">
        <f t="shared" si="30"/>
        <v>Error?</v>
      </c>
    </row>
    <row r="2030" spans="1:4" x14ac:dyDescent="0.2">
      <c r="A2030" s="5">
        <v>1969</v>
      </c>
      <c r="B2030" s="138">
        <f>'Cap Outlay Deprec 26'!F13</f>
        <v>5956275</v>
      </c>
      <c r="C2030" s="2" t="s">
        <v>573</v>
      </c>
      <c r="D2030" s="2" t="str">
        <f t="shared" si="30"/>
        <v>Error?</v>
      </c>
    </row>
    <row r="2031" spans="1:4" x14ac:dyDescent="0.2">
      <c r="A2031" s="5">
        <v>1970</v>
      </c>
      <c r="B2031" s="138">
        <f>'Cap Outlay Deprec 26'!F16</f>
        <v>313434375</v>
      </c>
      <c r="C2031" s="2" t="s">
        <v>573</v>
      </c>
      <c r="D2031" s="2" t="str">
        <f t="shared" si="30"/>
        <v>Error?</v>
      </c>
    </row>
    <row r="2032" spans="1:4" x14ac:dyDescent="0.2">
      <c r="A2032" s="10">
        <v>1971</v>
      </c>
      <c r="D2032" s="2" t="str">
        <f t="shared" si="30"/>
        <v>OK</v>
      </c>
    </row>
    <row r="2033" spans="1:4" x14ac:dyDescent="0.2">
      <c r="A2033" s="5">
        <v>1972</v>
      </c>
      <c r="B2033" s="138">
        <f>'Cap Outlay Deprec 26'!H8</f>
        <v>52952690</v>
      </c>
      <c r="D2033" s="2" t="str">
        <f t="shared" si="30"/>
        <v>Error?</v>
      </c>
    </row>
    <row r="2034" spans="1:4" x14ac:dyDescent="0.2">
      <c r="A2034" s="5">
        <v>1973</v>
      </c>
      <c r="B2034" s="138">
        <f>'Cap Outlay Deprec 26'!H10</f>
        <v>8903271</v>
      </c>
      <c r="D2034" s="2" t="str">
        <f t="shared" si="30"/>
        <v>Error?</v>
      </c>
    </row>
    <row r="2035" spans="1:4" x14ac:dyDescent="0.2">
      <c r="A2035" s="5">
        <v>1974</v>
      </c>
      <c r="B2035" s="138">
        <f>'Cap Outlay Deprec 26'!H12</f>
        <v>34263753</v>
      </c>
      <c r="D2035" s="2" t="str">
        <f t="shared" si="30"/>
        <v>Error?</v>
      </c>
    </row>
    <row r="2036" spans="1:4" x14ac:dyDescent="0.2">
      <c r="A2036" s="5">
        <v>1975</v>
      </c>
      <c r="B2036" s="138">
        <f>'Cap Outlay Deprec 26'!H13</f>
        <v>5578608</v>
      </c>
      <c r="D2036" s="2" t="str">
        <f t="shared" si="30"/>
        <v>Error?</v>
      </c>
    </row>
    <row r="2037" spans="1:4" x14ac:dyDescent="0.2">
      <c r="A2037" s="5">
        <v>1976</v>
      </c>
      <c r="B2037" s="138">
        <f>'Cap Outlay Deprec 26'!H16</f>
        <v>101698322</v>
      </c>
      <c r="C2037" s="2" t="s">
        <v>573</v>
      </c>
      <c r="D2037" s="2" t="str">
        <f t="shared" si="30"/>
        <v>Error?</v>
      </c>
    </row>
    <row r="2038" spans="1:4" x14ac:dyDescent="0.2">
      <c r="A2038" s="10">
        <v>1977</v>
      </c>
      <c r="D2038" s="2" t="str">
        <f t="shared" si="30"/>
        <v>OK</v>
      </c>
    </row>
    <row r="2039" spans="1:4" x14ac:dyDescent="0.2">
      <c r="A2039" s="5">
        <v>1978</v>
      </c>
      <c r="B2039" s="138">
        <f>'Cap Outlay Deprec 26'!I8</f>
        <v>4158537</v>
      </c>
      <c r="D2039" s="2" t="str">
        <f t="shared" si="30"/>
        <v>Error?</v>
      </c>
    </row>
    <row r="2040" spans="1:4" x14ac:dyDescent="0.2">
      <c r="A2040" s="5">
        <v>1979</v>
      </c>
      <c r="B2040" s="138">
        <f>'Cap Outlay Deprec 26'!I10</f>
        <v>431127</v>
      </c>
      <c r="D2040" s="2" t="str">
        <f t="shared" si="30"/>
        <v>Error?</v>
      </c>
    </row>
    <row r="2041" spans="1:4" x14ac:dyDescent="0.2">
      <c r="A2041" s="5">
        <v>1980</v>
      </c>
      <c r="B2041" s="138">
        <f>'Cap Outlay Deprec 26'!I12</f>
        <v>2621779</v>
      </c>
      <c r="D2041" s="2" t="str">
        <f t="shared" si="30"/>
        <v>Error?</v>
      </c>
    </row>
    <row r="2042" spans="1:4" x14ac:dyDescent="0.2">
      <c r="A2042" s="5">
        <v>1981</v>
      </c>
      <c r="B2042" s="138">
        <f>'Cap Outlay Deprec 26'!I13</f>
        <v>98035</v>
      </c>
      <c r="D2042" s="2" t="str">
        <f t="shared" si="30"/>
        <v>Error?</v>
      </c>
    </row>
    <row r="2043" spans="1:4" x14ac:dyDescent="0.2">
      <c r="A2043" s="5">
        <v>1982</v>
      </c>
      <c r="B2043" s="138">
        <f>'Cap Outlay Deprec 26'!I16</f>
        <v>7309478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57111227</v>
      </c>
      <c r="C2051" s="2" t="s">
        <v>573</v>
      </c>
      <c r="D2051" s="2" t="str">
        <f t="shared" si="31"/>
        <v>Error?</v>
      </c>
    </row>
    <row r="2052" spans="1:4" x14ac:dyDescent="0.2">
      <c r="A2052" s="5">
        <v>1991</v>
      </c>
      <c r="B2052" s="138">
        <f>'Cap Outlay Deprec 26'!K10</f>
        <v>9334398</v>
      </c>
      <c r="C2052" s="2" t="s">
        <v>573</v>
      </c>
      <c r="D2052" s="2" t="str">
        <f t="shared" si="31"/>
        <v>Error?</v>
      </c>
    </row>
    <row r="2053" spans="1:4" x14ac:dyDescent="0.2">
      <c r="A2053" s="5">
        <v>1992</v>
      </c>
      <c r="B2053" s="138">
        <f>'Cap Outlay Deprec 26'!K12</f>
        <v>36885532</v>
      </c>
      <c r="C2053" s="2" t="s">
        <v>573</v>
      </c>
      <c r="D2053" s="2" t="str">
        <f t="shared" si="31"/>
        <v>Error?</v>
      </c>
    </row>
    <row r="2054" spans="1:4" x14ac:dyDescent="0.2">
      <c r="A2054" s="5">
        <v>1993</v>
      </c>
      <c r="B2054" s="138">
        <f>'Cap Outlay Deprec 26'!K13</f>
        <v>5676643</v>
      </c>
      <c r="C2054" s="2" t="s">
        <v>573</v>
      </c>
      <c r="D2054" s="2" t="str">
        <f t="shared" si="31"/>
        <v>Error?</v>
      </c>
    </row>
    <row r="2055" spans="1:4" x14ac:dyDescent="0.2">
      <c r="A2055" s="5">
        <v>1994</v>
      </c>
      <c r="B2055" s="138">
        <f>'Cap Outlay Deprec 26'!K16</f>
        <v>109007800</v>
      </c>
      <c r="C2055" s="2" t="s">
        <v>573</v>
      </c>
      <c r="D2055" s="2" t="str">
        <f t="shared" si="31"/>
        <v>Error?</v>
      </c>
    </row>
    <row r="2056" spans="1:4" x14ac:dyDescent="0.2">
      <c r="A2056" s="5">
        <v>1995</v>
      </c>
      <c r="B2056" s="138">
        <f>'Cap Outlay Deprec 26'!L5</f>
        <v>878405</v>
      </c>
      <c r="C2056" s="2" t="s">
        <v>573</v>
      </c>
      <c r="D2056" s="2" t="str">
        <f t="shared" si="31"/>
        <v>Error?</v>
      </c>
    </row>
    <row r="2057" spans="1:4" x14ac:dyDescent="0.2">
      <c r="A2057" s="5">
        <v>1996</v>
      </c>
      <c r="B2057" s="138">
        <f>'Cap Outlay Deprec 26'!L8</f>
        <v>184805556</v>
      </c>
      <c r="C2057" s="2" t="s">
        <v>573</v>
      </c>
      <c r="D2057" s="2" t="str">
        <f t="shared" si="31"/>
        <v>Error?</v>
      </c>
    </row>
    <row r="2058" spans="1:4" x14ac:dyDescent="0.2">
      <c r="A2058" s="5">
        <v>1997</v>
      </c>
      <c r="B2058" s="138">
        <f>'Cap Outlay Deprec 26'!L10</f>
        <v>3774843</v>
      </c>
      <c r="C2058" s="2" t="s">
        <v>573</v>
      </c>
      <c r="D2058" s="2" t="str">
        <f t="shared" si="31"/>
        <v>Error?</v>
      </c>
    </row>
    <row r="2059" spans="1:4" x14ac:dyDescent="0.2">
      <c r="A2059" s="5">
        <v>1998</v>
      </c>
      <c r="B2059" s="138">
        <f>'Cap Outlay Deprec 26'!L12</f>
        <v>14688139</v>
      </c>
      <c r="C2059" s="2" t="s">
        <v>573</v>
      </c>
      <c r="D2059" s="2" t="str">
        <f t="shared" si="31"/>
        <v>Error?</v>
      </c>
    </row>
    <row r="2060" spans="1:4" x14ac:dyDescent="0.2">
      <c r="A2060" s="5">
        <v>1999</v>
      </c>
      <c r="B2060" s="138">
        <f>'Cap Outlay Deprec 26'!L13</f>
        <v>279632</v>
      </c>
      <c r="C2060" s="2" t="s">
        <v>573</v>
      </c>
      <c r="D2060" s="2" t="str">
        <f t="shared" si="31"/>
        <v>Error?</v>
      </c>
    </row>
    <row r="2061" spans="1:4" x14ac:dyDescent="0.2">
      <c r="A2061" s="5">
        <v>2000</v>
      </c>
      <c r="B2061" s="138">
        <f>'Cap Outlay Deprec 26'!L16</f>
        <v>204426575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596522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4213828</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172438</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72275781</v>
      </c>
      <c r="C2551" s="2" t="s">
        <v>573</v>
      </c>
      <c r="D2551" s="2" t="str">
        <f t="shared" si="38"/>
        <v>Error?</v>
      </c>
    </row>
    <row r="2552" spans="1:4" x14ac:dyDescent="0.2">
      <c r="A2552" s="10">
        <v>2491</v>
      </c>
      <c r="D2552" s="2" t="str">
        <f t="shared" si="38"/>
        <v>OK</v>
      </c>
    </row>
    <row r="2553" spans="1:4" x14ac:dyDescent="0.2">
      <c r="A2553" s="5">
        <v>2492</v>
      </c>
      <c r="B2553" s="138">
        <f>'Acct Summary 7-8'!C6</f>
        <v>4079279</v>
      </c>
      <c r="C2553" s="2" t="s">
        <v>573</v>
      </c>
      <c r="D2553" s="2" t="str">
        <f t="shared" si="38"/>
        <v>Error?</v>
      </c>
    </row>
    <row r="2554" spans="1:4" x14ac:dyDescent="0.2">
      <c r="A2554" s="5">
        <v>2493</v>
      </c>
      <c r="B2554" s="138">
        <f>'Acct Summary 7-8'!C7</f>
        <v>1479483</v>
      </c>
      <c r="C2554" s="2" t="s">
        <v>573</v>
      </c>
      <c r="D2554" s="2" t="str">
        <f t="shared" si="38"/>
        <v>Error?</v>
      </c>
    </row>
    <row r="2555" spans="1:4" x14ac:dyDescent="0.2">
      <c r="A2555" s="5">
        <v>2494</v>
      </c>
      <c r="B2555" s="138">
        <f>'Acct Summary 7-8'!C8</f>
        <v>77834543</v>
      </c>
      <c r="C2555" s="2" t="s">
        <v>573</v>
      </c>
      <c r="D2555" s="2" t="str">
        <f t="shared" si="38"/>
        <v>Error?</v>
      </c>
    </row>
    <row r="2556" spans="1:4" x14ac:dyDescent="0.2">
      <c r="A2556" s="5">
        <v>2495</v>
      </c>
      <c r="B2556" s="138">
        <f>'Acct Summary 7-8'!C12</f>
        <v>49273482</v>
      </c>
      <c r="C2556" s="2" t="s">
        <v>573</v>
      </c>
      <c r="D2556" s="2" t="str">
        <f t="shared" si="38"/>
        <v>Error?</v>
      </c>
    </row>
    <row r="2557" spans="1:4" x14ac:dyDescent="0.2">
      <c r="A2557" s="5">
        <v>2496</v>
      </c>
      <c r="B2557" s="138">
        <f>'Acct Summary 7-8'!C13</f>
        <v>21617606</v>
      </c>
      <c r="C2557" s="2" t="s">
        <v>573</v>
      </c>
      <c r="D2557" s="2" t="str">
        <f t="shared" si="38"/>
        <v>Error?</v>
      </c>
    </row>
    <row r="2558" spans="1:4" x14ac:dyDescent="0.2">
      <c r="A2558" s="5">
        <v>2497</v>
      </c>
      <c r="B2558" s="138">
        <f>'Acct Summary 7-8'!C14</f>
        <v>2575470</v>
      </c>
      <c r="C2558" s="2" t="s">
        <v>573</v>
      </c>
      <c r="D2558" s="2" t="str">
        <f t="shared" si="38"/>
        <v>Error?</v>
      </c>
    </row>
    <row r="2559" spans="1:4" x14ac:dyDescent="0.2">
      <c r="A2559" s="5">
        <v>2498</v>
      </c>
      <c r="B2559" s="138">
        <f>'Acct Summary 7-8'!C15</f>
        <v>4258964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77725522</v>
      </c>
      <c r="C2561" s="2" t="s">
        <v>573</v>
      </c>
      <c r="D2561" s="2" t="str">
        <f t="shared" si="39"/>
        <v>Error?</v>
      </c>
    </row>
    <row r="2562" spans="1:4" x14ac:dyDescent="0.2">
      <c r="A2562" s="5">
        <v>2501</v>
      </c>
      <c r="B2562" s="138">
        <f>'Acct Summary 7-8'!C20</f>
        <v>109021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17832541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17832541</v>
      </c>
      <c r="C2568" s="2" t="s">
        <v>573</v>
      </c>
      <c r="D2568" s="2" t="str">
        <f t="shared" si="39"/>
        <v>Error?</v>
      </c>
    </row>
    <row r="2569" spans="1:4" x14ac:dyDescent="0.2">
      <c r="A2569" s="5">
        <v>2508</v>
      </c>
      <c r="B2569" s="138">
        <f>'Acct Summary 7-8'!D13</f>
        <v>25857572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25857572</v>
      </c>
      <c r="C2573" s="2" t="s">
        <v>573</v>
      </c>
      <c r="D2573" s="2" t="str">
        <f t="shared" si="39"/>
        <v>Error?</v>
      </c>
    </row>
    <row r="2574" spans="1:4" x14ac:dyDescent="0.2">
      <c r="A2574" s="5">
        <v>2513</v>
      </c>
      <c r="B2574" s="138">
        <f>'Acct Summary 7-8'!D20</f>
        <v>-8025031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4598774</v>
      </c>
      <c r="C2591" s="2" t="s">
        <v>573</v>
      </c>
      <c r="D2591" s="2" t="str">
        <f t="shared" si="39"/>
        <v>Error?</v>
      </c>
    </row>
    <row r="2592" spans="1:4" x14ac:dyDescent="0.2">
      <c r="A2592" s="10">
        <v>2531</v>
      </c>
      <c r="D2592" s="2" t="str">
        <f t="shared" si="39"/>
        <v>OK</v>
      </c>
    </row>
    <row r="2593" spans="1:4" x14ac:dyDescent="0.2">
      <c r="A2593" s="5">
        <v>2532</v>
      </c>
      <c r="B2593" s="138">
        <f>'Acct Summary 7-8'!F6</f>
        <v>1674537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6273311</v>
      </c>
      <c r="C2595" s="2" t="s">
        <v>573</v>
      </c>
      <c r="D2595" s="2" t="str">
        <f t="shared" si="39"/>
        <v>Error?</v>
      </c>
    </row>
    <row r="2596" spans="1:4" x14ac:dyDescent="0.2">
      <c r="A2596" s="5">
        <v>2535</v>
      </c>
      <c r="B2596" s="138">
        <f>'Acct Summary 7-8'!F13</f>
        <v>4849891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4849891</v>
      </c>
      <c r="C2600" s="2" t="s">
        <v>573</v>
      </c>
      <c r="D2600" s="2" t="str">
        <f t="shared" si="39"/>
        <v>Error?</v>
      </c>
    </row>
    <row r="2601" spans="1:4" x14ac:dyDescent="0.2">
      <c r="A2601" s="5">
        <v>2540</v>
      </c>
      <c r="B2601" s="138">
        <f>'Acct Summary 7-8'!F20</f>
        <v>1423420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3977783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3977783</v>
      </c>
      <c r="C2606" s="2" t="s">
        <v>573</v>
      </c>
      <c r="D2606" s="2" t="str">
        <f t="shared" si="39"/>
        <v>Error?</v>
      </c>
    </row>
    <row r="2607" spans="1:4" x14ac:dyDescent="0.2">
      <c r="A2607" s="5">
        <v>2546</v>
      </c>
      <c r="B2607" s="138">
        <f>'Acct Summary 7-8'!G12</f>
        <v>3241205</v>
      </c>
      <c r="C2607" s="2" t="s">
        <v>573</v>
      </c>
      <c r="D2607" s="2" t="str">
        <f t="shared" si="39"/>
        <v>Error?</v>
      </c>
    </row>
    <row r="2608" spans="1:4" x14ac:dyDescent="0.2">
      <c r="A2608" s="5">
        <v>2547</v>
      </c>
      <c r="B2608" s="138">
        <f>'Acct Summary 7-8'!G13</f>
        <v>1441768</v>
      </c>
      <c r="C2608" s="2" t="s">
        <v>573</v>
      </c>
      <c r="D2608" s="2" t="str">
        <f t="shared" si="39"/>
        <v>Error?</v>
      </c>
    </row>
    <row r="2609" spans="1:4" x14ac:dyDescent="0.2">
      <c r="A2609" s="5">
        <v>2548</v>
      </c>
      <c r="B2609" s="138">
        <f>'Acct Summary 7-8'!G14</f>
        <v>358461</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5044036</v>
      </c>
      <c r="C2612" s="2" t="s">
        <v>573</v>
      </c>
      <c r="D2612" s="2" t="str">
        <f t="shared" si="39"/>
        <v>Error?</v>
      </c>
    </row>
    <row r="2613" spans="1:4" x14ac:dyDescent="0.2">
      <c r="A2613" s="5">
        <v>2552</v>
      </c>
      <c r="B2613" s="138">
        <f>'Acct Summary 7-8'!G20</f>
        <v>-1066253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4497567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4497567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4922730</v>
      </c>
      <c r="C2634" s="2" t="s">
        <v>573</v>
      </c>
      <c r="D2634" s="2" t="str">
        <f t="shared" si="40"/>
        <v>Error?</v>
      </c>
    </row>
    <row r="2635" spans="1:4" x14ac:dyDescent="0.2">
      <c r="A2635" s="5">
        <v>2574</v>
      </c>
      <c r="B2635" s="138">
        <f>'Acct Summary 7-8'!E17</f>
        <v>4922730</v>
      </c>
      <c r="C2635" s="2" t="s">
        <v>573</v>
      </c>
      <c r="D2635" s="2" t="str">
        <f t="shared" si="40"/>
        <v>Error?</v>
      </c>
    </row>
    <row r="2636" spans="1:4" x14ac:dyDescent="0.2">
      <c r="A2636" s="5">
        <v>2575</v>
      </c>
      <c r="B2636" s="138">
        <f>'Acct Summary 7-8'!E20</f>
        <v>-425163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397242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397242</v>
      </c>
      <c r="C2658" s="2" t="s">
        <v>573</v>
      </c>
      <c r="D2658" s="2" t="str">
        <f t="shared" si="40"/>
        <v>Error?</v>
      </c>
    </row>
    <row r="2659" spans="1:4" x14ac:dyDescent="0.2">
      <c r="A2659" s="5">
        <v>2598</v>
      </c>
      <c r="B2659" s="138">
        <f>'Acct Summary 7-8'!H13</f>
        <v>14285561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14285561</v>
      </c>
      <c r="C2661" s="2" t="s">
        <v>573</v>
      </c>
      <c r="D2661" s="2" t="str">
        <f t="shared" si="40"/>
        <v>Error?</v>
      </c>
    </row>
    <row r="2662" spans="1:4" x14ac:dyDescent="0.2">
      <c r="A2662" s="5">
        <v>2601</v>
      </c>
      <c r="B2662" s="138">
        <f>'Acct Summary 7-8'!H20</f>
        <v>-13888319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1553878</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3617306</v>
      </c>
      <c r="C2789" s="2" t="s">
        <v>573</v>
      </c>
      <c r="D2789" s="2" t="str">
        <f t="shared" si="42"/>
        <v>Error?</v>
      </c>
    </row>
    <row r="2790" spans="1:4" x14ac:dyDescent="0.2">
      <c r="A2790" s="5">
        <v>2729</v>
      </c>
      <c r="B2790" s="138">
        <f>'Expenditures 15-22'!E102</f>
        <v>3617306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1335314</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61453</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49005</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97242</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10821836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2840358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10821836</v>
      </c>
      <c r="D2912" s="2" t="str">
        <f t="shared" si="44"/>
        <v>Error?</v>
      </c>
    </row>
    <row r="2913" spans="1:4" x14ac:dyDescent="0.2">
      <c r="A2913" s="5">
        <v>2852</v>
      </c>
      <c r="B2913" s="138">
        <f>'Assets-Liab 5-6'!I41</f>
        <v>10821836</v>
      </c>
      <c r="C2913" s="2" t="s">
        <v>573</v>
      </c>
      <c r="D2913" s="2" t="str">
        <f t="shared" si="44"/>
        <v>Error?</v>
      </c>
    </row>
    <row r="2914" spans="1:4" x14ac:dyDescent="0.2">
      <c r="A2914" s="5">
        <v>2853</v>
      </c>
      <c r="B2914" s="138">
        <f>'Assets-Liab 5-6'!L33</f>
        <v>2840358</v>
      </c>
      <c r="D2914" s="2" t="str">
        <f t="shared" si="44"/>
        <v>Error?</v>
      </c>
    </row>
    <row r="2915" spans="1:4" x14ac:dyDescent="0.2">
      <c r="A2915" s="10">
        <v>2854</v>
      </c>
      <c r="D2915" s="2" t="str">
        <f t="shared" si="44"/>
        <v>OK</v>
      </c>
    </row>
    <row r="2916" spans="1:4" x14ac:dyDescent="0.2">
      <c r="A2916" s="5">
        <v>2855</v>
      </c>
      <c r="B2916" s="138">
        <f>'Assets-Liab 5-6'!L34</f>
        <v>2840358</v>
      </c>
      <c r="C2916" s="2" t="s">
        <v>573</v>
      </c>
      <c r="D2916" s="2" t="str">
        <f t="shared" si="44"/>
        <v>Error?</v>
      </c>
    </row>
    <row r="2917" spans="1:4" x14ac:dyDescent="0.2">
      <c r="A2917" s="5">
        <v>2856</v>
      </c>
      <c r="B2917" s="138">
        <f>'Assets-Liab 5-6'!L41</f>
        <v>2840358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3617306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596522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4213828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627059</v>
      </c>
      <c r="C3225" s="2" t="s">
        <v>573</v>
      </c>
      <c r="D3225" s="2" t="str">
        <f t="shared" si="49"/>
        <v>Error?</v>
      </c>
    </row>
    <row r="3226" spans="1:4" x14ac:dyDescent="0.2">
      <c r="A3226" s="5">
        <v>3165</v>
      </c>
      <c r="B3226" s="138">
        <f>'Acct Summary 7-8'!I8</f>
        <v>627059</v>
      </c>
      <c r="C3226" s="2" t="s">
        <v>573</v>
      </c>
      <c r="D3226" s="2" t="str">
        <f t="shared" si="49"/>
        <v>Error?</v>
      </c>
    </row>
    <row r="3227" spans="1:4" x14ac:dyDescent="0.2">
      <c r="A3227" s="5">
        <v>3166</v>
      </c>
      <c r="B3227" s="138">
        <f>'Acct Summary 7-8'!I20</f>
        <v>627059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1396165</v>
      </c>
      <c r="C3231" s="2" t="s">
        <v>573</v>
      </c>
      <c r="D3231" s="2" t="str">
        <f t="shared" si="49"/>
        <v>Error?</v>
      </c>
    </row>
    <row r="3232" spans="1:4" x14ac:dyDescent="0.2">
      <c r="A3232" s="5">
        <v>3171</v>
      </c>
      <c r="B3232" s="138">
        <f>'Acct Summary 7-8'!C77</f>
        <v>-1396165</v>
      </c>
      <c r="C3232" s="2" t="s">
        <v>573</v>
      </c>
      <c r="D3232" s="2" t="str">
        <f t="shared" si="49"/>
        <v>Error?</v>
      </c>
    </row>
    <row r="3233" spans="1:4" x14ac:dyDescent="0.2">
      <c r="A3233" s="5">
        <v>3172</v>
      </c>
      <c r="B3233" s="138">
        <f>'Acct Summary 7-8'!C78</f>
        <v>-1287144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1733616</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1733616</v>
      </c>
      <c r="C3238" s="2" t="s">
        <v>573</v>
      </c>
      <c r="D3238" s="2" t="str">
        <f t="shared" si="49"/>
        <v>Error?</v>
      </c>
    </row>
    <row r="3239" spans="1:4" x14ac:dyDescent="0.2">
      <c r="A3239" s="5">
        <v>3178</v>
      </c>
      <c r="B3239" s="138">
        <f>'Acct Summary 7-8'!D78</f>
        <v>-6291415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49005</v>
      </c>
      <c r="C3254" s="2" t="s">
        <v>573</v>
      </c>
      <c r="D3254" s="2" t="str">
        <f t="shared" si="49"/>
        <v>Error?</v>
      </c>
    </row>
    <row r="3255" spans="1:4" x14ac:dyDescent="0.2">
      <c r="A3255" s="5">
        <v>3194</v>
      </c>
      <c r="B3255" s="138">
        <f>'Acct Summary 7-8'!F77</f>
        <v>-49005</v>
      </c>
      <c r="C3255" s="2" t="s">
        <v>573</v>
      </c>
      <c r="D3255" s="2" t="str">
        <f t="shared" si="49"/>
        <v>Error?</v>
      </c>
    </row>
    <row r="3256" spans="1:4" x14ac:dyDescent="0.2">
      <c r="A3256" s="5">
        <v>3195</v>
      </c>
      <c r="B3256" s="138">
        <f>'Acct Summary 7-8'!F78</f>
        <v>1374415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-1066253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60851</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61453</v>
      </c>
      <c r="C3276" s="2" t="s">
        <v>573</v>
      </c>
      <c r="D3276" s="2" t="str">
        <f t="shared" si="50"/>
        <v>Error?</v>
      </c>
    </row>
    <row r="3277" spans="1:4" x14ac:dyDescent="0.2">
      <c r="A3277" s="5">
        <v>3216</v>
      </c>
      <c r="B3277" s="138">
        <f>'Acct Summary 7-8'!E77</f>
        <v>-602</v>
      </c>
      <c r="C3277" s="2" t="s">
        <v>573</v>
      </c>
      <c r="D3277" s="2" t="str">
        <f t="shared" si="50"/>
        <v>Error?</v>
      </c>
    </row>
    <row r="3278" spans="1:4" x14ac:dyDescent="0.2">
      <c r="A3278" s="5">
        <v>3217</v>
      </c>
      <c r="B3278" s="138">
        <f>'Acct Summary 7-8'!E78</f>
        <v>-425765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97242</v>
      </c>
      <c r="C3298" s="2" t="s">
        <v>573</v>
      </c>
      <c r="D3298" s="2" t="str">
        <f t="shared" si="50"/>
        <v>Error?</v>
      </c>
    </row>
    <row r="3299" spans="1:4" x14ac:dyDescent="0.2">
      <c r="A3299" s="5">
        <v>3238</v>
      </c>
      <c r="B3299" s="138">
        <f>'Acct Summary 7-8'!H77</f>
        <v>-97242</v>
      </c>
      <c r="C3299" s="2" t="s">
        <v>573</v>
      </c>
      <c r="D3299" s="2" t="str">
        <f t="shared" si="50"/>
        <v>Error?</v>
      </c>
    </row>
    <row r="3300" spans="1:4" x14ac:dyDescent="0.2">
      <c r="A3300" s="5">
        <v>3239</v>
      </c>
      <c r="B3300" s="138">
        <f>'Acct Summary 7-8'!H78</f>
        <v>-13985561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172438</v>
      </c>
      <c r="C3318" s="2" t="s">
        <v>573</v>
      </c>
      <c r="D3318" s="2" t="str">
        <f t="shared" si="50"/>
        <v>Error?</v>
      </c>
    </row>
    <row r="3319" spans="1:4" x14ac:dyDescent="0.2">
      <c r="A3319" s="5">
        <v>3258</v>
      </c>
      <c r="B3319" s="138">
        <f>'Acct Summary 7-8'!I77</f>
        <v>-172438</v>
      </c>
      <c r="C3319" s="2" t="s">
        <v>573</v>
      </c>
      <c r="D3319" s="2" t="str">
        <f t="shared" si="50"/>
        <v>Error?</v>
      </c>
    </row>
    <row r="3320" spans="1:4" x14ac:dyDescent="0.2">
      <c r="A3320" s="5">
        <v>3259</v>
      </c>
      <c r="B3320" s="138">
        <f>'Acct Summary 7-8'!I78</f>
        <v>454621</v>
      </c>
      <c r="C3320" s="2" t="s">
        <v>573</v>
      </c>
      <c r="D3320" s="2" t="str">
        <f t="shared" si="50"/>
        <v>Error?</v>
      </c>
    </row>
    <row r="3321" spans="1:4" x14ac:dyDescent="0.2">
      <c r="A3321" s="5">
        <v>3260</v>
      </c>
      <c r="B3321" s="138">
        <f>'Acct Summary 7-8'!I79</f>
        <v>10367215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10821836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4811425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906559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13467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38655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18295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24813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5813214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2646561</v>
      </c>
      <c r="D3387" s="2" t="str">
        <f t="shared" si="51"/>
        <v>Error?</v>
      </c>
    </row>
    <row r="3388" spans="1:4" x14ac:dyDescent="0.2">
      <c r="A3388" s="5">
        <v>3327</v>
      </c>
      <c r="B3388" s="138">
        <f>'Expenditures 15-22'!D217</f>
        <v>308117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2646561</v>
      </c>
      <c r="C3390" s="2" t="s">
        <v>573</v>
      </c>
      <c r="D3390" s="2" t="str">
        <f t="shared" si="51"/>
        <v>Error?</v>
      </c>
    </row>
    <row r="3391" spans="1:4" x14ac:dyDescent="0.2">
      <c r="A3391" s="5">
        <v>3330</v>
      </c>
      <c r="B3391" s="138">
        <f>'Expenditures 15-22'!K217</f>
        <v>308117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100432615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22039408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3795997</v>
      </c>
      <c r="D3417" s="2" t="str">
        <f t="shared" si="52"/>
        <v>Error?</v>
      </c>
    </row>
    <row r="3418" spans="1:4" x14ac:dyDescent="0.2">
      <c r="A3418" s="10">
        <v>3357</v>
      </c>
      <c r="D3418" s="2" t="str">
        <f t="shared" si="52"/>
        <v>OK</v>
      </c>
    </row>
    <row r="3419" spans="1:4" x14ac:dyDescent="0.2">
      <c r="A3419" s="5">
        <v>3358</v>
      </c>
      <c r="B3419" s="138">
        <f>'Assets-Liab 5-6'!F4</f>
        <v>4186918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4571444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10821836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2840358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1384532</v>
      </c>
      <c r="C3446" s="2" t="s">
        <v>573</v>
      </c>
      <c r="D3446" s="2" t="str">
        <f t="shared" si="52"/>
        <v>Error?</v>
      </c>
    </row>
    <row r="3447" spans="1:4" x14ac:dyDescent="0.2">
      <c r="A3447" s="5">
        <v>3386</v>
      </c>
      <c r="B3447" s="138">
        <f>'Tax Sched 23'!D16</f>
        <v>794800</v>
      </c>
      <c r="C3447" s="2" t="s">
        <v>573</v>
      </c>
      <c r="D3447" s="2" t="str">
        <f t="shared" si="52"/>
        <v>Error?</v>
      </c>
    </row>
    <row r="3448" spans="1:4" x14ac:dyDescent="0.2">
      <c r="A3448" s="5">
        <v>3387</v>
      </c>
      <c r="B3448" s="138">
        <f>'Tax Sched 23'!C16</f>
        <v>589732</v>
      </c>
      <c r="D3448" s="2" t="str">
        <f t="shared" si="52"/>
        <v>Error?</v>
      </c>
    </row>
    <row r="3449" spans="1:4" x14ac:dyDescent="0.2">
      <c r="A3449" s="5">
        <v>3388</v>
      </c>
      <c r="B3449" s="138">
        <f>'Tax Sched 23'!F16</f>
        <v>610566</v>
      </c>
      <c r="C3449" s="2" t="s">
        <v>573</v>
      </c>
      <c r="D3449" s="2" t="str">
        <f t="shared" si="52"/>
        <v>Error?</v>
      </c>
    </row>
    <row r="3450" spans="1:4" x14ac:dyDescent="0.2">
      <c r="A3450" s="5">
        <v>3389</v>
      </c>
      <c r="B3450" s="138">
        <f>'Tax Sched 23'!E16</f>
        <v>1200298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7282</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1097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1097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1097</v>
      </c>
      <c r="D3567" s="2" t="str">
        <f t="shared" si="54"/>
        <v>Error?</v>
      </c>
    </row>
    <row r="3568" spans="1:4" x14ac:dyDescent="0.2">
      <c r="A3568" s="5">
        <v>3507</v>
      </c>
      <c r="B3568" s="138">
        <f>'Assets-Liab 5-6'!K41</f>
        <v>1097</v>
      </c>
      <c r="C3568" s="2" t="s">
        <v>573</v>
      </c>
      <c r="D3568" s="2" t="str">
        <f t="shared" si="54"/>
        <v>Error?</v>
      </c>
    </row>
    <row r="3569" spans="1:4" x14ac:dyDescent="0.2">
      <c r="A3569" s="5">
        <v>3508</v>
      </c>
      <c r="B3569" s="138">
        <f>'Acct Summary 7-8'!K4</f>
        <v>18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18</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18</v>
      </c>
      <c r="C3586" s="2" t="s">
        <v>573</v>
      </c>
      <c r="D3586" s="2" t="str">
        <f t="shared" si="55"/>
        <v>Error?</v>
      </c>
    </row>
    <row r="3587" spans="1:4" x14ac:dyDescent="0.2">
      <c r="A3587" s="5">
        <v>3526</v>
      </c>
      <c r="B3587" s="138">
        <f>'Acct Summary 7-8'!K77</f>
        <v>-18</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1097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1097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18</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18</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2602</v>
      </c>
      <c r="D3721" s="2" t="str">
        <f t="shared" si="57"/>
        <v>Error?</v>
      </c>
    </row>
    <row r="3722" spans="1:4" x14ac:dyDescent="0.2">
      <c r="A3722" s="5">
        <v>3661</v>
      </c>
      <c r="B3722" s="138">
        <f>'Expenditures 15-22'!D285</f>
        <v>2602</v>
      </c>
      <c r="C3722" s="2" t="s">
        <v>573</v>
      </c>
      <c r="D3722" s="2" t="str">
        <f t="shared" si="57"/>
        <v>Error?</v>
      </c>
    </row>
    <row r="3723" spans="1:4" x14ac:dyDescent="0.2">
      <c r="A3723" s="5">
        <v>3662</v>
      </c>
      <c r="B3723" s="138">
        <f>'Expenditures 15-22'!K283</f>
        <v>2602</v>
      </c>
      <c r="C3723" s="2" t="s">
        <v>573</v>
      </c>
      <c r="D3723" s="2" t="str">
        <f t="shared" si="57"/>
        <v>Error?</v>
      </c>
    </row>
    <row r="3724" spans="1:4" x14ac:dyDescent="0.2">
      <c r="A3724" s="5">
        <v>3663</v>
      </c>
      <c r="B3724" s="138">
        <f>'Expenditures 15-22'!K285</f>
        <v>2602</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56559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24109602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101944145</v>
      </c>
      <c r="C4122" s="2" t="s">
        <v>573</v>
      </c>
      <c r="D4122" s="2" t="str">
        <f t="shared" si="63"/>
        <v>Error?</v>
      </c>
    </row>
    <row r="4123" spans="1:4" x14ac:dyDescent="0.2">
      <c r="A4123" s="5">
        <v>4062</v>
      </c>
      <c r="B4123" s="138">
        <f>'Acct Summary 7-8'!D10</f>
        <v>17832541</v>
      </c>
      <c r="C4123" s="2" t="s">
        <v>573</v>
      </c>
      <c r="D4123" s="2" t="str">
        <f t="shared" si="63"/>
        <v>Error?</v>
      </c>
    </row>
    <row r="4124" spans="1:4" x14ac:dyDescent="0.2">
      <c r="A4124" s="5">
        <v>4063</v>
      </c>
      <c r="B4124" s="138">
        <f>'Acct Summary 7-8'!E10</f>
        <v>4497567</v>
      </c>
      <c r="C4124" s="2" t="s">
        <v>573</v>
      </c>
      <c r="D4124" s="2" t="str">
        <f t="shared" si="63"/>
        <v>Error?</v>
      </c>
    </row>
    <row r="4125" spans="1:4" x14ac:dyDescent="0.2">
      <c r="A4125" s="5">
        <v>4064</v>
      </c>
      <c r="B4125" s="138">
        <f>'Acct Summary 7-8'!F10</f>
        <v>6273311</v>
      </c>
      <c r="C4125" s="2" t="s">
        <v>573</v>
      </c>
      <c r="D4125" s="2" t="str">
        <f t="shared" si="63"/>
        <v>Error?</v>
      </c>
    </row>
    <row r="4126" spans="1:4" x14ac:dyDescent="0.2">
      <c r="A4126" s="5">
        <v>4065</v>
      </c>
      <c r="B4126" s="138">
        <f>'Acct Summary 7-8'!G10</f>
        <v>3977783</v>
      </c>
      <c r="C4126" s="2" t="s">
        <v>573</v>
      </c>
      <c r="D4126" s="2" t="str">
        <f t="shared" si="63"/>
        <v>Error?</v>
      </c>
    </row>
    <row r="4127" spans="1:4" x14ac:dyDescent="0.2">
      <c r="A4127" s="5">
        <v>4066</v>
      </c>
      <c r="B4127" s="138">
        <f>'Acct Summary 7-8'!H10</f>
        <v>397242</v>
      </c>
      <c r="C4127" s="2" t="s">
        <v>573</v>
      </c>
      <c r="D4127" s="2" t="str">
        <f t="shared" si="63"/>
        <v>Error?</v>
      </c>
    </row>
    <row r="4128" spans="1:4" x14ac:dyDescent="0.2">
      <c r="A4128" s="5">
        <v>4067</v>
      </c>
      <c r="B4128" s="138">
        <f>'Acct Summary 7-8'!I10</f>
        <v>627059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18</v>
      </c>
      <c r="C4130" s="2" t="s">
        <v>573</v>
      </c>
      <c r="D4130" s="2" t="str">
        <f t="shared" si="63"/>
        <v>Error?</v>
      </c>
    </row>
    <row r="4131" spans="1:4" x14ac:dyDescent="0.2">
      <c r="A4131" s="5">
        <v>4070</v>
      </c>
      <c r="B4131" s="138">
        <f>'Acct Summary 7-8'!C18</f>
        <v>24109602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101835124</v>
      </c>
      <c r="C4136" s="2" t="s">
        <v>573</v>
      </c>
      <c r="D4136" s="2" t="str">
        <f t="shared" si="63"/>
        <v>Error?</v>
      </c>
    </row>
    <row r="4137" spans="1:4" x14ac:dyDescent="0.2">
      <c r="A4137" s="5">
        <v>4076</v>
      </c>
      <c r="B4137" s="138">
        <f>'Acct Summary 7-8'!D19</f>
        <v>25857572</v>
      </c>
      <c r="C4137" s="2" t="s">
        <v>573</v>
      </c>
      <c r="D4137" s="2" t="str">
        <f t="shared" si="63"/>
        <v>Error?</v>
      </c>
    </row>
    <row r="4138" spans="1:4" x14ac:dyDescent="0.2">
      <c r="A4138" s="5">
        <v>4077</v>
      </c>
      <c r="B4138" s="138">
        <f>'Acct Summary 7-8'!E19</f>
        <v>4922730</v>
      </c>
      <c r="C4138" s="2" t="s">
        <v>573</v>
      </c>
      <c r="D4138" s="2" t="str">
        <f t="shared" si="63"/>
        <v>Error?</v>
      </c>
    </row>
    <row r="4139" spans="1:4" x14ac:dyDescent="0.2">
      <c r="A4139" s="5">
        <v>4078</v>
      </c>
      <c r="B4139" s="138">
        <f>'Acct Summary 7-8'!F19</f>
        <v>4849891</v>
      </c>
      <c r="C4139" s="2" t="s">
        <v>573</v>
      </c>
      <c r="D4139" s="2" t="str">
        <f t="shared" si="63"/>
        <v>Error?</v>
      </c>
    </row>
    <row r="4140" spans="1:4" x14ac:dyDescent="0.2">
      <c r="A4140" s="5">
        <v>4079</v>
      </c>
      <c r="B4140" s="138">
        <f>'Acct Summary 7-8'!G19</f>
        <v>5044036</v>
      </c>
      <c r="C4140" s="2" t="s">
        <v>573</v>
      </c>
      <c r="D4140" s="2" t="str">
        <f t="shared" si="63"/>
        <v>Error?</v>
      </c>
    </row>
    <row r="4141" spans="1:4" x14ac:dyDescent="0.2">
      <c r="A4141" s="5">
        <v>4080</v>
      </c>
      <c r="B4141" s="138">
        <f>'Acct Summary 7-8'!H19</f>
        <v>14285561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44894385</v>
      </c>
      <c r="C4171" s="2" t="s">
        <v>573</v>
      </c>
      <c r="D4171" s="2" t="str">
        <f t="shared" si="64"/>
        <v>Error?</v>
      </c>
    </row>
    <row r="4172" spans="1:4" x14ac:dyDescent="0.2">
      <c r="A4172" s="5">
        <v>4111</v>
      </c>
      <c r="B4172" s="138">
        <f>'Short-Term Long-Term Debt 24'!J49</f>
        <v>41098388</v>
      </c>
      <c r="C4172" s="2" t="s">
        <v>573</v>
      </c>
      <c r="D4172" s="2" t="str">
        <f t="shared" si="64"/>
        <v>Error?</v>
      </c>
    </row>
    <row r="4173" spans="1:4" x14ac:dyDescent="0.2">
      <c r="A4173" s="5">
        <v>4112</v>
      </c>
      <c r="B4173" s="138">
        <f>'Short-Term Long-Term Debt 24'!H49</f>
        <v>3723832</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192081</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1821.8050000000001</v>
      </c>
      <c r="C4265" s="2" t="s">
        <v>573</v>
      </c>
      <c r="D4265" s="2" t="str">
        <f t="shared" si="65"/>
        <v>Error?</v>
      </c>
      <c r="E4265" s="128"/>
    </row>
    <row r="4266" spans="1:5" x14ac:dyDescent="0.2">
      <c r="A4266" s="12">
        <v>4205</v>
      </c>
      <c r="B4266" s="138">
        <f>('FP Info 3'!F10)*100000</f>
        <v>519.83199999999999</v>
      </c>
      <c r="C4266" s="2" t="s">
        <v>573</v>
      </c>
      <c r="D4266" s="2" t="str">
        <f t="shared" si="65"/>
        <v>Error?</v>
      </c>
      <c r="E4266" s="128"/>
    </row>
    <row r="4267" spans="1:5" x14ac:dyDescent="0.2">
      <c r="A4267" s="12">
        <v>4206</v>
      </c>
      <c r="B4267" s="138">
        <f>('FP Info 3'!H10)*100000</f>
        <v>138.25399999999999</v>
      </c>
      <c r="C4267" s="2" t="s">
        <v>573</v>
      </c>
      <c r="D4267" s="2" t="str">
        <f t="shared" si="65"/>
        <v>Error?</v>
      </c>
      <c r="E4267" s="128"/>
    </row>
    <row r="4268" spans="1:5" x14ac:dyDescent="0.2">
      <c r="A4268" s="12">
        <v>4207</v>
      </c>
      <c r="B4268" s="138">
        <f>('FP Info 3'!J10)*100000</f>
        <v>2480</v>
      </c>
      <c r="C4268" s="2" t="s">
        <v>573</v>
      </c>
      <c r="D4268" s="2" t="str">
        <f t="shared" si="65"/>
        <v>Error?</v>
      </c>
    </row>
    <row r="4269" spans="1:5" x14ac:dyDescent="0.2">
      <c r="A4269" s="12">
        <v>4208</v>
      </c>
      <c r="B4269" s="138">
        <f>'FP Info 3'!J16</f>
        <v>138216370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27019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292263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29220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13.825999999999999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909822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3616554344</v>
      </c>
      <c r="D4995" s="2" t="str">
        <f t="shared" si="77"/>
        <v>Error?</v>
      </c>
    </row>
    <row r="4996" spans="1:4" x14ac:dyDescent="0.2">
      <c r="A4996" s="12">
        <v>4935</v>
      </c>
      <c r="B4996" s="138">
        <f>'FP Info 3'!H31</f>
        <v>249542249.73600003</v>
      </c>
      <c r="D4996" s="2" t="str">
        <f t="shared" si="77"/>
        <v>Error?</v>
      </c>
    </row>
    <row r="4997" spans="1:4" x14ac:dyDescent="0.2">
      <c r="A4997" s="12">
        <v>4936</v>
      </c>
      <c r="B4997" s="138">
        <f>'FP Info 3'!H37</f>
        <v>44894385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60621326</v>
      </c>
      <c r="D5061" s="2" t="str">
        <f t="shared" si="78"/>
        <v>Error?</v>
      </c>
    </row>
    <row r="5062" spans="1:4" x14ac:dyDescent="0.2">
      <c r="A5062" s="10">
        <v>5001</v>
      </c>
      <c r="D5062" s="2" t="str">
        <f t="shared" si="78"/>
        <v>OK</v>
      </c>
    </row>
    <row r="5063" spans="1:4" x14ac:dyDescent="0.2">
      <c r="A5063" s="5">
        <v>5002</v>
      </c>
      <c r="B5063" s="138">
        <f>'Revenues 9-14'!C7</f>
        <v>3732577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64353903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159947</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918276</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1078223</v>
      </c>
      <c r="C5087" s="2" t="s">
        <v>573</v>
      </c>
      <c r="D5087" s="2" t="str">
        <f t="shared" si="78"/>
        <v>Error?</v>
      </c>
    </row>
    <row r="5088" spans="1:4" x14ac:dyDescent="0.2">
      <c r="A5088" s="5">
        <v>5027</v>
      </c>
      <c r="B5088" s="138">
        <f>'Revenues 9-14'!C65</f>
        <v>2759871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2759871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177662</v>
      </c>
      <c r="C5096" s="2" t="s">
        <v>573</v>
      </c>
      <c r="D5096" s="2" t="str">
        <f t="shared" si="78"/>
        <v>Error?</v>
      </c>
    </row>
    <row r="5097" spans="1:4" x14ac:dyDescent="0.2">
      <c r="A5097" s="5">
        <v>5036</v>
      </c>
      <c r="B5097" s="138">
        <f>'Revenues 9-14'!C77</f>
        <v>32387</v>
      </c>
      <c r="D5097" s="2" t="str">
        <f t="shared" si="78"/>
        <v>Error?</v>
      </c>
    </row>
    <row r="5098" spans="1:4" x14ac:dyDescent="0.2">
      <c r="A5098" s="5">
        <v>5037</v>
      </c>
      <c r="B5098" s="138">
        <f>'Revenues 9-14'!C78</f>
        <v>53319</v>
      </c>
      <c r="D5098" s="2" t="str">
        <f t="shared" si="78"/>
        <v>Error?</v>
      </c>
    </row>
    <row r="5099" spans="1:4" x14ac:dyDescent="0.2">
      <c r="A5099" s="5">
        <v>5038</v>
      </c>
      <c r="B5099" s="138">
        <f>'Revenues 9-14'!C79</f>
        <v>990143</v>
      </c>
      <c r="D5099" s="2" t="str">
        <f t="shared" si="78"/>
        <v>Error?</v>
      </c>
    </row>
    <row r="5100" spans="1:4" x14ac:dyDescent="0.2">
      <c r="A5100" s="5">
        <v>5039</v>
      </c>
      <c r="B5100" s="138">
        <f>'Revenues 9-14'!C80</f>
        <v>73709</v>
      </c>
      <c r="D5100" s="2" t="str">
        <f t="shared" si="78"/>
        <v>Error?</v>
      </c>
    </row>
    <row r="5101" spans="1:4" x14ac:dyDescent="0.2">
      <c r="A5101" s="5">
        <v>5040</v>
      </c>
      <c r="B5101" s="138">
        <f>'Revenues 9-14'!C81</f>
        <v>1784952</v>
      </c>
      <c r="D5101" s="2" t="str">
        <f t="shared" si="78"/>
        <v>Error?</v>
      </c>
    </row>
    <row r="5102" spans="1:4" x14ac:dyDescent="0.2">
      <c r="A5102" s="5">
        <v>5041</v>
      </c>
      <c r="B5102" s="138">
        <f>'Revenues 9-14'!C82</f>
        <v>2934510</v>
      </c>
      <c r="C5102" s="2" t="s">
        <v>573</v>
      </c>
      <c r="D5102" s="2" t="str">
        <f t="shared" si="78"/>
        <v>Error?</v>
      </c>
    </row>
    <row r="5103" spans="1:4" x14ac:dyDescent="0.2">
      <c r="A5103" s="5">
        <v>5042</v>
      </c>
      <c r="B5103" s="138">
        <f>'Revenues 9-14'!C84</f>
        <v>832867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832867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50705</v>
      </c>
      <c r="D5119" s="2" t="str">
        <f t="shared" ref="D5119:D5182" si="79">IF(ISBLANK(B5119),"OK",IF(A5119-B5119=0,"OK","Error?"))</f>
        <v>Error?</v>
      </c>
    </row>
    <row r="5120" spans="1:4" x14ac:dyDescent="0.2">
      <c r="A5120" s="5">
        <v>5059</v>
      </c>
      <c r="B5120" s="138">
        <f>'Revenues 9-14'!C108</f>
        <v>138745</v>
      </c>
      <c r="C5120" s="2" t="s">
        <v>573</v>
      </c>
      <c r="D5120" s="2" t="str">
        <f t="shared" si="79"/>
        <v>Error?</v>
      </c>
    </row>
    <row r="5121" spans="1:4" x14ac:dyDescent="0.2">
      <c r="A5121" s="5">
        <v>5060</v>
      </c>
      <c r="B5121" s="138">
        <f>'Revenues 9-14'!C109</f>
        <v>72275781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2551741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2551741</v>
      </c>
      <c r="C5132" s="2" t="s">
        <v>573</v>
      </c>
      <c r="D5132" s="2" t="str">
        <f t="shared" si="79"/>
        <v>Error?</v>
      </c>
    </row>
    <row r="5133" spans="1:4" x14ac:dyDescent="0.2">
      <c r="A5133" s="5">
        <v>5072</v>
      </c>
      <c r="B5133" s="138">
        <f>'Revenues 9-14'!C125</f>
        <v>481234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481234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66230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66230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70252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1527538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4079279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481721</v>
      </c>
      <c r="D5278" s="2" t="str">
        <f t="shared" si="81"/>
        <v>Error?</v>
      </c>
    </row>
    <row r="5279" spans="1:4" x14ac:dyDescent="0.2">
      <c r="A5279" s="5">
        <v>5218</v>
      </c>
      <c r="B5279" s="138">
        <f>'Revenues 9-14'!C214</f>
        <v>632828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1114549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16432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16432</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1479483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1479483</v>
      </c>
      <c r="C5326" s="2" t="s">
        <v>573</v>
      </c>
      <c r="D5326" s="2" t="str">
        <f t="shared" si="82"/>
        <v>Error?</v>
      </c>
    </row>
    <row r="5327" spans="1:5" x14ac:dyDescent="0.2">
      <c r="A5327" s="5">
        <v>5266</v>
      </c>
      <c r="B5327" s="138">
        <f>'Revenues 9-14'!C268</f>
        <v>77834543</v>
      </c>
      <c r="C5327" s="2" t="s">
        <v>573</v>
      </c>
      <c r="D5327" s="2" t="str">
        <f t="shared" si="82"/>
        <v>Error?</v>
      </c>
    </row>
    <row r="5328" spans="1:5" x14ac:dyDescent="0.2">
      <c r="A5328" s="5">
        <v>5267</v>
      </c>
      <c r="B5328" s="138">
        <f>'Revenues 9-14'!D5</f>
        <v>17191616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17191616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102076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102076</v>
      </c>
      <c r="C5339" s="2" t="s">
        <v>573</v>
      </c>
      <c r="D5339" s="2" t="str">
        <f t="shared" si="82"/>
        <v>Error?</v>
      </c>
    </row>
    <row r="5340" spans="1:4" x14ac:dyDescent="0.2">
      <c r="A5340" s="5">
        <v>5279</v>
      </c>
      <c r="B5340" s="138">
        <f>'Revenues 9-14'!D65</f>
        <v>374600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374600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104368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221</v>
      </c>
      <c r="D5354" s="2" t="str">
        <f t="shared" si="82"/>
        <v>Error?</v>
      </c>
    </row>
    <row r="5355" spans="1:4" x14ac:dyDescent="0.2">
      <c r="A5355" s="5">
        <v>5294</v>
      </c>
      <c r="B5355" s="138">
        <f>'Revenues 9-14'!D108</f>
        <v>164249</v>
      </c>
      <c r="C5355" s="2" t="s">
        <v>573</v>
      </c>
      <c r="D5355" s="2" t="str">
        <f t="shared" si="82"/>
        <v>Error?</v>
      </c>
    </row>
    <row r="5356" spans="1:4" x14ac:dyDescent="0.2">
      <c r="A5356" s="5">
        <v>5295</v>
      </c>
      <c r="B5356" s="138">
        <f>'Revenues 9-14'!D109</f>
        <v>17832541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17832541</v>
      </c>
      <c r="C5508" s="2" t="s">
        <v>573</v>
      </c>
      <c r="D5508" s="2" t="str">
        <f t="shared" si="85"/>
        <v>Error?</v>
      </c>
    </row>
    <row r="5509" spans="1:4" x14ac:dyDescent="0.2">
      <c r="A5509" s="5">
        <v>5448</v>
      </c>
      <c r="B5509" s="138">
        <f>'Revenues 9-14'!E5</f>
        <v>4436114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4436114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61453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61453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4497567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4497567</v>
      </c>
      <c r="C5552" s="2" t="s">
        <v>573</v>
      </c>
      <c r="D5552" s="2" t="str">
        <f t="shared" si="85"/>
        <v>Error?</v>
      </c>
    </row>
    <row r="5553" spans="1:4" x14ac:dyDescent="0.2">
      <c r="A5553" s="5">
        <v>5492</v>
      </c>
      <c r="B5553" s="138">
        <f>'Revenues 9-14'!F5</f>
        <v>4549769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4549769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49005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49005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4598774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560217</v>
      </c>
      <c r="D5615" s="2" t="str">
        <f t="shared" si="86"/>
        <v>Error?</v>
      </c>
    </row>
    <row r="5616" spans="1:4" x14ac:dyDescent="0.2">
      <c r="A5616" s="10">
        <v>5555</v>
      </c>
      <c r="D5616" s="2" t="str">
        <f t="shared" si="86"/>
        <v>OK</v>
      </c>
    </row>
    <row r="5617" spans="1:5" x14ac:dyDescent="0.2">
      <c r="A5617" s="5">
        <v>5556</v>
      </c>
      <c r="B5617" s="138">
        <f>'Revenues 9-14'!F153</f>
        <v>1114320</v>
      </c>
      <c r="D5617" s="2" t="str">
        <f t="shared" si="86"/>
        <v>Error?</v>
      </c>
    </row>
    <row r="5618" spans="1:5" x14ac:dyDescent="0.2">
      <c r="A5618" s="5">
        <v>5557</v>
      </c>
      <c r="B5618" s="138">
        <f>'Revenues 9-14'!F155</f>
        <v>1674537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1674537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1674537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6273311</v>
      </c>
      <c r="C5720" s="2" t="s">
        <v>573</v>
      </c>
      <c r="D5720" s="2" t="str">
        <f t="shared" si="88"/>
        <v>Error?</v>
      </c>
    </row>
    <row r="5721" spans="1:4" x14ac:dyDescent="0.2">
      <c r="A5721" s="5">
        <v>5660</v>
      </c>
      <c r="B5721" s="138">
        <f>'Revenues 9-14'!G5</f>
        <v>2332704</v>
      </c>
      <c r="D5721" s="2" t="str">
        <f t="shared" si="88"/>
        <v>Error?</v>
      </c>
    </row>
    <row r="5722" spans="1:4" x14ac:dyDescent="0.2">
      <c r="A5722" s="5">
        <v>5661</v>
      </c>
      <c r="B5722" s="138">
        <f>'Revenues 9-14'!G7</f>
        <v>0</v>
      </c>
      <c r="D5722" s="2" t="str">
        <f t="shared" si="88"/>
        <v>Error?</v>
      </c>
    </row>
    <row r="5723" spans="1:4" x14ac:dyDescent="0.2">
      <c r="A5723" s="5">
        <v>5662</v>
      </c>
      <c r="B5723" s="138">
        <f>'Revenues 9-14'!G8</f>
        <v>1384532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3717236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180460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180460</v>
      </c>
      <c r="C5730" s="2" t="s">
        <v>573</v>
      </c>
      <c r="D5730" s="2" t="str">
        <f t="shared" si="88"/>
        <v>Error?</v>
      </c>
    </row>
    <row r="5731" spans="1:4" x14ac:dyDescent="0.2">
      <c r="A5731" s="5">
        <v>5670</v>
      </c>
      <c r="B5731" s="138">
        <f>'Revenues 9-14'!G65</f>
        <v>80087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80087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3977783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97242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97242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300000</v>
      </c>
      <c r="D5885" s="2" t="str">
        <f t="shared" si="90"/>
        <v>Error?</v>
      </c>
    </row>
    <row r="5886" spans="1:4" x14ac:dyDescent="0.2">
      <c r="A5886" s="5">
        <v>5825</v>
      </c>
      <c r="B5886" s="138">
        <f>'Revenues 9-14'!H108</f>
        <v>300000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397242</v>
      </c>
      <c r="C5915" s="2" t="s">
        <v>573</v>
      </c>
      <c r="D5915" s="2" t="str">
        <f t="shared" si="91"/>
        <v>Error?</v>
      </c>
    </row>
    <row r="5916" spans="1:4" x14ac:dyDescent="0.2">
      <c r="A5916" s="5">
        <v>5855</v>
      </c>
      <c r="B5916" s="138">
        <f>'Revenues 9-14'!I5</f>
        <v>454621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454621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172438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172438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627059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18</v>
      </c>
      <c r="C6023" s="2" t="s">
        <v>573</v>
      </c>
      <c r="D6023" s="2" t="str">
        <f t="shared" si="93"/>
        <v>Error?</v>
      </c>
    </row>
    <row r="6024" spans="1:5" x14ac:dyDescent="0.2">
      <c r="A6024" s="5">
        <v>5963</v>
      </c>
      <c r="B6024" s="138">
        <f>'Revenues 9-14'!G109</f>
        <v>3977783</v>
      </c>
      <c r="C6024" s="2" t="s">
        <v>573</v>
      </c>
      <c r="D6024" s="2" t="str">
        <f t="shared" si="93"/>
        <v>Error?</v>
      </c>
    </row>
    <row r="6025" spans="1:5" x14ac:dyDescent="0.2">
      <c r="A6025" s="5">
        <v>5964</v>
      </c>
      <c r="B6025" s="138">
        <f>'Revenues 9-14'!H109</f>
        <v>397242</v>
      </c>
      <c r="C6025" s="2" t="s">
        <v>573</v>
      </c>
      <c r="D6025" s="2" t="str">
        <f t="shared" si="93"/>
        <v>Error?</v>
      </c>
    </row>
    <row r="6026" spans="1:5" x14ac:dyDescent="0.2">
      <c r="A6026" s="5">
        <v>5965</v>
      </c>
      <c r="B6026" s="138">
        <f>'Revenues 9-14'!I109</f>
        <v>627059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177662</v>
      </c>
      <c r="D6031" s="2" t="str">
        <f t="shared" si="93"/>
        <v>Error?</v>
      </c>
    </row>
    <row r="6032" spans="1:5" x14ac:dyDescent="0.2">
      <c r="A6032" s="5">
        <v>5971</v>
      </c>
      <c r="B6032" s="138">
        <f>'Acct Summary 7-8'!G15</f>
        <v>2602</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3984.8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642164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642164</v>
      </c>
      <c r="D6215" s="2" t="str">
        <f t="shared" si="96"/>
        <v>Error?</v>
      </c>
      <c r="E6215" s="2" t="s">
        <v>190</v>
      </c>
    </row>
    <row r="6216" spans="1:5" x14ac:dyDescent="0.2">
      <c r="A6216">
        <v>6155</v>
      </c>
      <c r="B6216" s="138">
        <f>'Assets-Liab 5-6'!J41</f>
        <v>642164</v>
      </c>
      <c r="D6216" s="2" t="str">
        <f t="shared" si="96"/>
        <v>Error?</v>
      </c>
      <c r="E6216" s="2" t="s">
        <v>190</v>
      </c>
    </row>
    <row r="6217" spans="1:5" x14ac:dyDescent="0.2">
      <c r="A6217">
        <v>6156</v>
      </c>
      <c r="B6217" s="138">
        <f>'Assets-Liab 5-6'!J4</f>
        <v>642164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39576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39576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39576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422748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422748</v>
      </c>
      <c r="D6229" s="2" t="str">
        <f t="shared" si="96"/>
        <v>Error?</v>
      </c>
      <c r="E6229" s="2" t="s">
        <v>190</v>
      </c>
    </row>
    <row r="6230" spans="1:5" x14ac:dyDescent="0.2">
      <c r="A6230">
        <v>6169</v>
      </c>
      <c r="B6230" s="138">
        <f>'Acct Summary 7-8'!J20</f>
        <v>-383172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10864</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10864</v>
      </c>
      <c r="D6261" s="2" t="str">
        <f t="shared" si="96"/>
        <v>Error?</v>
      </c>
      <c r="E6261" s="2" t="s">
        <v>190</v>
      </c>
    </row>
    <row r="6262" spans="1:5" x14ac:dyDescent="0.2">
      <c r="A6262">
        <v>6201</v>
      </c>
      <c r="B6262" s="138">
        <f>'Acct Summary 7-8'!J77</f>
        <v>-10864</v>
      </c>
      <c r="D6262" s="2" t="str">
        <f t="shared" si="96"/>
        <v>Error?</v>
      </c>
      <c r="E6262" s="2" t="s">
        <v>190</v>
      </c>
    </row>
    <row r="6263" spans="1:5" x14ac:dyDescent="0.2">
      <c r="A6263">
        <v>6202</v>
      </c>
      <c r="B6263" s="138">
        <f>'Acct Summary 7-8'!J78</f>
        <v>-394036</v>
      </c>
      <c r="D6263" s="2" t="str">
        <f t="shared" si="96"/>
        <v>Error?</v>
      </c>
      <c r="E6263" s="2" t="s">
        <v>190</v>
      </c>
    </row>
    <row r="6264" spans="1:5" x14ac:dyDescent="0.2">
      <c r="A6264">
        <v>6203</v>
      </c>
      <c r="B6264" s="138">
        <f>'Acct Summary 7-8'!J79</f>
        <v>1036200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642164</v>
      </c>
      <c r="D6266" s="2" t="str">
        <f t="shared" si="96"/>
        <v>Error?</v>
      </c>
      <c r="E6266" s="2" t="s">
        <v>190</v>
      </c>
    </row>
    <row r="6267" spans="1:5" x14ac:dyDescent="0.2">
      <c r="A6267">
        <v>6206</v>
      </c>
      <c r="B6267" s="138">
        <f>'Acct Summary 7-8'!C82</f>
        <v>-1287144</v>
      </c>
      <c r="D6267" s="2" t="str">
        <f t="shared" si="96"/>
        <v>Error?</v>
      </c>
      <c r="E6267" s="2" t="s">
        <v>190</v>
      </c>
    </row>
    <row r="6268" spans="1:5" x14ac:dyDescent="0.2">
      <c r="A6268">
        <v>6207</v>
      </c>
      <c r="B6268" s="138">
        <f>'Acct Summary 7-8'!D82</f>
        <v>-6291415</v>
      </c>
      <c r="D6268" s="2" t="str">
        <f t="shared" si="96"/>
        <v>Error?</v>
      </c>
      <c r="E6268" s="2" t="s">
        <v>190</v>
      </c>
    </row>
    <row r="6269" spans="1:5" x14ac:dyDescent="0.2">
      <c r="A6269">
        <v>6208</v>
      </c>
      <c r="B6269" s="138">
        <f>'Acct Summary 7-8'!E82</f>
        <v>-425765</v>
      </c>
      <c r="D6269" s="2" t="str">
        <f t="shared" si="96"/>
        <v>Error?</v>
      </c>
      <c r="E6269" s="2" t="s">
        <v>190</v>
      </c>
    </row>
    <row r="6270" spans="1:5" x14ac:dyDescent="0.2">
      <c r="A6270">
        <v>6209</v>
      </c>
      <c r="B6270" s="138">
        <f>'Acct Summary 7-8'!F82</f>
        <v>1374415</v>
      </c>
      <c r="D6270" s="2" t="str">
        <f t="shared" si="96"/>
        <v>Error?</v>
      </c>
      <c r="E6270" s="2" t="s">
        <v>190</v>
      </c>
    </row>
    <row r="6271" spans="1:5" x14ac:dyDescent="0.2">
      <c r="A6271">
        <v>6210</v>
      </c>
      <c r="B6271" s="138">
        <f>'Acct Summary 7-8'!G82</f>
        <v>-1066253</v>
      </c>
      <c r="D6271" s="2" t="str">
        <f t="shared" ref="D6271:D6334" si="97">IF(ISBLANK(B6271),"OK",IF(A6271-B6271=0,"OK","Error?"))</f>
        <v>Error?</v>
      </c>
      <c r="E6271" s="2" t="s">
        <v>190</v>
      </c>
    </row>
    <row r="6272" spans="1:5" x14ac:dyDescent="0.2">
      <c r="A6272">
        <v>6211</v>
      </c>
      <c r="B6272" s="138">
        <f>'Acct Summary 7-8'!H82</f>
        <v>-13985561</v>
      </c>
      <c r="D6272" s="2" t="str">
        <f t="shared" si="97"/>
        <v>Error?</v>
      </c>
      <c r="E6272" s="2" t="s">
        <v>190</v>
      </c>
    </row>
    <row r="6273" spans="1:5" x14ac:dyDescent="0.2">
      <c r="A6273">
        <v>6212</v>
      </c>
      <c r="B6273" s="138">
        <f>'Acct Summary 7-8'!I82</f>
        <v>454621</v>
      </c>
      <c r="D6273" s="2" t="str">
        <f t="shared" si="97"/>
        <v>Error?</v>
      </c>
      <c r="E6273" s="2" t="s">
        <v>190</v>
      </c>
    </row>
    <row r="6274" spans="1:5" x14ac:dyDescent="0.2">
      <c r="A6274">
        <v>6213</v>
      </c>
      <c r="B6274" s="138">
        <f>'Acct Summary 7-8'!J82</f>
        <v>-394036</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-1.2722811102871368E-2</v>
      </c>
      <c r="D6276" s="2" t="str">
        <f t="shared" si="97"/>
        <v>Error?</v>
      </c>
      <c r="E6276" s="2" t="s">
        <v>190</v>
      </c>
    </row>
    <row r="6277" spans="1:5" x14ac:dyDescent="0.2">
      <c r="A6277">
        <v>6216</v>
      </c>
      <c r="B6277" s="138">
        <f>'Acct Summary 7-8'!D83</f>
        <v>-0.28546206867262497</v>
      </c>
      <c r="D6277" s="2" t="str">
        <f t="shared" si="97"/>
        <v>Error?</v>
      </c>
      <c r="E6277" s="2" t="s">
        <v>190</v>
      </c>
    </row>
    <row r="6278" spans="1:5" x14ac:dyDescent="0.2">
      <c r="A6278">
        <v>6217</v>
      </c>
      <c r="B6278" s="138">
        <f>'Acct Summary 7-8'!E83</f>
        <v>-0.11216157441641814</v>
      </c>
      <c r="D6278" s="2" t="str">
        <f t="shared" si="97"/>
        <v>Error?</v>
      </c>
      <c r="E6278" s="2" t="s">
        <v>190</v>
      </c>
    </row>
    <row r="6279" spans="1:5" x14ac:dyDescent="0.2">
      <c r="A6279">
        <v>6218</v>
      </c>
      <c r="B6279" s="138">
        <f>'Acct Summary 7-8'!F83</f>
        <v>0.32826413127746951</v>
      </c>
      <c r="D6279" s="2" t="str">
        <f t="shared" si="97"/>
        <v>Error?</v>
      </c>
      <c r="E6279" s="2" t="s">
        <v>190</v>
      </c>
    </row>
    <row r="6280" spans="1:5" x14ac:dyDescent="0.2">
      <c r="A6280">
        <v>6219</v>
      </c>
      <c r="B6280" s="138">
        <f>'Acct Summary 7-8'!G83</f>
        <v>-0.23324205655805913</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4.2009599849785195E-2</v>
      </c>
      <c r="D6282" s="2" t="str">
        <f t="shared" si="97"/>
        <v>Error?</v>
      </c>
      <c r="E6282" s="2" t="s">
        <v>190</v>
      </c>
    </row>
    <row r="6283" spans="1:5" x14ac:dyDescent="0.2">
      <c r="A6283">
        <v>6222</v>
      </c>
      <c r="B6283" s="138">
        <f>'Acct Summary 7-8'!J83</f>
        <v>-0.61360649304539028</v>
      </c>
      <c r="D6283" s="2" t="str">
        <f t="shared" si="97"/>
        <v>Error?</v>
      </c>
      <c r="E6283" s="2" t="s">
        <v>190</v>
      </c>
    </row>
    <row r="6284" spans="1:5" x14ac:dyDescent="0.2">
      <c r="A6284">
        <v>6223</v>
      </c>
      <c r="B6284" s="138">
        <f>'Acct Summary 7-8'!K83</f>
        <v>0</v>
      </c>
      <c r="D6284" s="2" t="str">
        <f t="shared" si="97"/>
        <v>Error?</v>
      </c>
      <c r="E6284" s="2" t="s">
        <v>190</v>
      </c>
    </row>
    <row r="6285" spans="1:5" x14ac:dyDescent="0.2">
      <c r="A6285">
        <v>6224</v>
      </c>
      <c r="B6285" s="138">
        <f>'Acct Summary 7-8'!E37</f>
        <v>53832</v>
      </c>
      <c r="D6285" s="2" t="str">
        <f t="shared" si="97"/>
        <v>Error?</v>
      </c>
      <c r="E6285" s="2" t="s">
        <v>190</v>
      </c>
    </row>
    <row r="6286" spans="1:5" x14ac:dyDescent="0.2">
      <c r="A6286">
        <v>6225</v>
      </c>
      <c r="B6286" s="138">
        <f>'Acct Summary 7-8'!E38</f>
        <v>7019</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9471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9471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10864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10864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59660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88040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19241</v>
      </c>
      <c r="D6350" s="2" t="str">
        <f t="shared" si="98"/>
        <v>Error?</v>
      </c>
      <c r="E6350" s="2" t="s">
        <v>190</v>
      </c>
    </row>
    <row r="6351" spans="1:5" x14ac:dyDescent="0.2">
      <c r="A6351">
        <v>6290</v>
      </c>
      <c r="B6351" s="138">
        <f>'Revenues 9-14'!J108</f>
        <v>19241</v>
      </c>
      <c r="D6351" s="2" t="str">
        <f t="shared" si="98"/>
        <v>Error?</v>
      </c>
      <c r="E6351" s="2" t="s">
        <v>190</v>
      </c>
    </row>
    <row r="6352" spans="1:5" x14ac:dyDescent="0.2">
      <c r="A6352">
        <v>6291</v>
      </c>
      <c r="B6352" s="138">
        <f>'Revenues 9-14'!J109</f>
        <v>39576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438295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2199327</v>
      </c>
      <c r="D6880" s="2" t="str">
        <f t="shared" si="106"/>
        <v>Error?</v>
      </c>
    </row>
    <row r="6881" spans="1:4" x14ac:dyDescent="0.2">
      <c r="A6881">
        <v>6820</v>
      </c>
      <c r="B6881" s="138">
        <f>'Expenditures 15-22'!K22</f>
        <v>2199327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45136</v>
      </c>
      <c r="D7014" s="2" t="str">
        <f t="shared" si="108"/>
        <v>Error?</v>
      </c>
    </row>
    <row r="7015" spans="1:4" x14ac:dyDescent="0.2">
      <c r="A7015">
        <v>6954</v>
      </c>
      <c r="B7015" s="138">
        <f>'Expenditures 15-22'!K101</f>
        <v>45136</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422748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39576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4769</v>
      </c>
      <c r="D7079" s="2" t="str">
        <f t="shared" si="109"/>
        <v>Error?</v>
      </c>
    </row>
    <row r="7080" spans="1:4" x14ac:dyDescent="0.2">
      <c r="A7080">
        <v>7019</v>
      </c>
      <c r="B7080" s="138">
        <f>'Expenditures 15-22'!K226</f>
        <v>4769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182818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182818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12624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12624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167306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167306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422748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422748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422748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422748</v>
      </c>
      <c r="D7224" s="2" t="str">
        <f t="shared" si="111"/>
        <v>Error?</v>
      </c>
    </row>
    <row r="7225" spans="1:4" x14ac:dyDescent="0.2">
      <c r="A7225">
        <v>7164</v>
      </c>
      <c r="B7225" s="138">
        <f>'Expenditures 15-22'!K343</f>
        <v>-383172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321182</v>
      </c>
      <c r="D7263" s="2" t="str">
        <f t="shared" si="112"/>
        <v>Error?</v>
      </c>
    </row>
    <row r="7264" spans="1:4" x14ac:dyDescent="0.2">
      <c r="A7264">
        <f t="shared" si="113"/>
        <v>7203</v>
      </c>
      <c r="B7264" s="138">
        <f>'Expenditures 15-22'!D17</f>
        <v>47841</v>
      </c>
      <c r="D7264" s="2" t="str">
        <f t="shared" si="112"/>
        <v>Error?</v>
      </c>
    </row>
    <row r="7265" spans="1:5" x14ac:dyDescent="0.2">
      <c r="A7265">
        <f t="shared" si="113"/>
        <v>7204</v>
      </c>
      <c r="B7265" s="138">
        <f>'Expenditures 15-22'!E17</f>
        <v>330</v>
      </c>
      <c r="D7265" s="2" t="str">
        <f t="shared" si="112"/>
        <v>Error?</v>
      </c>
    </row>
    <row r="7266" spans="1:5" x14ac:dyDescent="0.2">
      <c r="A7266">
        <f t="shared" si="113"/>
        <v>7205</v>
      </c>
      <c r="B7266" s="138">
        <f>'Expenditures 15-22'!F17</f>
        <v>742</v>
      </c>
      <c r="D7266" s="2" t="str">
        <f t="shared" si="112"/>
        <v>Error?</v>
      </c>
    </row>
    <row r="7267" spans="1:5" x14ac:dyDescent="0.2">
      <c r="A7267">
        <f t="shared" si="113"/>
        <v>7206</v>
      </c>
      <c r="B7267" s="138">
        <f>'Expenditures 15-22'!G17</f>
        <v>68000</v>
      </c>
      <c r="D7267" s="2" t="str">
        <f t="shared" si="112"/>
        <v>Error?</v>
      </c>
    </row>
    <row r="7268" spans="1:5" x14ac:dyDescent="0.2">
      <c r="A7268">
        <f t="shared" si="113"/>
        <v>7207</v>
      </c>
      <c r="B7268" s="138">
        <f>'Expenditures 15-22'!H17</f>
        <v>200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7309478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53832</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7019</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60000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60000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3732577</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5634687</v>
      </c>
      <c r="D7797" s="2" t="str">
        <f t="shared" si="127"/>
        <v>Error?</v>
      </c>
      <c r="E7797" s="4" t="s">
        <v>1901</v>
      </c>
    </row>
    <row r="7798" spans="1:5" x14ac:dyDescent="0.2">
      <c r="A7798">
        <v>7737</v>
      </c>
      <c r="B7798" s="138">
        <f>'Contracts Paid in CY 29'!F141</f>
        <v>250000</v>
      </c>
      <c r="D7798" s="2" t="str">
        <f t="shared" si="127"/>
        <v>Error?</v>
      </c>
      <c r="E7798" s="4" t="s">
        <v>1901</v>
      </c>
    </row>
    <row r="7799" spans="1:5" x14ac:dyDescent="0.2">
      <c r="A7799">
        <v>7738</v>
      </c>
      <c r="B7799" s="138">
        <f>'Contracts Paid in CY 29'!G141</f>
        <v>5384687</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1191</v>
      </c>
      <c r="B2" s="2404"/>
      <c r="C2" s="2404"/>
      <c r="D2" s="2404"/>
      <c r="E2" s="2404"/>
      <c r="F2" s="2404"/>
      <c r="G2" s="2404"/>
      <c r="H2" s="2404"/>
      <c r="I2" s="2404"/>
      <c r="J2" s="2404"/>
      <c r="K2" s="2404"/>
      <c r="L2" s="2404"/>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04" t="s">
        <v>1986</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4" t="str">
        <f>COVER!A17</f>
        <v>Adlai E Stevenson HSD 125</v>
      </c>
      <c r="B7" s="2385"/>
      <c r="C7" s="2385"/>
      <c r="D7" s="2422"/>
      <c r="E7" s="2423">
        <f>COVER!A13</f>
        <v>34049125013</v>
      </c>
      <c r="F7" s="2424"/>
      <c r="G7" s="2391" t="str">
        <f>COVER!T23</f>
        <v>066-003289</v>
      </c>
      <c r="H7" s="2392"/>
      <c r="I7" s="2392"/>
      <c r="J7" s="2392"/>
      <c r="K7" s="2392"/>
      <c r="L7" s="239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4"/>
      <c r="B9" s="2395"/>
      <c r="C9" s="2395"/>
      <c r="D9" s="2395"/>
      <c r="E9" s="2395"/>
      <c r="F9" s="2396"/>
      <c r="G9" s="2397" t="str">
        <f>COVER!T13</f>
        <v>Evoy, Kamschulte, Jacobs &amp; Co. LLP</v>
      </c>
      <c r="H9" s="2398"/>
      <c r="I9" s="2398"/>
      <c r="J9" s="2398"/>
      <c r="K9" s="2398"/>
      <c r="L9" s="2399"/>
    </row>
    <row r="10" spans="1:29" ht="13.5" customHeight="1" x14ac:dyDescent="0.2">
      <c r="A10" s="2381" t="str">
        <f>COVER!A38</f>
        <v>Dr. Eric Twadell</v>
      </c>
      <c r="B10" s="2382"/>
      <c r="C10" s="2382"/>
      <c r="D10" s="2382"/>
      <c r="E10" s="2382"/>
      <c r="F10" s="2383"/>
      <c r="G10" s="2397" t="str">
        <f>COVER!T17</f>
        <v>2122 Yeoman Street</v>
      </c>
      <c r="H10" s="2410"/>
      <c r="I10" s="2410"/>
      <c r="J10" s="2410"/>
      <c r="K10" s="2410"/>
      <c r="L10" s="2411"/>
    </row>
    <row r="11" spans="1:29" ht="13.5" customHeight="1" x14ac:dyDescent="0.2">
      <c r="A11" s="1184" t="s">
        <v>1519</v>
      </c>
      <c r="B11" s="1185"/>
      <c r="C11" s="1186"/>
      <c r="D11" s="1191"/>
      <c r="E11" s="1186"/>
      <c r="F11" s="1190"/>
      <c r="G11" s="2397" t="str">
        <f>COVER!T19</f>
        <v>Waukegan</v>
      </c>
      <c r="H11" s="2410"/>
      <c r="I11" s="2410"/>
      <c r="J11" s="2410"/>
      <c r="K11" s="2410"/>
      <c r="L11" s="2411"/>
    </row>
    <row r="12" spans="1:29" ht="13.5" customHeight="1" x14ac:dyDescent="0.2">
      <c r="A12" s="2415" t="s">
        <v>1518</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1520</v>
      </c>
      <c r="H13" s="2406"/>
      <c r="I13" s="2418">
        <f>COVER!T25</f>
        <v>0</v>
      </c>
      <c r="J13" s="2419"/>
      <c r="K13" s="2419"/>
      <c r="L13" s="2420"/>
    </row>
    <row r="14" spans="1:29" ht="13.5" customHeight="1" x14ac:dyDescent="0.2">
      <c r="A14" s="2397" t="str">
        <f>COVER!A19</f>
        <v>TWO STEVENSON DRIVE</v>
      </c>
      <c r="B14" s="2410"/>
      <c r="C14" s="2410"/>
      <c r="D14" s="2410"/>
      <c r="E14" s="2410"/>
      <c r="F14" s="2411"/>
      <c r="G14" s="1195" t="s">
        <v>1185</v>
      </c>
      <c r="H14" s="1193"/>
      <c r="I14" s="1193"/>
      <c r="J14" s="1193"/>
      <c r="K14" s="1193"/>
      <c r="L14" s="1194"/>
    </row>
    <row r="15" spans="1:29" ht="13.5" customHeight="1" x14ac:dyDescent="0.2">
      <c r="A15" s="2397" t="str">
        <f>COVER!A21</f>
        <v>LINCOLNSHIRE</v>
      </c>
      <c r="B15" s="2410"/>
      <c r="C15" s="2410"/>
      <c r="D15" s="2410"/>
      <c r="E15" s="2410"/>
      <c r="F15" s="2411"/>
      <c r="G15" s="2407" t="str">
        <f>COVER!T15</f>
        <v>John D. Aceto, Jr., CPA</v>
      </c>
      <c r="H15" s="2408"/>
      <c r="I15" s="2408"/>
      <c r="J15" s="2408"/>
      <c r="K15" s="2408"/>
      <c r="L15" s="2409"/>
    </row>
    <row r="16" spans="1:29" ht="12.2" customHeight="1" x14ac:dyDescent="0.2">
      <c r="A16" s="2387">
        <f>COVER!A25</f>
        <v>60069</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1184</v>
      </c>
      <c r="H17" s="1193"/>
      <c r="I17" s="1193"/>
      <c r="J17" s="1193"/>
      <c r="K17" s="1197" t="s">
        <v>1183</v>
      </c>
      <c r="L17" s="1190"/>
      <c r="M17" s="1183"/>
    </row>
    <row r="18" spans="1:13" ht="12.2" customHeight="1" x14ac:dyDescent="0.2">
      <c r="A18" s="2381"/>
      <c r="B18" s="2382"/>
      <c r="C18" s="2382"/>
      <c r="D18" s="2382"/>
      <c r="E18" s="2382"/>
      <c r="F18" s="2383"/>
      <c r="G18" s="2384" t="str">
        <f>COVER!T21</f>
        <v>847-662-8300</v>
      </c>
      <c r="H18" s="2385"/>
      <c r="I18" s="2385"/>
      <c r="J18" s="2385"/>
      <c r="K18" s="2384" t="str">
        <f>COVER!X21</f>
        <v>847-662-8305</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Adlai E Stevenson HSD 125</v>
      </c>
      <c r="B1" s="2421"/>
      <c r="C1" s="2421"/>
      <c r="D1" s="2421"/>
    </row>
    <row r="2" spans="1:11" s="1212" customFormat="1" ht="12.75" x14ac:dyDescent="0.2">
      <c r="A2" s="2426">
        <f>'Single Audit Cover'!E7</f>
        <v>34049125013</v>
      </c>
      <c r="B2" s="2427"/>
      <c r="C2" s="2427"/>
      <c r="D2" s="2427"/>
    </row>
    <row r="3" spans="1:11" s="1212" customFormat="1" ht="12.75" x14ac:dyDescent="0.2">
      <c r="A3" s="2425" t="s">
        <v>1513</v>
      </c>
      <c r="B3" s="2421"/>
      <c r="C3" s="2421"/>
      <c r="D3" s="242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3"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Adlai E Stevenson HSD 125</v>
      </c>
      <c r="B1" s="2429"/>
      <c r="C1" s="2429"/>
      <c r="D1" s="2429"/>
      <c r="E1" s="2429"/>
    </row>
    <row r="2" spans="1:5" x14ac:dyDescent="0.2">
      <c r="A2" s="2430">
        <f>'Single Audit Cover'!E7</f>
        <v>34049125013</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1479483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-292263</v>
      </c>
    </row>
    <row r="19" spans="1:4" ht="13.5" thickBot="1" x14ac:dyDescent="0.25">
      <c r="A19" s="1262" t="s">
        <v>1235</v>
      </c>
      <c r="D19" s="1263">
        <f>SUM(D10:D17)</f>
        <v>1187220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1187220</v>
      </c>
    </row>
    <row r="33" spans="1:4" x14ac:dyDescent="0.2">
      <c r="D33" s="1266"/>
    </row>
    <row r="34" spans="1:4" x14ac:dyDescent="0.2">
      <c r="A34" s="317" t="s">
        <v>1232</v>
      </c>
    </row>
    <row r="35" spans="1:4" x14ac:dyDescent="0.2">
      <c r="A35" s="317" t="s">
        <v>1231</v>
      </c>
      <c r="B35" s="1255" t="s">
        <v>1230</v>
      </c>
      <c r="D35" s="1267">
        <v>1187220</v>
      </c>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1187220</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3" zoomScale="110" zoomScaleNormal="110" workbookViewId="0">
      <selection activeCell="F24" sqref="F2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Adlai E Stevenson HSD 125</v>
      </c>
      <c r="C1" s="2433"/>
      <c r="D1" s="2433"/>
      <c r="E1" s="2433"/>
      <c r="F1" s="2433"/>
      <c r="G1" s="2433"/>
      <c r="H1" s="2433"/>
      <c r="I1" s="2433"/>
      <c r="J1" s="2433"/>
      <c r="K1" s="2433"/>
      <c r="L1" s="2433"/>
      <c r="M1" s="2433"/>
    </row>
    <row r="2" spans="2:14" ht="15" x14ac:dyDescent="0.2">
      <c r="B2" s="2434">
        <f>'Single Audit Cover'!E7</f>
        <v>34049125013</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2087</v>
      </c>
      <c r="C11" s="1335"/>
      <c r="D11" s="1336"/>
      <c r="E11" s="1337"/>
      <c r="F11" s="1337"/>
      <c r="G11" s="1337"/>
      <c r="H11" s="1337"/>
      <c r="I11" s="1337"/>
      <c r="J11" s="1337"/>
      <c r="K11" s="1337"/>
      <c r="L11" s="1337">
        <f>+G11+I11+K11</f>
        <v>0</v>
      </c>
      <c r="M11" s="1337"/>
    </row>
    <row r="12" spans="2:14" ht="20.100000000000001" customHeight="1" x14ac:dyDescent="0.2">
      <c r="B12" s="1334" t="s">
        <v>2088</v>
      </c>
      <c r="C12" s="1338"/>
      <c r="D12" s="1339"/>
      <c r="E12" s="1340"/>
      <c r="F12" s="1340"/>
      <c r="G12" s="1340"/>
      <c r="H12" s="1340"/>
      <c r="I12" s="1340"/>
      <c r="J12" s="1340"/>
      <c r="K12" s="1340"/>
      <c r="L12" s="1337">
        <f t="shared" ref="L12:L27" si="0">+G12+I12+K12</f>
        <v>0</v>
      </c>
      <c r="M12" s="1340"/>
    </row>
    <row r="13" spans="2:14" ht="20.100000000000001" customHeight="1" x14ac:dyDescent="0.2">
      <c r="B13" s="1334" t="s">
        <v>2089</v>
      </c>
      <c r="C13" s="1338"/>
      <c r="D13" s="1339"/>
      <c r="E13" s="1340"/>
      <c r="F13" s="1340"/>
      <c r="G13" s="1340"/>
      <c r="H13" s="1340"/>
      <c r="I13" s="1340"/>
      <c r="J13" s="1340"/>
      <c r="K13" s="1340"/>
      <c r="L13" s="1337">
        <f t="shared" si="0"/>
        <v>0</v>
      </c>
      <c r="M13" s="1340"/>
    </row>
    <row r="14" spans="2:14" ht="20.100000000000001" customHeight="1" x14ac:dyDescent="0.2">
      <c r="B14" s="1334" t="s">
        <v>2090</v>
      </c>
      <c r="C14" s="1338" t="s">
        <v>2096</v>
      </c>
      <c r="D14" s="1339" t="s">
        <v>2097</v>
      </c>
      <c r="E14" s="1340">
        <v>315614</v>
      </c>
      <c r="F14" s="1340">
        <v>203601</v>
      </c>
      <c r="G14" s="1340">
        <v>387441</v>
      </c>
      <c r="H14" s="1340"/>
      <c r="I14" s="1340">
        <v>131774</v>
      </c>
      <c r="J14" s="1340"/>
      <c r="K14" s="1340"/>
      <c r="L14" s="1337">
        <f t="shared" si="0"/>
        <v>519215</v>
      </c>
      <c r="M14" s="1340" t="s">
        <v>2101</v>
      </c>
    </row>
    <row r="15" spans="2:14" ht="20.100000000000001" customHeight="1" x14ac:dyDescent="0.2">
      <c r="B15" s="1334" t="s">
        <v>2090</v>
      </c>
      <c r="C15" s="1338" t="s">
        <v>2096</v>
      </c>
      <c r="D15" s="1339" t="s">
        <v>2098</v>
      </c>
      <c r="E15" s="1340"/>
      <c r="F15" s="1340">
        <v>429227</v>
      </c>
      <c r="G15" s="1340"/>
      <c r="H15" s="1340"/>
      <c r="I15" s="1340">
        <v>533665</v>
      </c>
      <c r="J15" s="1340"/>
      <c r="K15" s="1340"/>
      <c r="L15" s="1337">
        <f t="shared" si="0"/>
        <v>533665</v>
      </c>
      <c r="M15" s="1340" t="s">
        <v>2101</v>
      </c>
    </row>
    <row r="16" spans="2:14" ht="20.100000000000001" customHeight="1" x14ac:dyDescent="0.2">
      <c r="B16" s="1334" t="s">
        <v>2091</v>
      </c>
      <c r="C16" s="1338"/>
      <c r="D16" s="1339"/>
      <c r="E16" s="1340">
        <v>315614</v>
      </c>
      <c r="F16" s="1340">
        <v>632828</v>
      </c>
      <c r="G16" s="1340">
        <v>387441</v>
      </c>
      <c r="H16" s="1340"/>
      <c r="I16" s="1340">
        <v>665439</v>
      </c>
      <c r="J16" s="1340"/>
      <c r="K16" s="1340"/>
      <c r="L16" s="1337">
        <f t="shared" si="0"/>
        <v>1052880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t="s">
        <v>2092</v>
      </c>
      <c r="C18" s="1338"/>
      <c r="D18" s="1339"/>
      <c r="E18" s="1340"/>
      <c r="F18" s="1340"/>
      <c r="G18" s="1340"/>
      <c r="H18" s="1340"/>
      <c r="I18" s="1340"/>
      <c r="J18" s="1340"/>
      <c r="K18" s="1340"/>
      <c r="L18" s="1337">
        <f t="shared" si="0"/>
        <v>0</v>
      </c>
      <c r="M18" s="1340"/>
    </row>
    <row r="19" spans="2:14" ht="20.100000000000001" customHeight="1" x14ac:dyDescent="0.2">
      <c r="B19" s="1334" t="s">
        <v>2093</v>
      </c>
      <c r="C19" s="1338" t="s">
        <v>2096</v>
      </c>
      <c r="D19" s="1339" t="s">
        <v>2099</v>
      </c>
      <c r="E19" s="1340">
        <v>460379</v>
      </c>
      <c r="F19" s="1340">
        <v>2671</v>
      </c>
      <c r="G19" s="1340">
        <v>463050</v>
      </c>
      <c r="H19" s="1340"/>
      <c r="I19" s="1340"/>
      <c r="J19" s="1340"/>
      <c r="K19" s="1340"/>
      <c r="L19" s="1337">
        <f t="shared" si="0"/>
        <v>463050</v>
      </c>
      <c r="M19" s="1340">
        <v>463050</v>
      </c>
    </row>
    <row r="20" spans="2:14" ht="20.100000000000001" customHeight="1" x14ac:dyDescent="0.2">
      <c r="B20" s="1334" t="s">
        <v>2093</v>
      </c>
      <c r="C20" s="1338" t="s">
        <v>2096</v>
      </c>
      <c r="D20" s="1339" t="s">
        <v>2100</v>
      </c>
      <c r="E20" s="1340"/>
      <c r="F20" s="1340">
        <v>479050</v>
      </c>
      <c r="G20" s="1340"/>
      <c r="H20" s="1340"/>
      <c r="I20" s="1340">
        <v>481910</v>
      </c>
      <c r="J20" s="1340"/>
      <c r="K20" s="1340"/>
      <c r="L20" s="1337">
        <f t="shared" si="0"/>
        <v>481910</v>
      </c>
      <c r="M20" s="1340">
        <v>488692</v>
      </c>
    </row>
    <row r="21" spans="2:14" ht="20.100000000000001" customHeight="1" x14ac:dyDescent="0.2">
      <c r="B21" s="1334" t="s">
        <v>2094</v>
      </c>
      <c r="C21" s="1338"/>
      <c r="D21" s="1339"/>
      <c r="E21" s="1340">
        <v>460379</v>
      </c>
      <c r="F21" s="1340">
        <v>481721</v>
      </c>
      <c r="G21" s="1340">
        <v>463050</v>
      </c>
      <c r="H21" s="1340"/>
      <c r="I21" s="1340">
        <v>481910</v>
      </c>
      <c r="J21" s="1340"/>
      <c r="K21" s="1340"/>
      <c r="L21" s="1337">
        <f t="shared" si="0"/>
        <v>944960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t="s">
        <v>2095</v>
      </c>
      <c r="C23" s="1338"/>
      <c r="D23" s="1339"/>
      <c r="E23" s="1340">
        <v>775993</v>
      </c>
      <c r="F23" s="1340">
        <v>1114549</v>
      </c>
      <c r="G23" s="1340">
        <v>850491</v>
      </c>
      <c r="H23" s="1340"/>
      <c r="I23" s="1340">
        <v>1147349</v>
      </c>
      <c r="J23" s="1340"/>
      <c r="K23" s="1340"/>
      <c r="L23" s="1337">
        <f t="shared" si="0"/>
        <v>1997840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F22" sqref="F2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Adlai E Stevenson HSD 125</v>
      </c>
      <c r="C1" s="2433"/>
      <c r="D1" s="2433"/>
      <c r="E1" s="2433"/>
      <c r="F1" s="2433"/>
      <c r="G1" s="2433"/>
      <c r="H1" s="2433"/>
      <c r="I1" s="2433"/>
      <c r="J1" s="2433"/>
      <c r="K1" s="2433"/>
      <c r="L1" s="2433"/>
      <c r="M1" s="2433"/>
    </row>
    <row r="2" spans="2:14" ht="15" x14ac:dyDescent="0.2">
      <c r="B2" s="2434">
        <f>'Single Audit Cover'!E7</f>
        <v>34049125013</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2087</v>
      </c>
      <c r="C11" s="1335"/>
      <c r="D11" s="1336"/>
      <c r="E11" s="1337"/>
      <c r="F11" s="1337"/>
      <c r="G11" s="1337"/>
      <c r="H11" s="1337"/>
      <c r="I11" s="1337"/>
      <c r="J11" s="1337"/>
      <c r="K11" s="1337"/>
      <c r="L11" s="1337">
        <f>+G11+I11+K11</f>
        <v>0</v>
      </c>
      <c r="M11" s="1337"/>
    </row>
    <row r="12" spans="2:14" ht="20.100000000000001" customHeight="1" x14ac:dyDescent="0.2">
      <c r="B12" s="1334" t="s">
        <v>2088</v>
      </c>
      <c r="C12" s="1338"/>
      <c r="D12" s="1339"/>
      <c r="E12" s="1340"/>
      <c r="F12" s="1340"/>
      <c r="G12" s="1340"/>
      <c r="H12" s="1340"/>
      <c r="I12" s="1340"/>
      <c r="J12" s="1340"/>
      <c r="K12" s="1340"/>
      <c r="L12" s="1337">
        <f t="shared" ref="L12:L27" si="0">+G12+I12+K12</f>
        <v>0</v>
      </c>
      <c r="M12" s="1340"/>
    </row>
    <row r="13" spans="2:14" ht="20.100000000000001" customHeight="1" x14ac:dyDescent="0.2">
      <c r="B13" s="1334" t="s">
        <v>2102</v>
      </c>
      <c r="C13" s="1338" t="s">
        <v>2104</v>
      </c>
      <c r="D13" s="1339" t="s">
        <v>2105</v>
      </c>
      <c r="E13" s="1340"/>
      <c r="F13" s="1340">
        <v>29220</v>
      </c>
      <c r="G13" s="1340"/>
      <c r="H13" s="1340"/>
      <c r="I13" s="1340">
        <v>53708</v>
      </c>
      <c r="J13" s="1340"/>
      <c r="K13" s="1340"/>
      <c r="L13" s="1337">
        <f t="shared" si="0"/>
        <v>53708</v>
      </c>
      <c r="M13" s="1340">
        <v>56593</v>
      </c>
    </row>
    <row r="14" spans="2:14" ht="20.100000000000001" customHeight="1" x14ac:dyDescent="0.2">
      <c r="B14" s="1334" t="s">
        <v>2103</v>
      </c>
      <c r="C14" s="1338"/>
      <c r="D14" s="1339"/>
      <c r="E14" s="1340"/>
      <c r="F14" s="1340">
        <v>29220</v>
      </c>
      <c r="G14" s="1340"/>
      <c r="H14" s="1340"/>
      <c r="I14" s="1340">
        <v>53708</v>
      </c>
      <c r="J14" s="1340"/>
      <c r="K14" s="1340"/>
      <c r="L14" s="1337">
        <f t="shared" si="0"/>
        <v>53708</v>
      </c>
      <c r="M14" s="1340"/>
    </row>
    <row r="15" spans="2:14" ht="20.100000000000001" customHeight="1" x14ac:dyDescent="0.2">
      <c r="B15" s="1334"/>
      <c r="C15" s="1338"/>
      <c r="D15" s="1339"/>
      <c r="E15" s="1340"/>
      <c r="F15" s="1340"/>
      <c r="G15" s="1340"/>
      <c r="H15" s="1340"/>
      <c r="I15" s="1340"/>
      <c r="J15" s="1340"/>
      <c r="K15" s="1340"/>
      <c r="L15" s="1337">
        <f t="shared" si="0"/>
        <v>0</v>
      </c>
      <c r="M15" s="1340"/>
    </row>
    <row r="16" spans="2:14" ht="20.100000000000001" customHeight="1" x14ac:dyDescent="0.2">
      <c r="B16" s="1334" t="s">
        <v>2106</v>
      </c>
      <c r="C16" s="1338"/>
      <c r="D16" s="1339"/>
      <c r="E16" s="1340"/>
      <c r="F16" s="1340"/>
      <c r="G16" s="1340"/>
      <c r="H16" s="1340"/>
      <c r="I16" s="1340"/>
      <c r="J16" s="1340"/>
      <c r="K16" s="1340"/>
      <c r="L16" s="1337">
        <f t="shared" si="0"/>
        <v>0</v>
      </c>
      <c r="M16" s="1340"/>
    </row>
    <row r="17" spans="2:14" ht="20.100000000000001" customHeight="1" x14ac:dyDescent="0.2">
      <c r="B17" s="1334" t="s">
        <v>2107</v>
      </c>
      <c r="C17" s="1338" t="s">
        <v>2109</v>
      </c>
      <c r="D17" s="1339" t="s">
        <v>2110</v>
      </c>
      <c r="E17" s="1340">
        <v>16432</v>
      </c>
      <c r="F17" s="1340"/>
      <c r="G17" s="1340">
        <v>16432</v>
      </c>
      <c r="H17" s="1340"/>
      <c r="I17" s="1340"/>
      <c r="J17" s="1340"/>
      <c r="K17" s="1340"/>
      <c r="L17" s="1337">
        <f t="shared" si="0"/>
        <v>16432</v>
      </c>
      <c r="M17" s="1340">
        <v>16432</v>
      </c>
    </row>
    <row r="18" spans="2:14" ht="20.100000000000001" customHeight="1" x14ac:dyDescent="0.2">
      <c r="B18" s="1334" t="s">
        <v>2107</v>
      </c>
      <c r="C18" s="1338" t="s">
        <v>2109</v>
      </c>
      <c r="D18" s="1339" t="s">
        <v>2111</v>
      </c>
      <c r="E18" s="1340"/>
      <c r="F18" s="1340">
        <v>16432</v>
      </c>
      <c r="G18" s="1340"/>
      <c r="H18" s="1340"/>
      <c r="I18" s="1340">
        <v>16432</v>
      </c>
      <c r="J18" s="1340"/>
      <c r="K18" s="1340"/>
      <c r="L18" s="1337">
        <f t="shared" si="0"/>
        <v>16432</v>
      </c>
      <c r="M18" s="1340">
        <v>16432</v>
      </c>
    </row>
    <row r="19" spans="2:14" ht="20.100000000000001" customHeight="1" x14ac:dyDescent="0.2">
      <c r="B19" s="1334" t="s">
        <v>2108</v>
      </c>
      <c r="C19" s="1338"/>
      <c r="D19" s="1339"/>
      <c r="E19" s="1340">
        <v>16432</v>
      </c>
      <c r="F19" s="1340">
        <v>16432</v>
      </c>
      <c r="G19" s="1340">
        <v>16432</v>
      </c>
      <c r="H19" s="1340"/>
      <c r="I19" s="1340">
        <v>16432</v>
      </c>
      <c r="J19" s="1340"/>
      <c r="K19" s="1340"/>
      <c r="L19" s="1337">
        <f t="shared" si="0"/>
        <v>32864</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t="s">
        <v>2169</v>
      </c>
      <c r="C21" s="1338"/>
      <c r="D21" s="1339"/>
      <c r="E21" s="1340">
        <v>792425</v>
      </c>
      <c r="F21" s="1340">
        <v>1160201</v>
      </c>
      <c r="G21" s="1340">
        <v>866923</v>
      </c>
      <c r="H21" s="1340"/>
      <c r="I21" s="1340">
        <v>1217489</v>
      </c>
      <c r="J21" s="1340"/>
      <c r="K21" s="1340"/>
      <c r="L21" s="1337">
        <f t="shared" si="0"/>
        <v>2084412</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I25" sqref="I2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Adlai E Stevenson HSD 125</v>
      </c>
      <c r="C1" s="2433"/>
      <c r="D1" s="2433"/>
      <c r="E1" s="2433"/>
      <c r="F1" s="2433"/>
      <c r="G1" s="2433"/>
      <c r="H1" s="2433"/>
      <c r="I1" s="2433"/>
      <c r="J1" s="2433"/>
      <c r="K1" s="2433"/>
      <c r="L1" s="2433"/>
      <c r="M1" s="2433"/>
    </row>
    <row r="2" spans="2:14" ht="15" x14ac:dyDescent="0.2">
      <c r="B2" s="2434">
        <f>'Single Audit Cover'!E7</f>
        <v>34049125013</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2112</v>
      </c>
      <c r="C11" s="1335"/>
      <c r="D11" s="1336"/>
      <c r="E11" s="1337"/>
      <c r="F11" s="1337"/>
      <c r="G11" s="1337"/>
      <c r="H11" s="1337"/>
      <c r="I11" s="1337"/>
      <c r="J11" s="1337"/>
      <c r="K11" s="1337"/>
      <c r="L11" s="1337">
        <f>+G11+I11+K11</f>
        <v>0</v>
      </c>
      <c r="M11" s="1337"/>
    </row>
    <row r="12" spans="2:14" ht="20.100000000000001" customHeight="1" x14ac:dyDescent="0.2">
      <c r="B12" s="1334" t="s">
        <v>2113</v>
      </c>
      <c r="C12" s="1338"/>
      <c r="D12" s="1339"/>
      <c r="E12" s="1340"/>
      <c r="F12" s="1340"/>
      <c r="G12" s="1340"/>
      <c r="H12" s="1340"/>
      <c r="I12" s="1340"/>
      <c r="J12" s="1340"/>
      <c r="K12" s="1340"/>
      <c r="L12" s="1337">
        <f t="shared" ref="L12:L27" si="0">+G12+I12+K12</f>
        <v>0</v>
      </c>
      <c r="M12" s="1340"/>
    </row>
    <row r="13" spans="2:14" ht="20.100000000000001" customHeight="1" x14ac:dyDescent="0.2">
      <c r="B13" s="1334" t="s">
        <v>2114</v>
      </c>
      <c r="C13" s="1338">
        <v>93.778000000000006</v>
      </c>
      <c r="D13" s="1339" t="s">
        <v>2121</v>
      </c>
      <c r="E13" s="1340">
        <v>22182</v>
      </c>
      <c r="F13" s="1340">
        <v>7091</v>
      </c>
      <c r="G13" s="1340">
        <v>30493</v>
      </c>
      <c r="H13" s="1340"/>
      <c r="I13" s="1340"/>
      <c r="J13" s="1340"/>
      <c r="K13" s="1340"/>
      <c r="L13" s="1337">
        <f t="shared" si="0"/>
        <v>30493</v>
      </c>
      <c r="M13" s="1340" t="s">
        <v>2101</v>
      </c>
    </row>
    <row r="14" spans="2:14" ht="20.100000000000001" customHeight="1" x14ac:dyDescent="0.2">
      <c r="B14" s="1334" t="s">
        <v>2114</v>
      </c>
      <c r="C14" s="1338">
        <v>93.778000000000006</v>
      </c>
      <c r="D14" s="1339" t="s">
        <v>2122</v>
      </c>
      <c r="E14" s="1340"/>
      <c r="F14" s="1340">
        <v>19928</v>
      </c>
      <c r="G14" s="1340"/>
      <c r="H14" s="1340"/>
      <c r="I14" s="1340">
        <v>28247</v>
      </c>
      <c r="J14" s="1340"/>
      <c r="K14" s="1340"/>
      <c r="L14" s="1337">
        <f t="shared" si="0"/>
        <v>28247</v>
      </c>
      <c r="M14" s="1340" t="s">
        <v>2101</v>
      </c>
    </row>
    <row r="15" spans="2:14" ht="20.100000000000001" customHeight="1" x14ac:dyDescent="0.2">
      <c r="B15" s="1334" t="s">
        <v>2115</v>
      </c>
      <c r="C15" s="1338"/>
      <c r="D15" s="1339"/>
      <c r="E15" s="1340">
        <v>22182</v>
      </c>
      <c r="F15" s="1340">
        <v>27019</v>
      </c>
      <c r="G15" s="1340">
        <v>30493</v>
      </c>
      <c r="H15" s="1340"/>
      <c r="I15" s="1340">
        <v>28247</v>
      </c>
      <c r="J15" s="1340"/>
      <c r="K15" s="1340"/>
      <c r="L15" s="1337">
        <f t="shared" si="0"/>
        <v>58740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t="s">
        <v>2116</v>
      </c>
      <c r="C17" s="1338"/>
      <c r="D17" s="1339"/>
      <c r="E17" s="1340">
        <v>814607</v>
      </c>
      <c r="F17" s="1340">
        <v>1187220</v>
      </c>
      <c r="G17" s="1340">
        <v>897416</v>
      </c>
      <c r="H17" s="1340"/>
      <c r="I17" s="1340">
        <v>1245736</v>
      </c>
      <c r="J17" s="1340"/>
      <c r="K17" s="1340"/>
      <c r="L17" s="1337">
        <f t="shared" si="0"/>
        <v>2143152</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t="s">
        <v>2117</v>
      </c>
      <c r="C21" s="1338" t="s">
        <v>2101</v>
      </c>
      <c r="D21" s="1339" t="s">
        <v>2101</v>
      </c>
      <c r="E21" s="1340">
        <v>0</v>
      </c>
      <c r="F21" s="1340">
        <v>0</v>
      </c>
      <c r="G21" s="1340">
        <v>0</v>
      </c>
      <c r="H21" s="1340"/>
      <c r="I21" s="1340">
        <v>0</v>
      </c>
      <c r="J21" s="1340"/>
      <c r="K21" s="1340"/>
      <c r="L21" s="1337">
        <f t="shared" si="0"/>
        <v>0</v>
      </c>
      <c r="M21" s="1340"/>
    </row>
    <row r="22" spans="2:14" ht="20.100000000000001" customHeight="1" x14ac:dyDescent="0.2">
      <c r="B22" s="1334" t="s">
        <v>2118</v>
      </c>
      <c r="C22" s="1338" t="s">
        <v>2101</v>
      </c>
      <c r="D22" s="1339" t="s">
        <v>2101</v>
      </c>
      <c r="E22" s="1340">
        <v>0</v>
      </c>
      <c r="F22" s="1340">
        <v>0</v>
      </c>
      <c r="G22" s="1340">
        <v>0</v>
      </c>
      <c r="H22" s="1340"/>
      <c r="I22" s="1340">
        <v>0</v>
      </c>
      <c r="J22" s="1340"/>
      <c r="K22" s="1340"/>
      <c r="L22" s="1337">
        <f t="shared" si="0"/>
        <v>0</v>
      </c>
      <c r="M22" s="1340"/>
    </row>
    <row r="23" spans="2:14" ht="20.100000000000001" customHeight="1" x14ac:dyDescent="0.2">
      <c r="B23" s="1334" t="s">
        <v>2119</v>
      </c>
      <c r="C23" s="1338" t="s">
        <v>2101</v>
      </c>
      <c r="D23" s="1339" t="s">
        <v>2101</v>
      </c>
      <c r="E23" s="1340">
        <v>0</v>
      </c>
      <c r="F23" s="1340">
        <v>0</v>
      </c>
      <c r="G23" s="1340">
        <v>0</v>
      </c>
      <c r="H23" s="1340"/>
      <c r="I23" s="1340">
        <v>0</v>
      </c>
      <c r="J23" s="1340"/>
      <c r="K23" s="1340"/>
      <c r="L23" s="1337">
        <f t="shared" si="0"/>
        <v>0</v>
      </c>
      <c r="M23" s="1340"/>
    </row>
    <row r="24" spans="2:14" ht="20.100000000000001" customHeight="1" x14ac:dyDescent="0.2">
      <c r="B24" s="1334" t="s">
        <v>2120</v>
      </c>
      <c r="C24" s="1338" t="s">
        <v>2101</v>
      </c>
      <c r="D24" s="1339" t="s">
        <v>2101</v>
      </c>
      <c r="E24" s="1340">
        <v>0</v>
      </c>
      <c r="F24" s="1340">
        <v>0</v>
      </c>
      <c r="G24" s="1340">
        <v>0</v>
      </c>
      <c r="H24" s="1340"/>
      <c r="I24" s="1340">
        <v>0</v>
      </c>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topLeftCell="A21"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Adlai E Stevenson HSD 125</v>
      </c>
      <c r="B1" s="2438"/>
      <c r="C1" s="2438"/>
      <c r="D1" s="2438"/>
      <c r="E1" s="2438"/>
      <c r="F1" s="2438"/>
    </row>
    <row r="2" spans="1:7" ht="13.5" customHeight="1" x14ac:dyDescent="0.2">
      <c r="A2" s="2434">
        <f>'Single Audit Cover'!E7</f>
        <v>34049125013</v>
      </c>
      <c r="B2" s="2434"/>
      <c r="C2" s="2434"/>
      <c r="D2" s="2434"/>
      <c r="E2" s="2434"/>
      <c r="F2" s="2434"/>
      <c r="G2" s="1272"/>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1728</v>
      </c>
      <c r="C6" s="317"/>
      <c r="D6" s="317"/>
    </row>
    <row r="7" spans="1:7" ht="60.95" customHeight="1" x14ac:dyDescent="0.2">
      <c r="A7" s="2437" t="s">
        <v>2123</v>
      </c>
      <c r="B7" s="2437"/>
      <c r="C7" s="2437"/>
      <c r="D7" s="2437"/>
      <c r="E7" s="2437"/>
      <c r="F7" s="2437"/>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7" t="s">
        <v>2124</v>
      </c>
      <c r="B13" s="2437"/>
      <c r="C13" s="2437"/>
      <c r="D13" s="2437"/>
      <c r="E13" s="2437"/>
      <c r="F13" s="2437"/>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t="s">
        <v>2125</v>
      </c>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5" t="s">
        <v>2126</v>
      </c>
      <c r="B32" s="2445"/>
      <c r="C32" s="2445"/>
      <c r="D32" s="2445"/>
      <c r="E32" s="2445"/>
      <c r="F32" s="2445"/>
    </row>
    <row r="33" spans="1:6" ht="13.5" customHeight="1" x14ac:dyDescent="0.2">
      <c r="A33" s="328" t="s">
        <v>1434</v>
      </c>
      <c r="B33" s="328"/>
      <c r="C33" s="1285">
        <v>0</v>
      </c>
      <c r="D33" s="1903"/>
      <c r="E33" s="1283"/>
    </row>
    <row r="34" spans="1:6" ht="13.5" customHeight="1" x14ac:dyDescent="0.2">
      <c r="A34" s="328" t="s">
        <v>1835</v>
      </c>
      <c r="B34" s="328"/>
      <c r="C34" s="1286">
        <v>0</v>
      </c>
      <c r="D34" s="1903" t="s">
        <v>1589</v>
      </c>
      <c r="E34" s="2446">
        <f>+C33+C34</f>
        <v>0</v>
      </c>
      <c r="F34" s="2447"/>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383</v>
      </c>
      <c r="D38" s="1903"/>
      <c r="E38" s="1283"/>
    </row>
    <row r="39" spans="1:6" ht="14.25" customHeight="1" x14ac:dyDescent="0.2">
      <c r="A39" s="328"/>
      <c r="B39" s="328" t="s">
        <v>1436</v>
      </c>
      <c r="C39" s="1289" t="s">
        <v>383</v>
      </c>
      <c r="D39" s="1903"/>
      <c r="E39" s="1283"/>
    </row>
    <row r="40" spans="1:6" ht="14.25" customHeight="1" x14ac:dyDescent="0.2">
      <c r="A40" s="328"/>
      <c r="B40" s="328" t="s">
        <v>1437</v>
      </c>
      <c r="C40" s="1289" t="s">
        <v>383</v>
      </c>
      <c r="D40" s="1903"/>
      <c r="E40" s="1283"/>
    </row>
    <row r="41" spans="1:6" ht="14.25" customHeight="1" x14ac:dyDescent="0.2">
      <c r="A41" s="328"/>
      <c r="B41" s="328" t="s">
        <v>1438</v>
      </c>
      <c r="C41" s="1289" t="s">
        <v>383</v>
      </c>
      <c r="D41" s="1903"/>
      <c r="E41" s="1283"/>
    </row>
    <row r="42" spans="1:6" ht="14.25" customHeight="1" x14ac:dyDescent="0.2">
      <c r="A42" s="328" t="s">
        <v>1439</v>
      </c>
      <c r="B42" s="328"/>
      <c r="C42" s="1901" t="s">
        <v>383</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zoomScale="110" zoomScaleNormal="110" workbookViewId="0">
      <selection activeCell="G9" sqref="G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Adlai E Stevenson HSD 125</v>
      </c>
      <c r="C1" s="2454"/>
      <c r="D1" s="2454"/>
      <c r="E1" s="2454"/>
      <c r="F1" s="2454"/>
      <c r="G1" s="2454"/>
      <c r="H1" s="2454"/>
      <c r="I1" s="2454"/>
      <c r="J1" s="1406"/>
    </row>
    <row r="2" spans="2:10" s="317" customFormat="1" ht="12.75" customHeight="1" x14ac:dyDescent="0.2">
      <c r="B2" s="2455">
        <f>'Single Audit Cover'!E7</f>
        <v>34049125013</v>
      </c>
      <c r="C2" s="2456"/>
      <c r="D2" s="2456"/>
      <c r="E2" s="2456"/>
      <c r="F2" s="2456"/>
      <c r="G2" s="2456"/>
      <c r="H2" s="2456"/>
      <c r="I2" s="2456"/>
      <c r="J2" s="1406"/>
    </row>
    <row r="3" spans="2:10" s="317" customFormat="1" ht="12.75" customHeight="1" x14ac:dyDescent="0.2">
      <c r="B3" s="2457" t="s">
        <v>1285</v>
      </c>
      <c r="C3" s="2458"/>
      <c r="D3" s="2458"/>
      <c r="E3" s="2458"/>
      <c r="F3" s="2458"/>
      <c r="G3" s="2458"/>
      <c r="H3" s="2458"/>
      <c r="I3" s="2458"/>
      <c r="J3" s="140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7" t="s">
        <v>1284</v>
      </c>
      <c r="C7" s="2458"/>
      <c r="D7" s="2458"/>
      <c r="E7" s="2458"/>
      <c r="F7" s="2458"/>
      <c r="G7" s="2458"/>
      <c r="H7" s="2458"/>
      <c r="I7" s="245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9" t="s">
        <v>1164</v>
      </c>
      <c r="D11" s="245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2061</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0" t="s">
        <v>2127</v>
      </c>
      <c r="E29" s="2460"/>
      <c r="F29" s="2460"/>
      <c r="G29" s="2460"/>
      <c r="H29" s="2460"/>
      <c r="I29" s="2460"/>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2061</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1" t="s">
        <v>1748</v>
      </c>
      <c r="D37" s="2462"/>
      <c r="E37" s="2462"/>
      <c r="F37" s="2463"/>
      <c r="G37" s="2461" t="s">
        <v>1592</v>
      </c>
      <c r="H37" s="2462"/>
      <c r="I37" s="2463"/>
    </row>
    <row r="38" spans="2:9" ht="16.5" customHeight="1" x14ac:dyDescent="0.2">
      <c r="B38" s="1428" t="s">
        <v>2096</v>
      </c>
      <c r="C38" s="2449" t="s">
        <v>2089</v>
      </c>
      <c r="D38" s="2450"/>
      <c r="E38" s="2450"/>
      <c r="F38" s="2451"/>
      <c r="G38" s="2464">
        <v>1147349</v>
      </c>
      <c r="H38" s="2465"/>
      <c r="I38" s="2466"/>
    </row>
    <row r="39" spans="2:9" ht="16.5" customHeight="1" x14ac:dyDescent="0.2">
      <c r="B39" s="1428"/>
      <c r="C39" s="2449"/>
      <c r="D39" s="2450"/>
      <c r="E39" s="2450"/>
      <c r="F39" s="2451"/>
      <c r="G39" s="2452"/>
      <c r="H39" s="2452"/>
      <c r="I39" s="2452"/>
    </row>
    <row r="40" spans="2:9" ht="16.5" customHeight="1" x14ac:dyDescent="0.2">
      <c r="B40" s="1428"/>
      <c r="C40" s="2449"/>
      <c r="D40" s="2450"/>
      <c r="E40" s="2450"/>
      <c r="F40" s="2451"/>
      <c r="G40" s="2452"/>
      <c r="H40" s="2452"/>
      <c r="I40" s="2452"/>
    </row>
    <row r="41" spans="2:9" ht="16.5" customHeight="1" x14ac:dyDescent="0.2">
      <c r="B41" s="1428"/>
      <c r="C41" s="2449"/>
      <c r="D41" s="2450"/>
      <c r="E41" s="2450"/>
      <c r="F41" s="2451"/>
      <c r="G41" s="2452"/>
      <c r="H41" s="2452"/>
      <c r="I41" s="2452"/>
    </row>
    <row r="42" spans="2:9" ht="16.5" customHeight="1" x14ac:dyDescent="0.2">
      <c r="B42" s="1428"/>
      <c r="C42" s="2449"/>
      <c r="D42" s="2450"/>
      <c r="E42" s="2450"/>
      <c r="F42" s="2451"/>
      <c r="G42" s="2452"/>
      <c r="H42" s="2452"/>
      <c r="I42" s="2452"/>
    </row>
    <row r="43" spans="2:9" ht="16.5" customHeight="1" x14ac:dyDescent="0.2">
      <c r="B43" s="1428"/>
      <c r="C43" s="2467" t="s">
        <v>1593</v>
      </c>
      <c r="D43" s="2468"/>
      <c r="E43" s="2468"/>
      <c r="F43" s="2469"/>
      <c r="G43" s="2470">
        <f>SUM(G38:I42)</f>
        <v>1147349</v>
      </c>
      <c r="H43" s="2470"/>
      <c r="I43" s="2470"/>
    </row>
    <row r="44" spans="2:9" ht="12.75" customHeight="1" x14ac:dyDescent="0.2"/>
    <row r="45" spans="2:9" ht="12.75" customHeight="1" x14ac:dyDescent="0.2">
      <c r="B45" s="1419" t="s">
        <v>1838</v>
      </c>
      <c r="D45" s="2471">
        <v>1245736</v>
      </c>
      <c r="E45" s="2472"/>
    </row>
    <row r="46" spans="2:9" ht="5.25" customHeight="1" x14ac:dyDescent="0.2">
      <c r="B46" s="1429"/>
      <c r="D46" s="1430"/>
      <c r="E46" s="1431"/>
    </row>
    <row r="47" spans="2:9" ht="12.75" customHeight="1" x14ac:dyDescent="0.2">
      <c r="B47" s="1297" t="s">
        <v>1594</v>
      </c>
      <c r="C47" s="1297"/>
      <c r="D47" s="1432">
        <f>+G43/D45</f>
        <v>0.92102098679013855</v>
      </c>
      <c r="E47" s="1433"/>
      <c r="F47" s="1434"/>
      <c r="I47" s="1435"/>
    </row>
    <row r="48" spans="2:9" ht="9.9499999999999993" customHeight="1" x14ac:dyDescent="0.2"/>
    <row r="49" spans="1:9" x14ac:dyDescent="0.2">
      <c r="B49" s="1365" t="s">
        <v>1273</v>
      </c>
      <c r="C49" s="1279"/>
      <c r="D49" s="1279"/>
      <c r="E49" s="2473">
        <v>750000</v>
      </c>
      <c r="F49" s="2473"/>
      <c r="G49" s="2473"/>
      <c r="H49" s="322"/>
    </row>
    <row r="51" spans="1:9" ht="13.5" customHeight="1" x14ac:dyDescent="0.2">
      <c r="B51" s="1365" t="s">
        <v>1272</v>
      </c>
      <c r="C51" s="1279"/>
      <c r="E51" s="1422"/>
      <c r="F51" s="1297" t="s">
        <v>885</v>
      </c>
      <c r="G51" s="1422" t="s">
        <v>2061</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Adlai E Stevenson HSD 125</v>
      </c>
      <c r="C1" s="2453"/>
      <c r="D1" s="2453"/>
      <c r="E1" s="2453"/>
      <c r="F1" s="2453"/>
      <c r="G1" s="2453"/>
      <c r="H1" s="2453"/>
      <c r="I1" s="2453"/>
      <c r="J1" s="2453"/>
      <c r="K1" s="2453"/>
      <c r="L1" s="1371"/>
      <c r="M1" s="1371"/>
    </row>
    <row r="2" spans="1:13" ht="12" customHeight="1" x14ac:dyDescent="0.2">
      <c r="B2" s="2455">
        <f>'Single Audit Cover'!E7</f>
        <v>34049125013</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t="s">
        <v>2128</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Adlai E Stevenson HSD 125</v>
      </c>
      <c r="C1" s="2480"/>
      <c r="D1" s="2480"/>
      <c r="E1" s="2480"/>
      <c r="F1" s="2480"/>
      <c r="G1" s="2480"/>
      <c r="H1" s="2480"/>
      <c r="I1" s="2480"/>
      <c r="J1" s="2480"/>
      <c r="K1" s="2480"/>
      <c r="L1" s="1449"/>
    </row>
    <row r="2" spans="1:12" ht="12.75" customHeight="1" x14ac:dyDescent="0.2">
      <c r="B2" s="2481">
        <f>'Single Audit Cover'!E7</f>
        <v>34049125013</v>
      </c>
      <c r="C2" s="2481"/>
      <c r="D2" s="2481"/>
      <c r="E2" s="2481"/>
      <c r="F2" s="2481"/>
      <c r="G2" s="2481"/>
      <c r="H2" s="2481"/>
      <c r="I2" s="2481"/>
      <c r="J2" s="2481"/>
      <c r="K2" s="2481"/>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t="s">
        <v>2128</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0"/>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B9" sqref="B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Adlai E Stevenson HSD 125</v>
      </c>
      <c r="C1" s="2453"/>
      <c r="D1" s="2453"/>
      <c r="E1" s="1469"/>
    </row>
    <row r="2" spans="2:5" s="1279" customFormat="1" ht="12.75" customHeight="1" x14ac:dyDescent="0.2">
      <c r="B2" s="2455">
        <f>'Single Audit Cover'!E7</f>
        <v>34049125013</v>
      </c>
      <c r="C2" s="2455"/>
      <c r="D2" s="2455"/>
      <c r="E2" s="1470"/>
    </row>
    <row r="3" spans="2:5" ht="12.75" customHeight="1" x14ac:dyDescent="0.2">
      <c r="B3" s="2476" t="s">
        <v>1763</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c r="C7" s="324"/>
      <c r="D7" s="324"/>
      <c r="E7" s="324"/>
    </row>
    <row r="8" spans="2:5" ht="13.5" customHeight="1" x14ac:dyDescent="0.2">
      <c r="B8" s="1474" t="s">
        <v>2128</v>
      </c>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0"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2061</v>
      </c>
      <c r="C53" s="179">
        <v>22</v>
      </c>
      <c r="D53" s="247" t="s">
        <v>1462</v>
      </c>
      <c r="E53" s="248"/>
      <c r="F53" s="249"/>
      <c r="G53" s="249" t="s">
        <v>1461</v>
      </c>
      <c r="H53" s="250">
        <v>33604</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2067</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3616554344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1.821805E-2</v>
      </c>
      <c r="E10" s="356" t="s">
        <v>1005</v>
      </c>
      <c r="F10" s="355">
        <v>5.1983200000000002E-3</v>
      </c>
      <c r="G10" s="356" t="s">
        <v>1005</v>
      </c>
      <c r="H10" s="355">
        <v>1.38254E-3</v>
      </c>
      <c r="I10" s="356" t="s">
        <v>1006</v>
      </c>
      <c r="J10" s="1732">
        <f>ROUND(D10+F10+H10,5)</f>
        <v>2.4799999999999999E-2</v>
      </c>
      <c r="K10" s="222"/>
      <c r="L10" s="355">
        <v>1.3825999999999999E-4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102567454</v>
      </c>
      <c r="E16" s="356"/>
      <c r="F16" s="1733">
        <f>SUM('Acct Summary 7-8'!C17,'Acct Summary 7-8'!D17,'Acct Summary 7-8'!F17)</f>
        <v>108432985</v>
      </c>
      <c r="G16" s="356"/>
      <c r="H16" s="1733">
        <f>SUM(D16-F16)</f>
        <v>-5865531</v>
      </c>
      <c r="I16" s="222"/>
      <c r="J16" s="1733">
        <f>SUM('Acct Summary 7-8'!C81,'Acct Summary 7-8'!D81,'Acct Summary 7-8'!F81,'Acct Summary 7-8'!I81)</f>
        <v>138216370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2061</v>
      </c>
      <c r="C31" s="367" t="s">
        <v>586</v>
      </c>
      <c r="D31" s="237" t="s">
        <v>1072</v>
      </c>
      <c r="E31" s="222"/>
      <c r="F31" s="222"/>
      <c r="G31" s="363"/>
      <c r="H31" s="1735">
        <f>IF(B31="X",(J7*0.069),IF(B32="X",(J7*0.138),"Enter x in a.or b."))</f>
        <v>249542249.73600003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44894385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Adlai E Stevenson HSD 125</v>
      </c>
      <c r="E7" s="391"/>
      <c r="G7" s="252"/>
      <c r="H7" s="387"/>
      <c r="I7" s="387"/>
      <c r="J7" s="387"/>
      <c r="K7" s="387"/>
      <c r="L7" s="329"/>
      <c r="M7" s="329"/>
      <c r="N7" s="329"/>
      <c r="O7" s="329"/>
      <c r="P7" s="329"/>
    </row>
    <row r="8" spans="1:18" ht="12.75" x14ac:dyDescent="0.2">
      <c r="A8" s="329"/>
      <c r="B8" s="329"/>
      <c r="C8" s="389" t="s">
        <v>1125</v>
      </c>
      <c r="D8" s="392">
        <f>COVER!A13</f>
        <v>34049125013</v>
      </c>
      <c r="E8" s="393"/>
      <c r="G8" s="329"/>
      <c r="H8" s="329"/>
      <c r="I8" s="329"/>
      <c r="J8" s="329"/>
      <c r="K8" s="329"/>
      <c r="L8" s="329"/>
      <c r="M8" s="329"/>
      <c r="N8" s="329"/>
      <c r="O8" s="329"/>
      <c r="P8" s="329"/>
    </row>
    <row r="9" spans="1:18" ht="12.75" x14ac:dyDescent="0.2">
      <c r="A9" s="329"/>
      <c r="B9" s="329"/>
      <c r="C9" s="389" t="s">
        <v>713</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138216370</v>
      </c>
      <c r="I12" s="404"/>
      <c r="J12" s="404"/>
      <c r="K12" s="405">
        <f>TRUNC((H12/H13*100000),5)/100000</f>
        <v>1.3483655291000001</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102506603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-60851</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108432985</v>
      </c>
      <c r="I17" s="404"/>
      <c r="J17" s="416"/>
      <c r="K17" s="405">
        <f>TRUNC((H17/H18*100000),5)/100000</f>
        <v>1.0578146365000001</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102506603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-60851</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21.592551699999998</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137480777</v>
      </c>
      <c r="I24" s="422"/>
      <c r="J24" s="422"/>
      <c r="K24" s="423">
        <f>TRUNC(((H24/H25*100000)/100000),2)</f>
        <v>456.43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301202.73611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76236965.571520001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44894385</v>
      </c>
      <c r="I32" s="420"/>
      <c r="J32" s="420"/>
      <c r="K32" s="423">
        <f>TRUNC(100-((((H32/H33*100))*100)/100),2)</f>
        <v>82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249542249.73600003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F23" sqref="F2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f>100432615</f>
        <v>100432615</v>
      </c>
      <c r="D4" s="466">
        <v>22039408</v>
      </c>
      <c r="E4" s="466">
        <v>3795997</v>
      </c>
      <c r="F4" s="466">
        <v>4186918</v>
      </c>
      <c r="G4" s="466">
        <v>4571444</v>
      </c>
      <c r="H4" s="466">
        <v>0</v>
      </c>
      <c r="I4" s="466">
        <v>10821836</v>
      </c>
      <c r="J4" s="467">
        <v>642164</v>
      </c>
      <c r="K4" s="466">
        <v>1097</v>
      </c>
      <c r="L4" s="466">
        <v>2840358</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v>735593</v>
      </c>
      <c r="D12" s="466"/>
      <c r="E12" s="466"/>
      <c r="F12" s="466"/>
      <c r="G12" s="466"/>
      <c r="H12" s="466"/>
      <c r="I12" s="466"/>
      <c r="J12" s="467"/>
      <c r="K12" s="466"/>
      <c r="L12" s="466"/>
      <c r="M12" s="469"/>
      <c r="N12" s="469"/>
    </row>
    <row r="13" spans="1:14" ht="13.5" customHeight="1" thickBot="1" x14ac:dyDescent="0.25">
      <c r="A13" s="1736" t="s">
        <v>644</v>
      </c>
      <c r="B13" s="1709"/>
      <c r="C13" s="1737">
        <f>SUM(C4:C12)</f>
        <v>101168208</v>
      </c>
      <c r="D13" s="1737">
        <f t="shared" ref="D13:L13" si="0">SUM(D4:D12)</f>
        <v>22039408</v>
      </c>
      <c r="E13" s="1737">
        <f t="shared" si="0"/>
        <v>3795997</v>
      </c>
      <c r="F13" s="1737">
        <f t="shared" si="0"/>
        <v>4186918</v>
      </c>
      <c r="G13" s="1737">
        <f t="shared" si="0"/>
        <v>4571444</v>
      </c>
      <c r="H13" s="1737">
        <f t="shared" si="0"/>
        <v>0</v>
      </c>
      <c r="I13" s="1737">
        <f t="shared" si="0"/>
        <v>10821836</v>
      </c>
      <c r="J13" s="1737">
        <f t="shared" si="0"/>
        <v>642164</v>
      </c>
      <c r="K13" s="1737">
        <f t="shared" si="0"/>
        <v>1097</v>
      </c>
      <c r="L13" s="1737">
        <f t="shared" si="0"/>
        <v>2840358</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878405</v>
      </c>
      <c r="N16" s="484"/>
    </row>
    <row r="17" spans="1:14" s="485" customFormat="1" ht="12.75" customHeight="1" x14ac:dyDescent="0.2">
      <c r="A17" s="482" t="s">
        <v>1403</v>
      </c>
      <c r="B17" s="483">
        <v>230</v>
      </c>
      <c r="C17" s="477"/>
      <c r="D17" s="477"/>
      <c r="E17" s="477"/>
      <c r="F17" s="477"/>
      <c r="G17" s="477"/>
      <c r="H17" s="477"/>
      <c r="I17" s="477"/>
      <c r="J17" s="477"/>
      <c r="K17" s="477"/>
      <c r="L17" s="477"/>
      <c r="M17" s="467">
        <v>241916783</v>
      </c>
      <c r="N17" s="484"/>
    </row>
    <row r="18" spans="1:14" s="485" customFormat="1" ht="12.75" customHeight="1" x14ac:dyDescent="0.2">
      <c r="A18" s="482" t="s">
        <v>1404</v>
      </c>
      <c r="B18" s="483">
        <v>240</v>
      </c>
      <c r="C18" s="477"/>
      <c r="D18" s="477"/>
      <c r="E18" s="477"/>
      <c r="F18" s="477"/>
      <c r="G18" s="477"/>
      <c r="H18" s="477"/>
      <c r="I18" s="477"/>
      <c r="J18" s="477"/>
      <c r="K18" s="477"/>
      <c r="L18" s="477"/>
      <c r="M18" s="467">
        <v>13109241</v>
      </c>
      <c r="N18" s="484"/>
    </row>
    <row r="19" spans="1:14" s="485" customFormat="1" ht="12.75" customHeight="1" x14ac:dyDescent="0.2">
      <c r="A19" s="482" t="s">
        <v>1405</v>
      </c>
      <c r="B19" s="483">
        <v>250</v>
      </c>
      <c r="C19" s="477"/>
      <c r="D19" s="477"/>
      <c r="E19" s="477"/>
      <c r="F19" s="477"/>
      <c r="G19" s="477"/>
      <c r="H19" s="477"/>
      <c r="I19" s="477"/>
      <c r="J19" s="477"/>
      <c r="K19" s="477"/>
      <c r="L19" s="477"/>
      <c r="M19" s="467">
        <v>57529946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3795997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41098388</v>
      </c>
    </row>
    <row r="23" spans="1:14" ht="13.5" customHeight="1" thickBot="1" x14ac:dyDescent="0.25">
      <c r="A23" s="1736" t="s">
        <v>643</v>
      </c>
      <c r="B23" s="1741"/>
      <c r="C23" s="468"/>
      <c r="D23" s="468"/>
      <c r="E23" s="468"/>
      <c r="F23" s="468"/>
      <c r="G23" s="468"/>
      <c r="H23" s="468"/>
      <c r="I23" s="468"/>
      <c r="J23" s="468"/>
      <c r="K23" s="468"/>
      <c r="L23" s="468"/>
      <c r="M23" s="1688">
        <f>SUM(M15:M22)</f>
        <v>313434375</v>
      </c>
      <c r="N23" s="1688">
        <f>SUM(N21:N22)</f>
        <v>44894385</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2840358</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2840358</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44894385</v>
      </c>
    </row>
    <row r="37" spans="1:14" ht="13.5" thickBot="1" x14ac:dyDescent="0.25">
      <c r="A37" s="1736" t="s">
        <v>653</v>
      </c>
      <c r="B37" s="1741"/>
      <c r="C37" s="477"/>
      <c r="D37" s="477"/>
      <c r="E37" s="477"/>
      <c r="F37" s="477"/>
      <c r="G37" s="477"/>
      <c r="H37" s="477"/>
      <c r="I37" s="477"/>
      <c r="J37" s="477"/>
      <c r="K37" s="477"/>
      <c r="L37" s="480"/>
      <c r="M37" s="468"/>
      <c r="N37" s="1688">
        <f>SUM(N36:N36)</f>
        <v>44894385</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101168208</v>
      </c>
      <c r="D39" s="466">
        <v>22039408</v>
      </c>
      <c r="E39" s="466">
        <v>3795997</v>
      </c>
      <c r="F39" s="466">
        <v>4186918</v>
      </c>
      <c r="G39" s="466">
        <v>4571444</v>
      </c>
      <c r="H39" s="466"/>
      <c r="I39" s="466">
        <v>10821836</v>
      </c>
      <c r="J39" s="467">
        <v>642164</v>
      </c>
      <c r="K39" s="466">
        <v>1097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313434375</v>
      </c>
      <c r="N40" s="497"/>
    </row>
    <row r="41" spans="1:14" ht="13.5" customHeight="1" thickBot="1" x14ac:dyDescent="0.25">
      <c r="A41" s="1736" t="s">
        <v>655</v>
      </c>
      <c r="B41" s="1706"/>
      <c r="C41" s="1688">
        <f>(SUM(C34,C37,C38,C39))</f>
        <v>101168208</v>
      </c>
      <c r="D41" s="1688">
        <f t="shared" ref="D41:L41" si="2">SUM(D34,D37,D38:D39)</f>
        <v>22039408</v>
      </c>
      <c r="E41" s="1688">
        <f t="shared" si="2"/>
        <v>3795997</v>
      </c>
      <c r="F41" s="1688">
        <f t="shared" si="2"/>
        <v>4186918</v>
      </c>
      <c r="G41" s="1688">
        <f t="shared" si="2"/>
        <v>4571444</v>
      </c>
      <c r="H41" s="1688">
        <f t="shared" si="2"/>
        <v>0</v>
      </c>
      <c r="I41" s="1688">
        <f t="shared" si="2"/>
        <v>10821836</v>
      </c>
      <c r="J41" s="1688">
        <f t="shared" si="2"/>
        <v>642164</v>
      </c>
      <c r="K41" s="1688">
        <f t="shared" si="2"/>
        <v>1097</v>
      </c>
      <c r="L41" s="1688">
        <f t="shared" si="2"/>
        <v>2840358</v>
      </c>
      <c r="M41" s="1688">
        <f>SUM(M40)</f>
        <v>313434375</v>
      </c>
      <c r="N41" s="1688">
        <f>SUM(N37)</f>
        <v>44894385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3" activePane="bottomLeft" state="frozen"/>
      <selection pane="bottomLeft" activeCell="D71" sqref="D7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72275781</v>
      </c>
      <c r="D4" s="1742">
        <f>'Revenues 9-14'!D109</f>
        <v>17832541</v>
      </c>
      <c r="E4" s="1742">
        <f>'Revenues 9-14'!E109</f>
        <v>4497567</v>
      </c>
      <c r="F4" s="1742">
        <f>'Revenues 9-14'!F109</f>
        <v>4598774</v>
      </c>
      <c r="G4" s="1742">
        <f>'Revenues 9-14'!G109</f>
        <v>3977783</v>
      </c>
      <c r="H4" s="1742">
        <f>'Revenues 9-14'!H109</f>
        <v>397242</v>
      </c>
      <c r="I4" s="1742">
        <f>'Revenues 9-14'!I109</f>
        <v>627059</v>
      </c>
      <c r="J4" s="1742">
        <f>'Revenues 9-14'!J109</f>
        <v>39576</v>
      </c>
      <c r="K4" s="1742">
        <f>'Revenues 9-14'!K109</f>
        <v>18</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4079279</v>
      </c>
      <c r="D6" s="1743">
        <f>'Revenues 9-14'!D170</f>
        <v>0</v>
      </c>
      <c r="E6" s="1743">
        <f>'Revenues 9-14'!E170</f>
        <v>0</v>
      </c>
      <c r="F6" s="1743">
        <f>'Revenues 9-14'!F170</f>
        <v>1674537</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1479483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77834543</v>
      </c>
      <c r="D8" s="1688">
        <f t="shared" ref="D8:K8" si="0">SUM(D4:D7)</f>
        <v>17832541</v>
      </c>
      <c r="E8" s="1688">
        <f t="shared" si="0"/>
        <v>4497567</v>
      </c>
      <c r="F8" s="1688">
        <f t="shared" si="0"/>
        <v>6273311</v>
      </c>
      <c r="G8" s="1688">
        <f t="shared" si="0"/>
        <v>3977783</v>
      </c>
      <c r="H8" s="1688">
        <f t="shared" si="0"/>
        <v>397242</v>
      </c>
      <c r="I8" s="1688">
        <f t="shared" si="0"/>
        <v>627059</v>
      </c>
      <c r="J8" s="1688">
        <f t="shared" si="0"/>
        <v>39576</v>
      </c>
      <c r="K8" s="1688">
        <f t="shared" si="0"/>
        <v>18</v>
      </c>
      <c r="L8" s="347"/>
    </row>
    <row r="9" spans="1:13" ht="15.75" thickTop="1" x14ac:dyDescent="0.2">
      <c r="A9" s="514" t="s">
        <v>1653</v>
      </c>
      <c r="B9" s="515">
        <v>3998</v>
      </c>
      <c r="C9" s="481">
        <v>24109602</v>
      </c>
      <c r="D9" s="516"/>
      <c r="E9" s="481"/>
      <c r="F9" s="481"/>
      <c r="G9" s="517"/>
      <c r="H9" s="481"/>
      <c r="I9" s="509" t="s">
        <v>1169</v>
      </c>
      <c r="J9" s="478"/>
      <c r="K9" s="481"/>
      <c r="L9" s="347"/>
    </row>
    <row r="10" spans="1:13" s="519" customFormat="1" ht="13.5" thickBot="1" x14ac:dyDescent="0.25">
      <c r="A10" s="1736" t="s">
        <v>1173</v>
      </c>
      <c r="B10" s="1709"/>
      <c r="C10" s="1688">
        <f>SUM(C8:C9)</f>
        <v>101944145</v>
      </c>
      <c r="D10" s="1688">
        <f t="shared" ref="D10:K10" si="1">SUM(D8:D9)</f>
        <v>17832541</v>
      </c>
      <c r="E10" s="1688">
        <f t="shared" si="1"/>
        <v>4497567</v>
      </c>
      <c r="F10" s="1688">
        <f t="shared" si="1"/>
        <v>6273311</v>
      </c>
      <c r="G10" s="1688">
        <f t="shared" si="1"/>
        <v>3977783</v>
      </c>
      <c r="H10" s="1688">
        <f t="shared" si="1"/>
        <v>397242</v>
      </c>
      <c r="I10" s="1688">
        <f t="shared" si="1"/>
        <v>627059</v>
      </c>
      <c r="J10" s="1688">
        <f t="shared" si="1"/>
        <v>39576</v>
      </c>
      <c r="K10" s="1688">
        <f t="shared" si="1"/>
        <v>18</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49273482</v>
      </c>
      <c r="D12" s="520" t="s">
        <v>1169</v>
      </c>
      <c r="E12" s="468" t="s">
        <v>1169</v>
      </c>
      <c r="F12" s="468" t="s">
        <v>1169</v>
      </c>
      <c r="G12" s="1742">
        <f>'Expenditures 15-22'!K229</f>
        <v>3241205</v>
      </c>
      <c r="H12" s="521"/>
      <c r="I12" s="468" t="s">
        <v>1169</v>
      </c>
      <c r="J12" s="468" t="s">
        <v>1169</v>
      </c>
      <c r="K12" s="521" t="s">
        <v>1169</v>
      </c>
      <c r="L12" s="347"/>
    </row>
    <row r="13" spans="1:13" ht="15.75" customHeight="1" x14ac:dyDescent="0.2">
      <c r="A13" s="1576" t="s">
        <v>457</v>
      </c>
      <c r="B13" s="1578">
        <v>2000</v>
      </c>
      <c r="C13" s="1743">
        <f>'Expenditures 15-22'!K74</f>
        <v>21617606</v>
      </c>
      <c r="D13" s="1743">
        <f>'Expenditures 15-22'!K129</f>
        <v>25857572</v>
      </c>
      <c r="E13" s="469" t="s">
        <v>1169</v>
      </c>
      <c r="F13" s="1743">
        <f>'Expenditures 15-22'!K184</f>
        <v>4849891</v>
      </c>
      <c r="G13" s="1743">
        <f>'Expenditures 15-22'!K279</f>
        <v>1441768</v>
      </c>
      <c r="H13" s="1743">
        <f>'Expenditures 15-22'!K303</f>
        <v>14285561</v>
      </c>
      <c r="I13" s="468" t="s">
        <v>1169</v>
      </c>
      <c r="J13" s="1743">
        <f>'Expenditures 15-22'!K330</f>
        <v>422748</v>
      </c>
      <c r="K13" s="1747">
        <f>'Expenditures 15-22'!K352</f>
        <v>0</v>
      </c>
      <c r="L13" s="347"/>
    </row>
    <row r="14" spans="1:13" ht="15.75" customHeight="1" x14ac:dyDescent="0.2">
      <c r="A14" s="1576" t="s">
        <v>449</v>
      </c>
      <c r="B14" s="1578">
        <v>3000</v>
      </c>
      <c r="C14" s="1743">
        <f>'Expenditures 15-22'!K75</f>
        <v>2575470</v>
      </c>
      <c r="D14" s="1743">
        <f>'Expenditures 15-22'!K130</f>
        <v>0</v>
      </c>
      <c r="E14" s="520" t="s">
        <v>1169</v>
      </c>
      <c r="F14" s="1743">
        <f>'Expenditures 15-22'!K185</f>
        <v>0</v>
      </c>
      <c r="G14" s="1743">
        <f>'Expenditures 15-22'!K280</f>
        <v>358461</v>
      </c>
      <c r="H14" s="512"/>
      <c r="I14" s="468" t="s">
        <v>1169</v>
      </c>
      <c r="J14" s="468" t="s">
        <v>1169</v>
      </c>
      <c r="K14" s="512" t="s">
        <v>1169</v>
      </c>
      <c r="L14" s="347"/>
    </row>
    <row r="15" spans="1:13" ht="15.75" customHeight="1" x14ac:dyDescent="0.2">
      <c r="A15" s="1576" t="s">
        <v>107</v>
      </c>
      <c r="B15" s="1578">
        <v>4000</v>
      </c>
      <c r="C15" s="1743">
        <f>'Expenditures 15-22'!K102</f>
        <v>4258964</v>
      </c>
      <c r="D15" s="1743">
        <f>'Expenditures 15-22'!K139</f>
        <v>0</v>
      </c>
      <c r="E15" s="1743">
        <f>'Expenditures 15-22'!K160</f>
        <v>0</v>
      </c>
      <c r="F15" s="1743">
        <f>'Expenditures 15-22'!K196</f>
        <v>0</v>
      </c>
      <c r="G15" s="1743">
        <f>'Expenditures 15-22'!K285</f>
        <v>2602</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4922730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77725522</v>
      </c>
      <c r="D17" s="1688">
        <f t="shared" si="2"/>
        <v>25857572</v>
      </c>
      <c r="E17" s="1688">
        <f t="shared" si="2"/>
        <v>4922730</v>
      </c>
      <c r="F17" s="1688">
        <f t="shared" si="2"/>
        <v>4849891</v>
      </c>
      <c r="G17" s="1688">
        <f t="shared" si="2"/>
        <v>5044036</v>
      </c>
      <c r="H17" s="1688">
        <f t="shared" si="2"/>
        <v>14285561</v>
      </c>
      <c r="I17" s="468"/>
      <c r="J17" s="1688">
        <f>SUM(J12:J16)</f>
        <v>422748</v>
      </c>
      <c r="K17" s="1688">
        <f>SUM(K12:K16)</f>
        <v>0</v>
      </c>
      <c r="L17" s="347"/>
    </row>
    <row r="18" spans="1:12" ht="15" customHeight="1" thickTop="1" x14ac:dyDescent="0.2">
      <c r="A18" s="1744" t="s">
        <v>1654</v>
      </c>
      <c r="B18" s="1745">
        <v>4180</v>
      </c>
      <c r="C18" s="1742">
        <f t="shared" ref="C18:H18" si="3">C9</f>
        <v>24109602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101835124</v>
      </c>
      <c r="D19" s="1688">
        <f t="shared" si="4"/>
        <v>25857572</v>
      </c>
      <c r="E19" s="1688">
        <f t="shared" si="4"/>
        <v>4922730</v>
      </c>
      <c r="F19" s="1688">
        <f t="shared" si="4"/>
        <v>4849891</v>
      </c>
      <c r="G19" s="1688">
        <f t="shared" si="4"/>
        <v>5044036</v>
      </c>
      <c r="H19" s="1688">
        <f t="shared" si="4"/>
        <v>14285561</v>
      </c>
      <c r="I19" s="468"/>
      <c r="J19" s="1688">
        <f>SUM(J17:J18)</f>
        <v>422748</v>
      </c>
      <c r="K19" s="1688">
        <f>SUM(K17:K18)</f>
        <v>0</v>
      </c>
      <c r="L19" s="347"/>
    </row>
    <row r="20" spans="1:12" ht="16.5" thickTop="1" thickBot="1" x14ac:dyDescent="0.25">
      <c r="A20" s="2126" t="s">
        <v>1655</v>
      </c>
      <c r="B20" s="2127"/>
      <c r="C20" s="1746">
        <f>C8-C17</f>
        <v>109021</v>
      </c>
      <c r="D20" s="1746">
        <f t="shared" ref="D20:K20" si="5">D8-D17</f>
        <v>-8025031</v>
      </c>
      <c r="E20" s="1746">
        <f t="shared" si="5"/>
        <v>-425163</v>
      </c>
      <c r="F20" s="1746">
        <f t="shared" si="5"/>
        <v>1423420</v>
      </c>
      <c r="G20" s="1746">
        <f t="shared" si="5"/>
        <v>-1066253</v>
      </c>
      <c r="H20" s="1746">
        <f t="shared" si="5"/>
        <v>-13888319</v>
      </c>
      <c r="I20" s="1746">
        <f t="shared" si="5"/>
        <v>627059</v>
      </c>
      <c r="J20" s="1746">
        <f t="shared" si="5"/>
        <v>-383172</v>
      </c>
      <c r="K20" s="1746">
        <f t="shared" si="5"/>
        <v>18</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v>172438</v>
      </c>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f>1726335-172438-19</f>
        <v>1553878</v>
      </c>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f>18</f>
        <v>18</v>
      </c>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v>7282</v>
      </c>
      <c r="E36" s="467"/>
      <c r="F36" s="467"/>
      <c r="G36" s="467"/>
      <c r="H36" s="467"/>
      <c r="I36" s="475"/>
      <c r="J36" s="467"/>
      <c r="K36" s="467"/>
      <c r="L36" s="524"/>
    </row>
    <row r="37" spans="1:12" s="485" customFormat="1" x14ac:dyDescent="0.2">
      <c r="A37" s="1489" t="s">
        <v>441</v>
      </c>
      <c r="B37" s="525">
        <v>7400</v>
      </c>
      <c r="C37" s="475"/>
      <c r="D37" s="475"/>
      <c r="E37" s="1743">
        <f>SUM(C54:D57,H54:H57)</f>
        <v>53832</v>
      </c>
      <c r="F37" s="475"/>
      <c r="G37" s="475"/>
      <c r="H37" s="475"/>
      <c r="I37" s="477"/>
      <c r="J37" s="475"/>
      <c r="K37" s="475"/>
      <c r="L37" s="524"/>
    </row>
    <row r="38" spans="1:12" s="485" customFormat="1" x14ac:dyDescent="0.2">
      <c r="A38" s="1489" t="s">
        <v>442</v>
      </c>
      <c r="B38" s="525">
        <v>7500</v>
      </c>
      <c r="C38" s="477"/>
      <c r="D38" s="477"/>
      <c r="E38" s="1743">
        <f>SUM(C58:D61,H58:H61)</f>
        <v>7019</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1733616</v>
      </c>
      <c r="E44" s="1703">
        <f t="shared" si="6"/>
        <v>60851</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172438</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v>1335314</v>
      </c>
      <c r="D50" s="467"/>
      <c r="E50" s="467">
        <v>61453</v>
      </c>
      <c r="F50" s="467">
        <v>49005</v>
      </c>
      <c r="G50" s="467"/>
      <c r="H50" s="467">
        <v>97242</v>
      </c>
      <c r="I50" s="477"/>
      <c r="J50" s="467">
        <v>10864</v>
      </c>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18</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v>53832</v>
      </c>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v>7019</v>
      </c>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3">
        <f t="shared" ref="C76:K76" si="7">SUM(C47:C75)</f>
        <v>1396165</v>
      </c>
      <c r="D76" s="1703">
        <f t="shared" si="7"/>
        <v>0</v>
      </c>
      <c r="E76" s="1703">
        <f t="shared" si="7"/>
        <v>61453</v>
      </c>
      <c r="F76" s="1703">
        <f t="shared" si="7"/>
        <v>49005</v>
      </c>
      <c r="G76" s="1703">
        <f t="shared" si="7"/>
        <v>0</v>
      </c>
      <c r="H76" s="1703">
        <f t="shared" si="7"/>
        <v>97242</v>
      </c>
      <c r="I76" s="1703">
        <f t="shared" si="7"/>
        <v>172438</v>
      </c>
      <c r="J76" s="1703">
        <f t="shared" si="7"/>
        <v>10864</v>
      </c>
      <c r="K76" s="1703">
        <f t="shared" si="7"/>
        <v>18</v>
      </c>
      <c r="L76" s="524"/>
    </row>
    <row r="77" spans="1:12" ht="14.25" thickTop="1" thickBot="1" x14ac:dyDescent="0.25">
      <c r="A77" s="2118" t="s">
        <v>1177</v>
      </c>
      <c r="B77" s="2119"/>
      <c r="C77" s="1703">
        <f t="shared" ref="C77:K77" si="8">C44-C76</f>
        <v>-1396165</v>
      </c>
      <c r="D77" s="1703">
        <f t="shared" si="8"/>
        <v>1733616</v>
      </c>
      <c r="E77" s="1703">
        <f t="shared" si="8"/>
        <v>-602</v>
      </c>
      <c r="F77" s="1703">
        <f t="shared" si="8"/>
        <v>-49005</v>
      </c>
      <c r="G77" s="1703">
        <f t="shared" si="8"/>
        <v>0</v>
      </c>
      <c r="H77" s="1703">
        <f t="shared" si="8"/>
        <v>-97242</v>
      </c>
      <c r="I77" s="1703">
        <f t="shared" si="8"/>
        <v>-172438</v>
      </c>
      <c r="J77" s="1703">
        <f t="shared" si="8"/>
        <v>-10864</v>
      </c>
      <c r="K77" s="1703">
        <f t="shared" si="8"/>
        <v>-18</v>
      </c>
      <c r="L77" s="347"/>
    </row>
    <row r="78" spans="1:12" ht="21.75" customHeight="1" thickTop="1" thickBot="1" x14ac:dyDescent="0.25">
      <c r="A78" s="2122" t="s">
        <v>597</v>
      </c>
      <c r="B78" s="2123"/>
      <c r="C78" s="1702">
        <f t="shared" ref="C78:K78" si="9">C20+C77</f>
        <v>-1287144</v>
      </c>
      <c r="D78" s="1702">
        <f t="shared" si="9"/>
        <v>-6291415</v>
      </c>
      <c r="E78" s="1702">
        <f t="shared" si="9"/>
        <v>-425765</v>
      </c>
      <c r="F78" s="1702">
        <f t="shared" si="9"/>
        <v>1374415</v>
      </c>
      <c r="G78" s="1702">
        <f t="shared" si="9"/>
        <v>-1066253</v>
      </c>
      <c r="H78" s="1702">
        <f t="shared" si="9"/>
        <v>-13985561</v>
      </c>
      <c r="I78" s="1702">
        <f t="shared" si="9"/>
        <v>454621</v>
      </c>
      <c r="J78" s="1702">
        <f t="shared" si="9"/>
        <v>-394036</v>
      </c>
      <c r="K78" s="1702">
        <f t="shared" si="9"/>
        <v>0</v>
      </c>
      <c r="L78" s="533"/>
    </row>
    <row r="79" spans="1:12" ht="13.5" thickTop="1" x14ac:dyDescent="0.2">
      <c r="A79" s="1494" t="s">
        <v>1946</v>
      </c>
      <c r="B79" s="534"/>
      <c r="C79" s="478">
        <v>102455352</v>
      </c>
      <c r="D79" s="535">
        <v>28330823</v>
      </c>
      <c r="E79" s="535">
        <v>4221762</v>
      </c>
      <c r="F79" s="535">
        <v>2812503</v>
      </c>
      <c r="G79" s="535">
        <v>5637697</v>
      </c>
      <c r="H79" s="535">
        <v>13985561</v>
      </c>
      <c r="I79" s="535">
        <v>10367215</v>
      </c>
      <c r="J79" s="535">
        <v>1036200</v>
      </c>
      <c r="K79" s="535">
        <v>1097</v>
      </c>
      <c r="L79" s="347"/>
    </row>
    <row r="80" spans="1:12" x14ac:dyDescent="0.2">
      <c r="A80" s="2128" t="s">
        <v>1792</v>
      </c>
      <c r="B80" s="2129"/>
      <c r="C80" s="467"/>
      <c r="D80" s="467"/>
      <c r="E80" s="467"/>
      <c r="F80" s="467"/>
      <c r="G80" s="467"/>
      <c r="H80" s="467"/>
      <c r="I80" s="467"/>
      <c r="J80" s="467"/>
      <c r="K80" s="467"/>
      <c r="L80" s="347"/>
    </row>
    <row r="81" spans="1:12" ht="13.5" thickBot="1" x14ac:dyDescent="0.25">
      <c r="A81" s="2120" t="s">
        <v>1947</v>
      </c>
      <c r="B81" s="2121"/>
      <c r="C81" s="1688">
        <f>(SUM(C78:C80))</f>
        <v>101168208</v>
      </c>
      <c r="D81" s="1688">
        <f>SUM(D78:D80)</f>
        <v>22039408</v>
      </c>
      <c r="E81" s="1688">
        <f t="shared" ref="E81:K81" si="10">SUM(E78:E80)</f>
        <v>3795997</v>
      </c>
      <c r="F81" s="1688">
        <f t="shared" si="10"/>
        <v>4186918</v>
      </c>
      <c r="G81" s="1688">
        <f t="shared" si="10"/>
        <v>4571444</v>
      </c>
      <c r="H81" s="1688">
        <f t="shared" si="10"/>
        <v>0</v>
      </c>
      <c r="I81" s="1688">
        <f t="shared" si="10"/>
        <v>10821836</v>
      </c>
      <c r="J81" s="1688">
        <f t="shared" si="10"/>
        <v>642164</v>
      </c>
      <c r="K81" s="1688">
        <f t="shared" si="10"/>
        <v>1097</v>
      </c>
      <c r="L81" s="347"/>
    </row>
    <row r="82" spans="1:12" ht="0.75" customHeight="1" thickTop="1" thickBot="1" x14ac:dyDescent="0.25">
      <c r="A82" s="536" t="s">
        <v>343</v>
      </c>
      <c r="B82" s="537"/>
      <c r="C82" s="538">
        <f>(C81-C79)</f>
        <v>-1287144</v>
      </c>
      <c r="D82" s="538">
        <f t="shared" ref="D82:K82" si="11">(D81-D79)</f>
        <v>-6291415</v>
      </c>
      <c r="E82" s="538">
        <f t="shared" si="11"/>
        <v>-425765</v>
      </c>
      <c r="F82" s="538">
        <f t="shared" si="11"/>
        <v>1374415</v>
      </c>
      <c r="G82" s="538">
        <f t="shared" si="11"/>
        <v>-1066253</v>
      </c>
      <c r="H82" s="538">
        <f t="shared" si="11"/>
        <v>-13985561</v>
      </c>
      <c r="I82" s="538">
        <f t="shared" si="11"/>
        <v>454621</v>
      </c>
      <c r="J82" s="538">
        <f t="shared" si="11"/>
        <v>-394036</v>
      </c>
      <c r="K82" s="538">
        <f t="shared" si="11"/>
        <v>0</v>
      </c>
    </row>
    <row r="83" spans="1:12" ht="14.25" hidden="1" thickTop="1" thickBot="1" x14ac:dyDescent="0.25">
      <c r="A83" s="539" t="s">
        <v>344</v>
      </c>
      <c r="B83" s="464"/>
      <c r="C83" s="540">
        <f>C82/C81</f>
        <v>-1.2722811102871368E-2</v>
      </c>
      <c r="D83" s="540">
        <f t="shared" ref="D83:K83" si="12">D82/D81</f>
        <v>-0.28546206867262497</v>
      </c>
      <c r="E83" s="540">
        <f t="shared" si="12"/>
        <v>-0.11216157441641814</v>
      </c>
      <c r="F83" s="540">
        <f t="shared" si="12"/>
        <v>0.32826413127746951</v>
      </c>
      <c r="G83" s="540">
        <f t="shared" si="12"/>
        <v>-0.23324205655805913</v>
      </c>
      <c r="H83" s="540" t="e">
        <f t="shared" si="12"/>
        <v>#DIV/0!</v>
      </c>
      <c r="I83" s="540">
        <f t="shared" si="12"/>
        <v>4.2009599849785195E-2</v>
      </c>
      <c r="J83" s="540">
        <f t="shared" si="12"/>
        <v>-0.61360649304539028</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8" activePane="bottomLeft" state="frozen"/>
      <selection pane="bottomLeft" activeCell="C263" sqref="C26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1799</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60621326</v>
      </c>
      <c r="D5" s="481">
        <v>17191616</v>
      </c>
      <c r="E5" s="466">
        <v>4436114</v>
      </c>
      <c r="F5" s="548">
        <v>4549769</v>
      </c>
      <c r="G5" s="466">
        <v>2332704</v>
      </c>
      <c r="H5" s="466"/>
      <c r="I5" s="466">
        <v>454621</v>
      </c>
      <c r="J5" s="467">
        <v>9471</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3732577</v>
      </c>
      <c r="D7" s="466"/>
      <c r="E7" s="468"/>
      <c r="F7" s="467"/>
      <c r="G7" s="467"/>
      <c r="H7" s="467"/>
      <c r="I7" s="468"/>
      <c r="J7" s="468"/>
      <c r="K7" s="468"/>
    </row>
    <row r="8" spans="1:12" x14ac:dyDescent="0.2">
      <c r="A8" s="463" t="s">
        <v>413</v>
      </c>
      <c r="B8" s="470">
        <v>1150</v>
      </c>
      <c r="C8" s="475"/>
      <c r="D8" s="475"/>
      <c r="E8" s="477"/>
      <c r="F8" s="477"/>
      <c r="G8" s="481">
        <v>1384532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64353903</v>
      </c>
      <c r="D12" s="1707">
        <f t="shared" si="0"/>
        <v>17191616</v>
      </c>
      <c r="E12" s="1707">
        <f t="shared" si="0"/>
        <v>4436114</v>
      </c>
      <c r="F12" s="1707">
        <f t="shared" si="0"/>
        <v>4549769</v>
      </c>
      <c r="G12" s="1707">
        <f t="shared" si="0"/>
        <v>3717236</v>
      </c>
      <c r="H12" s="1707">
        <f t="shared" si="0"/>
        <v>0</v>
      </c>
      <c r="I12" s="1707">
        <f t="shared" si="0"/>
        <v>454621</v>
      </c>
      <c r="J12" s="1707">
        <f t="shared" si="0"/>
        <v>9471</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102076</v>
      </c>
      <c r="E16" s="466"/>
      <c r="F16" s="466"/>
      <c r="G16" s="466">
        <v>180460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102076</v>
      </c>
      <c r="E18" s="1710">
        <f t="shared" si="1"/>
        <v>0</v>
      </c>
      <c r="F18" s="1710">
        <f t="shared" si="1"/>
        <v>0</v>
      </c>
      <c r="G18" s="1710">
        <f t="shared" si="1"/>
        <v>180460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159947</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918276</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1078223</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f>2718936+40935</f>
        <v>2759871</v>
      </c>
      <c r="D65" s="466">
        <v>374600</v>
      </c>
      <c r="E65" s="466">
        <v>61453</v>
      </c>
      <c r="F65" s="467">
        <v>49005</v>
      </c>
      <c r="G65" s="466">
        <v>80087</v>
      </c>
      <c r="H65" s="466">
        <v>97242</v>
      </c>
      <c r="I65" s="466">
        <v>172438</v>
      </c>
      <c r="J65" s="467">
        <v>10864</v>
      </c>
      <c r="K65" s="466">
        <v>18</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2759871</v>
      </c>
      <c r="D67" s="1688">
        <f t="shared" ref="D67:K67" si="2">SUM(D65:D66)</f>
        <v>374600</v>
      </c>
      <c r="E67" s="1688">
        <f t="shared" si="2"/>
        <v>61453</v>
      </c>
      <c r="F67" s="1688">
        <f t="shared" si="2"/>
        <v>49005</v>
      </c>
      <c r="G67" s="1688">
        <f t="shared" si="2"/>
        <v>80087</v>
      </c>
      <c r="H67" s="1688">
        <f t="shared" si="2"/>
        <v>97242</v>
      </c>
      <c r="I67" s="1688">
        <f t="shared" si="2"/>
        <v>172438</v>
      </c>
      <c r="J67" s="1688">
        <f t="shared" si="2"/>
        <v>10864</v>
      </c>
      <c r="K67" s="1688">
        <f t="shared" si="2"/>
        <v>18</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177662</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177662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32387</v>
      </c>
      <c r="D77" s="466"/>
      <c r="E77" s="468"/>
      <c r="F77" s="468"/>
      <c r="G77" s="468"/>
      <c r="H77" s="468"/>
      <c r="I77" s="468"/>
      <c r="J77" s="468"/>
      <c r="K77" s="468"/>
    </row>
    <row r="78" spans="1:11" ht="12.75" customHeight="1" x14ac:dyDescent="0.2">
      <c r="A78" s="463" t="s">
        <v>76</v>
      </c>
      <c r="B78" s="470">
        <v>1719</v>
      </c>
      <c r="C78" s="551">
        <v>53319</v>
      </c>
      <c r="D78" s="466"/>
      <c r="E78" s="468"/>
      <c r="F78" s="468"/>
      <c r="G78" s="468"/>
      <c r="H78" s="468"/>
      <c r="I78" s="468"/>
      <c r="J78" s="468"/>
      <c r="K78" s="468"/>
    </row>
    <row r="79" spans="1:11" ht="12.75" customHeight="1" x14ac:dyDescent="0.2">
      <c r="A79" s="463" t="s">
        <v>550</v>
      </c>
      <c r="B79" s="470">
        <v>1720</v>
      </c>
      <c r="C79" s="551">
        <v>990143</v>
      </c>
      <c r="D79" s="466"/>
      <c r="E79" s="468"/>
      <c r="F79" s="468"/>
      <c r="G79" s="468"/>
      <c r="H79" s="468"/>
      <c r="I79" s="468"/>
      <c r="J79" s="468"/>
      <c r="K79" s="468"/>
    </row>
    <row r="80" spans="1:11" ht="12.75" customHeight="1" x14ac:dyDescent="0.2">
      <c r="A80" s="463" t="s">
        <v>551</v>
      </c>
      <c r="B80" s="470">
        <v>1730</v>
      </c>
      <c r="C80" s="551">
        <v>73709</v>
      </c>
      <c r="D80" s="466"/>
      <c r="E80" s="468"/>
      <c r="F80" s="468"/>
      <c r="G80" s="468"/>
      <c r="H80" s="468"/>
      <c r="I80" s="468"/>
      <c r="J80" s="468"/>
      <c r="K80" s="468"/>
    </row>
    <row r="81" spans="1:11" ht="12.75" customHeight="1" x14ac:dyDescent="0.2">
      <c r="A81" s="463" t="s">
        <v>26</v>
      </c>
      <c r="B81" s="470">
        <v>1790</v>
      </c>
      <c r="C81" s="551">
        <v>1784952</v>
      </c>
      <c r="D81" s="466"/>
      <c r="E81" s="468"/>
      <c r="F81" s="468"/>
      <c r="G81" s="468"/>
      <c r="H81" s="468"/>
      <c r="I81" s="468"/>
      <c r="J81" s="468"/>
      <c r="K81" s="468"/>
    </row>
    <row r="82" spans="1:11" ht="12.75" customHeight="1" thickBot="1" x14ac:dyDescent="0.25">
      <c r="A82" s="1708" t="s">
        <v>241</v>
      </c>
      <c r="B82" s="1709"/>
      <c r="C82" s="1707">
        <f>SUM(C77:C81)</f>
        <v>2934510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832867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832867</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104368</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v>59660</v>
      </c>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88040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50705</v>
      </c>
      <c r="D107" s="466">
        <v>221</v>
      </c>
      <c r="E107" s="466"/>
      <c r="F107" s="466"/>
      <c r="G107" s="466"/>
      <c r="H107" s="466">
        <v>300000</v>
      </c>
      <c r="I107" s="466"/>
      <c r="J107" s="467">
        <v>19241</v>
      </c>
      <c r="K107" s="466"/>
    </row>
    <row r="108" spans="1:12" ht="12.75" customHeight="1" thickBot="1" x14ac:dyDescent="0.25">
      <c r="A108" s="1708" t="s">
        <v>487</v>
      </c>
      <c r="B108" s="1712"/>
      <c r="C108" s="1707">
        <f>SUM(C95:C107)</f>
        <v>138745</v>
      </c>
      <c r="D108" s="1707">
        <f t="shared" ref="D108:K108" si="3">SUM(D95:D107)</f>
        <v>164249</v>
      </c>
      <c r="E108" s="1707">
        <f t="shared" si="3"/>
        <v>0</v>
      </c>
      <c r="F108" s="1707">
        <f t="shared" si="3"/>
        <v>0</v>
      </c>
      <c r="G108" s="1707">
        <f t="shared" si="3"/>
        <v>0</v>
      </c>
      <c r="H108" s="1707">
        <f t="shared" si="3"/>
        <v>300000</v>
      </c>
      <c r="I108" s="1707">
        <f t="shared" si="3"/>
        <v>0</v>
      </c>
      <c r="J108" s="1707">
        <f t="shared" si="3"/>
        <v>19241</v>
      </c>
      <c r="K108" s="1688">
        <f t="shared" si="3"/>
        <v>0</v>
      </c>
    </row>
    <row r="109" spans="1:12" ht="14.25" thickTop="1" thickBot="1" x14ac:dyDescent="0.25">
      <c r="A109" s="1713" t="s">
        <v>248</v>
      </c>
      <c r="B109" s="1714" t="s">
        <v>570</v>
      </c>
      <c r="C109" s="1715">
        <f t="shared" ref="C109:K109" si="4">SUM(C12,C18,C40,C63,C67,C75,C82,C93,C108,)</f>
        <v>72275781</v>
      </c>
      <c r="D109" s="1715">
        <f t="shared" si="4"/>
        <v>17832541</v>
      </c>
      <c r="E109" s="1715">
        <f t="shared" si="4"/>
        <v>4497567</v>
      </c>
      <c r="F109" s="1715">
        <f t="shared" si="4"/>
        <v>4598774</v>
      </c>
      <c r="G109" s="1715">
        <f t="shared" si="4"/>
        <v>3977783</v>
      </c>
      <c r="H109" s="1715">
        <f t="shared" si="4"/>
        <v>397242</v>
      </c>
      <c r="I109" s="1715">
        <f t="shared" si="4"/>
        <v>627059</v>
      </c>
      <c r="J109" s="1715">
        <f t="shared" si="4"/>
        <v>39576</v>
      </c>
      <c r="K109" s="1702">
        <f t="shared" si="4"/>
        <v>18</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2551741</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2551741</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481234</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481234</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66230</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66230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70252</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560217</v>
      </c>
      <c r="G152" s="467"/>
      <c r="H152" s="468"/>
      <c r="I152" s="468"/>
      <c r="J152" s="468"/>
      <c r="K152" s="468"/>
    </row>
    <row r="153" spans="1:11" ht="12.75" customHeight="1" x14ac:dyDescent="0.2">
      <c r="A153" s="463" t="s">
        <v>1057</v>
      </c>
      <c r="B153" s="562">
        <v>3510</v>
      </c>
      <c r="C153" s="551"/>
      <c r="D153" s="466"/>
      <c r="E153" s="561"/>
      <c r="F153" s="466">
        <v>1114320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1674537</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f>80152+3139+826531</f>
        <v>909822</v>
      </c>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1527538</v>
      </c>
      <c r="D169" s="1722">
        <f t="shared" si="6"/>
        <v>0</v>
      </c>
      <c r="E169" s="1722">
        <f t="shared" si="6"/>
        <v>0</v>
      </c>
      <c r="F169" s="1722">
        <f t="shared" si="6"/>
        <v>1674537</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4079279</v>
      </c>
      <c r="D170" s="1715">
        <f t="shared" si="7"/>
        <v>0</v>
      </c>
      <c r="E170" s="1715">
        <f t="shared" si="7"/>
        <v>0</v>
      </c>
      <c r="F170" s="1715">
        <f t="shared" si="7"/>
        <v>1674537</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1800</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481721</v>
      </c>
      <c r="D213" s="466"/>
      <c r="E213" s="468"/>
      <c r="F213" s="466"/>
      <c r="G213" s="466"/>
      <c r="H213" s="468"/>
      <c r="I213" s="468"/>
      <c r="J213" s="468"/>
      <c r="K213" s="468"/>
    </row>
    <row r="214" spans="1:11" ht="12.75" customHeight="1" x14ac:dyDescent="0.2">
      <c r="A214" s="463" t="s">
        <v>1054</v>
      </c>
      <c r="B214" s="470">
        <v>4625</v>
      </c>
      <c r="C214" s="551">
        <v>632828</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1114549</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16432</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16432</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29220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27019</v>
      </c>
      <c r="D263" s="576"/>
      <c r="E263" s="468"/>
      <c r="F263" s="576"/>
      <c r="G263" s="576"/>
      <c r="H263" s="468"/>
      <c r="I263" s="468"/>
      <c r="J263" s="468"/>
      <c r="K263" s="468"/>
    </row>
    <row r="264" spans="1:11" ht="12.75" customHeight="1" thickTop="1" thickBot="1" x14ac:dyDescent="0.25">
      <c r="A264" s="463" t="s">
        <v>377</v>
      </c>
      <c r="B264" s="470">
        <v>4992</v>
      </c>
      <c r="C264" s="575">
        <v>292263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1479483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1479483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77834543</v>
      </c>
      <c r="D268" s="1715">
        <f t="shared" si="12"/>
        <v>17832541</v>
      </c>
      <c r="E268" s="1715">
        <f t="shared" si="12"/>
        <v>4497567</v>
      </c>
      <c r="F268" s="1715">
        <f t="shared" si="12"/>
        <v>6273311</v>
      </c>
      <c r="G268" s="1715">
        <f t="shared" si="12"/>
        <v>3977783</v>
      </c>
      <c r="H268" s="1715">
        <f t="shared" si="12"/>
        <v>397242</v>
      </c>
      <c r="I268" s="1715">
        <f t="shared" si="12"/>
        <v>627059</v>
      </c>
      <c r="J268" s="1715">
        <f t="shared" si="12"/>
        <v>39576</v>
      </c>
      <c r="K268" s="1702">
        <f t="shared" si="12"/>
        <v>18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d21dc803-237d-4c68-8692-8d731fd29118"/>
    <ds:schemaRef ds:uri="http://schemas.microsoft.com/office/infopath/2007/PartnerControls"/>
    <ds:schemaRef ds:uri="http://purl.org/dc/dcmitype/"/>
    <ds:schemaRef ds:uri="http://www.w3.org/XML/1998/namespace"/>
    <ds:schemaRef ds:uri="4d435f69-8686-490b-bd6d-b153bf22ab50"/>
    <ds:schemaRef ds:uri="http://schemas.microsoft.com/office/2006/metadata/properties"/>
    <ds:schemaRef ds:uri="http://schemas.microsoft.com/sharepoint/v3"/>
    <ds:schemaRef ds:uri="http://purl.org/dc/terms/"/>
    <ds:schemaRef ds:uri="http://schemas.openxmlformats.org/package/2006/metadata/core-properties"/>
    <ds:schemaRef ds:uri="6ce3111e-7420-4802-b50a-75d4e9a0b980"/>
    <ds:schemaRef ds:uri="http://purl.org/dc/elements/1.1/"/>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Shared Outsourced Services  (2)</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(2)'!Print_Titles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2019-10-21T19:49:27Z</cp:lastPrinted>
  <dcterms:created xsi:type="dcterms:W3CDTF">2003-10-29T19:06:34Z</dcterms:created>
  <dcterms:modified xsi:type="dcterms:W3CDTF">2019-12-10T19:26:24Z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