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770" windowWidth="207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C65" i="5" l="1"/>
  <c r="C39" i="3"/>
  <c r="C4" i="3"/>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M19" i="3"/>
  <c r="E63" i="29"/>
  <c r="E49" i="29"/>
  <c r="F14" i="29"/>
  <c r="E14" i="29"/>
  <c r="E8" i="29"/>
  <c r="D8" i="29"/>
  <c r="C81" i="5"/>
  <c r="E124"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7" i="108"/>
  <c r="E27" i="108"/>
  <c r="G27" i="108"/>
  <c r="F31" i="108"/>
  <c r="F36" i="108"/>
  <c r="F37" i="108"/>
  <c r="G28" i="108"/>
  <c r="E29" i="108"/>
  <c r="E30" i="108"/>
  <c r="G30" i="108"/>
  <c r="D31" i="108"/>
  <c r="D36" i="108"/>
  <c r="D37" i="108"/>
  <c r="E31" i="108"/>
  <c r="G31" i="108"/>
  <c r="E33" i="108"/>
  <c r="G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L22" i="37"/>
  <c r="D24" i="37"/>
  <c r="B4270" i="106" s="1"/>
  <c r="D4270" i="106" s="1"/>
  <c r="D9" i="7"/>
  <c r="B1767" i="106" s="1"/>
  <c r="D1767" i="106" s="1"/>
  <c r="B5752" i="106"/>
  <c r="D5752" i="106" s="1"/>
  <c r="D17" i="7"/>
  <c r="B4104" i="106" s="1"/>
  <c r="D4104" i="106" s="1"/>
  <c r="D69" i="36" l="1"/>
  <c r="B1308" i="106"/>
  <c r="D1308" i="106" s="1"/>
  <c r="E174" i="29"/>
  <c r="B1309" i="106" s="1"/>
  <c r="D1309" i="106" s="1"/>
  <c r="G38" i="108"/>
  <c r="G26" i="108"/>
  <c r="B4211" i="106"/>
  <c r="D4211" i="106" s="1"/>
  <c r="C352" i="29"/>
  <c r="K76" i="4"/>
  <c r="B3586" i="106" s="1"/>
  <c r="D3586" i="106" s="1"/>
  <c r="E38" i="108"/>
  <c r="E26" i="108"/>
  <c r="L342" i="29"/>
  <c r="H76" i="4"/>
  <c r="B3298" i="106" s="1"/>
  <c r="D3298" i="106" s="1"/>
  <c r="I24" i="12"/>
  <c r="K41" i="3"/>
  <c r="G15" i="145"/>
  <c r="J22" i="37"/>
  <c r="D7245" i="106"/>
  <c r="B1274" i="106"/>
  <c r="D1274" i="106" s="1"/>
  <c r="F34" i="34"/>
  <c r="B6995" i="106"/>
  <c r="D6995" i="106" s="1"/>
  <c r="F77" i="4"/>
  <c r="B3255" i="106" s="1"/>
  <c r="D3255" i="106" s="1"/>
  <c r="G210" i="29"/>
  <c r="B6289" i="106"/>
  <c r="D6289" i="106" s="1"/>
  <c r="B281" i="106"/>
  <c r="D281" i="106" s="1"/>
  <c r="F19" i="7"/>
  <c r="B1807" i="106" s="1"/>
  <c r="D1807" i="106" s="1"/>
  <c r="L13" i="11"/>
  <c r="B2060" i="106" s="1"/>
  <c r="D2060" i="106" s="1"/>
  <c r="L5" i="11"/>
  <c r="B2056" i="106" s="1"/>
  <c r="D2056" i="106" s="1"/>
  <c r="C14" i="4"/>
  <c r="B2558" i="106" s="1"/>
  <c r="D2558" i="106" s="1"/>
  <c r="G35" i="108"/>
  <c r="E35" i="108"/>
  <c r="F26" i="108"/>
  <c r="D26" i="108"/>
  <c r="B1126" i="106"/>
  <c r="D1126" i="106" s="1"/>
  <c r="F28" i="108"/>
  <c r="E28" i="108"/>
  <c r="K184" i="29"/>
  <c r="F13" i="4" s="1"/>
  <c r="B2596" i="106" s="1"/>
  <c r="D2596" i="106" s="1"/>
  <c r="G29" i="108"/>
  <c r="D11" i="37"/>
  <c r="D31" i="36"/>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6" i="106"/>
  <c r="D7251" i="106"/>
  <c r="K342" i="29"/>
  <c r="F13" i="34" s="1"/>
  <c r="B1365" i="106"/>
  <c r="D1365" i="106" s="1"/>
  <c r="F65" i="34"/>
  <c r="B3568" i="106"/>
  <c r="D3568" i="106" s="1"/>
  <c r="D52" i="36"/>
  <c r="I26" i="12"/>
  <c r="B7741" i="106" s="1"/>
  <c r="D7741" i="106" s="1"/>
  <c r="B1996" i="106"/>
  <c r="D1996" i="106" s="1"/>
  <c r="K77" i="4"/>
  <c r="B3587" i="106" s="1"/>
  <c r="D3587" i="106" s="1"/>
  <c r="L16" i="11"/>
  <c r="B2061" i="106" s="1"/>
  <c r="D2061" i="106" s="1"/>
  <c r="F41" i="108"/>
  <c r="G43" i="108" s="1"/>
  <c r="C114" i="29"/>
  <c r="B757" i="106" s="1"/>
  <c r="D757" i="106" s="1"/>
  <c r="F174" i="34"/>
  <c r="D44" i="3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J19" i="4" l="1"/>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<sst xmlns="http://schemas.openxmlformats.org/spreadsheetml/2006/main" count="5369" uniqueCount="2199">
  <si>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</si>
  <si>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</si>
  <si>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</si>
  <si>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</si>
  <si>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</si>
  <si>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</si>
  <si>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</si>
  <si>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</si>
  <si>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</si>
  <si>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</si>
  <si>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</si>
  <si>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</si>
  <si>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</si>
  <si>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</si>
  <si>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</si>
  <si>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</si>
  <si>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</si>
  <si>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</si>
  <si>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</si>
  <si>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</si>
  <si>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</si>
  <si>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</si>
  <si>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</si>
  <si>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</si>
  <si>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</si>
  <si>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</si>
  <si>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</si>
  <si>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</si>
  <si>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</si>
  <si>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</si>
  <si>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</si>
  <si>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</si>
  <si>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</si>
  <si>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</si>
  <si>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</si>
  <si>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</si>
  <si>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</si>
  <si>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</si>
  <si>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</si>
  <si>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</si>
  <si>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</si>
  <si>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</si>
  <si>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</si>
  <si>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</si>
  <si>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</si>
  <si>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</si>
  <si>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</si>
  <si>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</si>
  <si>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</si>
  <si>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</si>
  <si>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</si>
  <si>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</si>
  <si>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</si>
  <si>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</si>
  <si>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</si>
  <si>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</si>
  <si>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</si>
  <si>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</si>
  <si>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</si>
  <si>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</si>
  <si>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</si>
  <si>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</si>
  <si>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</si>
  <si>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</si>
  <si>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</si>
  <si>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</si>
  <si>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</si>
  <si>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</si>
  <si>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</si>
  <si>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</si>
  <si>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</si>
  <si>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</si>
  <si>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</si>
  <si>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</si>
  <si>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</si>
  <si>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</si>
  <si>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</si>
  <si>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</si>
  <si>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</si>
  <si>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</si>
  <si>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</si>
  <si>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</si>
  <si>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</si>
  <si>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</si>
  <si>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</si>
  <si>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</si>
  <si>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</si>
  <si>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</si>
  <si>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</si>
  <si>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</si>
  <si>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</si>
  <si>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</si>
  <si>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</si>
  <si>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</si>
  <si>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</si>
  <si>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</si>
  <si>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</si>
  <si>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</si>
  <si>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</si>
  <si>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</si>
  <si>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</si>
  <si>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</si>
  <si>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</si>
  <si>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</si>
  <si>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</si>
  <si>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</si>
  <si>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</si>
  <si>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</si>
  <si>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</si>
  <si>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</si>
  <si>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</si>
  <si>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</si>
  <si>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</si>
  <si>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</si>
  <si>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</si>
  <si>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</si>
  <si>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</si>
  <si>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</si>
  <si>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</si>
  <si>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</si>
  <si>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</si>
  <si>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</si>
  <si>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</si>
  <si>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</si>
  <si>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</si>
  <si>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</si>
  <si>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</si>
  <si>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</si>
  <si>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</si>
  <si>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</si>
  <si>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</si>
  <si>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</si>
  <si>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</si>
  <si>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</si>
  <si>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</si>
  <si>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</si>
  <si>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</si>
  <si>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</si>
  <si>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</si>
  <si>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</si>
  <si>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</si>
  <si>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</si>
  <si>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</si>
  <si>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</si>
  <si>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</si>
  <si>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</si>
  <si>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</si>
  <si>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</si>
  <si>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</si>
  <si>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</si>
  <si>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</si>
  <si>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</si>
  <si>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</si>
  <si>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</si>
  <si>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</si>
  <si>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</si>
  <si>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</si>
  <si>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</si>
  <si>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</si>
  <si>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</si>
  <si>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</si>
  <si>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</si>
  <si>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</si>
  <si>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</si>
  <si>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</si>
  <si>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</si>
  <si>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</si>
  <si>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</si>
  <si>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</si>
  <si>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</si>
  <si>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</si>
  <si>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</si>
  <si>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</si>
  <si>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</si>
  <si>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</si>
  <si>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</si>
  <si>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</si>
  <si>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</si>
  <si>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</si>
  <si>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</si>
  <si>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</si>
  <si>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</si>
  <si>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</si>
  <si>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</si>
  <si>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</si>
  <si>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</si>
  <si>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</si>
  <si>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</si>
  <si>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</si>
  <si>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</si>
  <si>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</si>
  <si>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</si>
  <si>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</si>
  <si>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</si>
  <si>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</si>
  <si>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</si>
  <si>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</si>
  <si>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</si>
  <si>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</si>
  <si>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</si>
  <si>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</si>
  <si>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</si>
  <si>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</si>
  <si>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</si>
  <si>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</si>
  <si>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</si>
  <si>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</si>
  <si>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</si>
  <si>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</si>
  <si>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</si>
  <si>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</si>
  <si>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</si>
  <si>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</si>
  <si>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</si>
  <si>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</si>
  <si>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</si>
  <si>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</si>
  <si>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</si>
  <si>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</si>
  <si>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</si>
  <si>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</si>
  <si>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</si>
  <si>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</si>
  <si>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</si>
  <si>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</si>
  <si>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</si>
  <si>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</si>
  <si>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</si>
  <si>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</si>
  <si>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</si>
  <si>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</si>
  <si>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</si>
  <si>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</si>
  <si>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</si>
  <si>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</si>
  <si>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</si>
  <si>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</si>
  <si>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</si>
  <si>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</si>
  <si>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</si>
  <si>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</si>
  <si>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</si>
  <si>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</si>
  <si>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</si>
  <si>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</si>
  <si>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</si>
  <si>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</si>
  <si>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</si>
  <si>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</si>
  <si>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</si>
  <si>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</si>
  <si>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</si>
  <si>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</si>
  <si>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</si>
  <si>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</si>
  <si>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</si>
  <si>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</si>
  <si>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</si>
  <si>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</si>
  <si>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</si>
  <si>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</si>
  <si>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</si>
  <si>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</si>
  <si>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</si>
  <si>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</si>
  <si>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</si>
  <si>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</si>
  <si>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</si>
  <si>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</si>
  <si>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</si>
  <si>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</si>
  <si>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</si>
  <si>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</si>
  <si>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</si>
  <si>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</si>
  <si>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</si>
  <si>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</si>
  <si>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</si>
  <si>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</si>
  <si>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</si>
  <si>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</si>
  <si>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</si>
  <si>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</si>
  <si>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</si>
  <si>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</si>
  <si>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</si>
  <si>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</si>
  <si>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</si>
  <si>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</si>
  <si>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</si>
  <si>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</si>
  <si>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</si>
  <si>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</si>
  <si>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</si>
  <si>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</si>
  <si>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</si>
  <si>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</si>
  <si>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</si>
  <si>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</si>
  <si>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</si>
  <si>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</si>
  <si>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</si>
  <si>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</si>
  <si>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</si>
  <si>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</si>
  <si>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</si>
  <si>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</si>
  <si>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</si>
  <si>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</si>
  <si>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</si>
  <si>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</si>
  <si>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</si>
  <si>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</si>
  <si>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</si>
  <si>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</si>
  <si>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</si>
  <si>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</si>
  <si>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</si>
  <si>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</si>
  <si>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</si>
  <si>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</si>
  <si>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</si>
  <si>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</si>
  <si>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</si>
  <si>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</si>
  <si>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</si>
  <si>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</si>
  <si>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</si>
  <si>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</si>
  <si>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</si>
  <si>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</si>
  <si>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</si>
  <si>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</si>
  <si>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</si>
  <si>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</si>
  <si>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</si>
  <si>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</si>
  <si>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</si>
  <si>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</si>
  <si>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</si>
  <si>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</si>
  <si>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</si>
  <si>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</si>
  <si>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</si>
  <si>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</si>
  <si>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</si>
  <si>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</si>
  <si>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</si>
  <si>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</si>
  <si>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</si>
  <si>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</si>
  <si>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</si>
  <si>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</si>
  <si>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</si>
  <si>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</si>
  <si>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</si>
  <si>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</si>
  <si>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</si>
  <si>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</si>
  <si>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</si>
  <si>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</si>
  <si>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</si>
  <si>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</si>
  <si>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</si>
  <si>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</si>
  <si>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</si>
  <si>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</si>
  <si>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</si>
  <si>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</si>
  <si>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</si>
  <si>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</si>
  <si>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</si>
  <si>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</si>
  <si>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</si>
  <si>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</si>
  <si>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</si>
  <si>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</si>
  <si>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</si>
  <si>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</si>
  <si>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</si>
  <si>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</si>
  <si>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</si>
  <si>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</si>
  <si>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</si>
  <si>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</si>
  <si>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</si>
  <si>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</si>
  <si>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</si>
  <si>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</si>
  <si>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</si>
  <si>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</si>
  <si>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</si>
  <si>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</si>
  <si>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</si>
  <si>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</si>
  <si>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</si>
  <si>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</si>
  <si>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</si>
  <si>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</si>
  <si>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</si>
  <si>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</si>
  <si>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</si>
  <si>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</si>
  <si>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</si>
  <si>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</si>
  <si>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</si>
  <si>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</si>
  <si>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</si>
  <si>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</si>
  <si>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</si>
  <si>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</si>
  <si>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</si>
  <si>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</si>
  <si>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</si>
  <si>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</si>
  <si>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</si>
  <si>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</si>
  <si>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</si>
  <si>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</si>
  <si>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</si>
  <si>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</si>
  <si>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</si>
  <si>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</si>
  <si>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</si>
  <si>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</si>
  <si>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</si>
  <si>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</si>
  <si>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</si>
  <si>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</si>
  <si>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</si>
  <si>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</si>
  <si>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</si>
  <si>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</si>
  <si>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</si>
  <si>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</si>
  <si>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</si>
  <si>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</si>
  <si>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</si>
  <si>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</si>
  <si>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</si>
  <si>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</si>
  <si>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</si>
  <si>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</si>
  <si>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</si>
  <si>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</si>
  <si>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</si>
  <si>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</si>
  <si>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</si>
  <si>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</si>
  <si>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</si>
  <si>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</si>
  <si>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</si>
  <si>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</si>
  <si>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</si>
  <si>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</si>
  <si>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</si>
  <si>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</si>
  <si>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</si>
  <si>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</si>
  <si>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</si>
  <si>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</si>
  <si>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</si>
  <si>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</si>
  <si>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</si>
  <si>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</si>
  <si>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</si>
  <si>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</si>
  <si>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</si>
  <si>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</si>
  <si>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</si>
  <si>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</si>
  <si>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</si>
  <si>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</si>
  <si>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</si>
  <si>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</si>
  <si>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</si>
  <si>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</si>
  <si>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</si>
  <si>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</si>
  <si>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</si>
  <si>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</si>
  <si>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</si>
  <si>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</si>
  <si>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</si>
  <si>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</si>
  <si>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</si>
  <si>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</si>
  <si>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</si>
  <si>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</si>
  <si>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</si>
  <si>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</si>
  <si>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</si>
  <si>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</si>
  <si>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</si>
  <si>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</si>
  <si>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</si>
  <si>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</si>
  <si>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</si>
  <si>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</si>
  <si>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</si>
  <si>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</si>
  <si>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</si>
  <si>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</si>
  <si>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</si>
  <si>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</si>
  <si>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</si>
  <si>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</si>
  <si>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</si>
  <si>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</si>
  <si>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</si>
  <si>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</si>
  <si>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</si>
  <si>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</si>
  <si>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</si>
  <si>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</si>
  <si>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</si>
  <si>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</si>
  <si>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</si>
  <si>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</si>
  <si>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</si>
  <si>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</si>
  <si>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</si>
  <si>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</si>
  <si>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</si>
  <si>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</si>
  <si>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</si>
  <si>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</si>
  <si>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</si>
  <si>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</si>
  <si>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</si>
  <si>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</si>
  <si>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</si>
  <si>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</si>
  <si>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</si>
  <si>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</si>
  <si>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</si>
  <si>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</si>
  <si>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</si>
  <si>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</si>
  <si>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</si>
  <si>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</si>
  <si>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</si>
  <si>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</si>
  <si>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</si>
  <si>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</si>
  <si>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</si>
  <si>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</si>
  <si>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</si>
  <si>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</si>
  <si>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</si>
  <si>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</si>
  <si>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</si>
  <si>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</si>
  <si>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</si>
  <si>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</si>
  <si>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</si>
  <si>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</si>
  <si>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</si>
  <si>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</si>
  <si>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</si>
  <si>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</si>
  <si>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</si>
  <si>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</si>
  <si>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</si>
  <si>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</si>
  <si>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</si>
  <si>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</si>
  <si>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</si>
  <si>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</si>
  <si>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</si>
  <si>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</si>
  <si>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</si>
  <si>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</si>
  <si>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</si>
  <si>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</si>
  <si>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</si>
  <si>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</si>
  <si>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</si>
  <si>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</si>
  <si>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</si>
  <si>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</si>
  <si>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</si>
  <si>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</si>
  <si>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</si>
  <si>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</si>
  <si>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</si>
  <si>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</si>
  <si>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</si>
  <si>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</si>
  <si>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</si>
  <si>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</si>
  <si>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</si>
  <si>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</si>
  <si>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</si>
  <si>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</si>
  <si>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</si>
  <si>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</si>
  <si>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</si>
  <si>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</si>
  <si>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</si>
  <si>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</si>
  <si>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</si>
  <si>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</si>
  <si>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</si>
  <si>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</si>
  <si>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</si>
  <si>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</si>
  <si>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</si>
  <si>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</si>
  <si>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</si>
  <si>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</si>
  <si>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</si>
  <si>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</si>
  <si>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</si>
  <si>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</si>
  <si>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</si>
  <si>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</si>
  <si>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</si>
  <si>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</si>
  <si>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</si>
  <si>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</si>
  <si>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</si>
  <si>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</si>
  <si>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</si>
  <si>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</si>
  <si>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</si>
  <si>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</si>
  <si>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</si>
  <si>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</si>
  <si>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</si>
  <si>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</si>
  <si>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</si>
  <si>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</si>
  <si>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</si>
  <si>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</si>
  <si>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</si>
  <si>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</si>
  <si>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</si>
  <si>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</si>
  <si>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</si>
  <si>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</si>
  <si>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</si>
  <si>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</si>
  <si>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</si>
  <si>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</si>
  <si>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</si>
  <si>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</si>
  <si>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</si>
  <si>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</si>
  <si>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</si>
  <si>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</si>
  <si>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</si>
  <si>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</si>
  <si>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</si>
  <si>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</si>
  <si>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</si>
  <si>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</si>
  <si>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</si>
  <si>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</si>
  <si>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</si>
  <si>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</si>
  <si>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</si>
  <si>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</si>
  <si>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</si>
  <si>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</si>
  <si>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</si>
  <si>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</si>
  <si>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</si>
  <si>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</si>
  <si>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</si>
  <si>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</si>
  <si>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</si>
  <si>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</si>
  <si>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</si>
  <si>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</si>
  <si>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</si>
  <si>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</si>
  <si>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</si>
  <si>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</si>
  <si>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</si>
  <si>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</si>
  <si>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</si>
  <si>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</si>
  <si>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</si>
  <si>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</si>
  <si>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</si>
  <si>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</si>
  <si>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</si>
  <si>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</si>
  <si>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</si>
  <si>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</si>
  <si>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</si>
  <si>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</si>
  <si>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</si>
  <si>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</si>
  <si>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</si>
  <si>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</si>
  <si>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</si>
  <si>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</si>
  <si>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</si>
  <si>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</si>
  <si>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</si>
  <si>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</si>
  <si>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</si>
  <si>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</si>
  <si>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</si>
  <si>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</si>
  <si>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</si>
  <si>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</si>
  <si>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</si>
  <si>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</si>
  <si>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</si>
  <si>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</si>
  <si>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</si>
  <si>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</si>
  <si>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</si>
  <si>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</si>
  <si>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</si>
  <si>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</si>
  <si>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</si>
  <si>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</si>
  <si>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</si>
  <si>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</si>
  <si>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</si>
  <si>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</si>
  <si>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</si>
  <si>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</si>
  <si>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</si>
  <si>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</si>
  <si>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</si>
  <si>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</si>
  <si>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</si>
  <si>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</si>
  <si>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</si>
  <si>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</si>
  <si>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</si>
  <si>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</si>
  <si>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</si>
  <si>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</si>
  <si>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</si>
  <si>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</si>
  <si>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</si>
  <si>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</si>
  <si>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</si>
  <si>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</si>
  <si>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</si>
  <si>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</si>
  <si>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</si>
  <si>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</si>
  <si>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</si>
  <si>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</si>
  <si>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</si>
  <si>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</si>
  <si>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</si>
  <si>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</si>
  <si>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</si>
  <si>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</si>
  <si>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</si>
  <si>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</si>
  <si>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</si>
  <si>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</si>
  <si>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</si>
  <si>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</si>
  <si>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</si>
  <si>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</si>
  <si>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</si>
  <si>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</si>
  <si>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</si>
  <si>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</si>
  <si>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</si>
  <si>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</si>
  <si>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</si>
  <si>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</si>
  <si>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</si>
  <si>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</si>
  <si>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</si>
  <si>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</si>
  <si>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</si>
  <si>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</si>
  <si>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</si>
  <si>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</si>
  <si>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</si>
  <si>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</si>
  <si>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</si>
  <si>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</si>
  <si>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</si>
  <si>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</si>
  <si>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</si>
  <si>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</si>
  <si>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</si>
  <si>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</si>
  <si>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</si>
  <si>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</si>
  <si>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</si>
  <si>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</si>
  <si>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</si>
  <si>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</si>
  <si>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</si>
  <si>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</si>
  <si>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</si>
  <si>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</si>
  <si>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</si>
  <si>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</si>
  <si>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</si>
  <si>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</si>
  <si>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</si>
  <si>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</si>
  <si>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</si>
  <si>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</si>
  <si>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</si>
  <si>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</si>
  <si>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</si>
  <si>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</si>
  <si>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</si>
  <si>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</si>
  <si>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</si>
  <si>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</si>
  <si>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</si>
  <si>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</si>
  <si>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</si>
  <si>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</si>
  <si>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</si>
  <si>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</si>
  <si>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</si>
  <si>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</si>
  <si>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</si>
  <si>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</si>
  <si>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</si>
  <si>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</si>
  <si>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</si>
  <si>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</si>
  <si>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</si>
  <si>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</si>
  <si>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</si>
  <si>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</si>
  <si>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</si>
  <si>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</si>
  <si>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</si>
  <si>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</si>
  <si>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</si>
  <si>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</si>
  <si>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</si>
  <si>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</si>
  <si>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</si>
  <si>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</si>
  <si>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</si>
  <si>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</si>
  <si>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</si>
  <si>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</si>
  <si>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</si>
  <si>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</si>
  <si>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</si>
  <si>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</si>
  <si>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</si>
  <si>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</si>
  <si>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</si>
  <si>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</si>
  <si>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</si>
  <si>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</si>
  <si>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</si>
  <si>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</si>
  <si>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</si>
  <si>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</si>
  <si>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</si>
  <si>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</si>
  <si>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</si>
  <si>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</si>
  <si>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</si>
  <si>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</si>
  <si>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</si>
  <si>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</si>
  <si>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</si>
  <si>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</si>
  <si>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</si>
  <si>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</si>
  <si>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</si>
  <si>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</si>
  <si>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</si>
  <si>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</si>
  <si>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</si>
  <si>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</si>
  <si>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</si>
  <si>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</si>
  <si>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</si>
  <si>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</si>
  <si>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</si>
  <si>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</si>
  <si>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</si>
  <si>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</si>
  <si>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</si>
  <si>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</si>
  <si>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</si>
  <si>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</si>
  <si>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</si>
  <si>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</si>
  <si>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</si>
  <si>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</si>
  <si>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</si>
  <si>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</si>
  <si>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</si>
  <si>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</si>
  <si>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</si>
  <si>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</si>
  <si>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</si>
  <si>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</si>
  <si>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</si>
  <si>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</si>
  <si>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</si>
  <si>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</si>
  <si>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</si>
  <si>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</si>
  <si>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</si>
  <si>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</si>
  <si>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</si>
  <si>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</si>
  <si>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</si>
  <si>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</si>
  <si>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</si>
  <si>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</si>
  <si>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</si>
  <si>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</si>
  <si>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</si>
  <si>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</si>
  <si>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</si>
  <si>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</si>
  <si>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</si>
  <si>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</si>
  <si>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</si>
  <si>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</si>
  <si>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</si>
  <si>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</si>
  <si>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</si>
  <si>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</si>
  <si>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</si>
  <si>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</si>
  <si>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</si>
  <si>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</si>
  <si>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</si>
  <si>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</si>
  <si>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</si>
  <si>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</si>
  <si>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</si>
  <si>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</si>
  <si>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</si>
  <si>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</si>
  <si>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</si>
  <si>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</si>
  <si>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</si>
  <si>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</si>
  <si>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</si>
  <si>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</si>
  <si>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</si>
  <si>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</si>
  <si>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</si>
  <si>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</si>
  <si>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</si>
  <si>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</si>
  <si>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</si>
  <si>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</si>
  <si>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</si>
  <si>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</si>
  <si>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</si>
  <si>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</si>
  <si>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</si>
  <si>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</si>
  <si>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</si>
  <si>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</si>
  <si>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</si>
  <si>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</si>
  <si>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</si>
  <si>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</si>
  <si>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</si>
  <si>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</si>
  <si>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</si>
  <si>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</si>
  <si>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</si>
  <si>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</si>
  <si>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</si>
  <si>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</si>
  <si>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</si>
  <si>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</si>
  <si>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</si>
  <si>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</si>
  <si>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</si>
  <si>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</si>
  <si>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</si>
  <si>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</si>
  <si>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</si>
  <si>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</si>
  <si>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</si>
  <si>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</si>
  <si>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</si>
  <si>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</si>
  <si>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</si>
  <si>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</si>
  <si>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</si>
  <si>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</si>
  <si>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</si>
  <si>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</si>
  <si>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</si>
  <si>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</si>
  <si>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</si>
  <si>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</si>
  <si>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</si>
  <si>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</si>
  <si>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</si>
  <si>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</si>
  <si>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</si>
  <si>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</si>
  <si>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</si>
  <si>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</si>
  <si>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</si>
  <si>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</si>
  <si>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</si>
  <si>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</si>
  <si>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</si>
  <si>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</si>
  <si>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</si>
  <si>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</si>
  <si>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</si>
  <si>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</si>
  <si>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</si>
  <si>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</si>
  <si>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</si>
  <si>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</si>
  <si>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</si>
  <si>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</si>
  <si>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</si>
  <si>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</si>
  <si>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</si>
  <si>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</si>
  <si>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</si>
  <si>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</si>
  <si>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</si>
  <si>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</si>
  <si>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</si>
  <si>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</si>
  <si>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</si>
  <si>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</si>
  <si>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</si>
  <si>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</si>
  <si>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</si>
  <si>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</si>
  <si>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</si>
  <si>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</si>
  <si>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</si>
  <si>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</si>
  <si>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</si>
  <si>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</si>
  <si>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</si>
  <si>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</si>
  <si>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</si>
  <si>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</si>
  <si>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</si>
  <si>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</si>
  <si>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</si>
  <si>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</si>
  <si>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</si>
  <si>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</si>
  <si>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</si>
  <si>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</si>
  <si>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</si>
  <si>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</si>
  <si>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</si>
  <si>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</si>
  <si>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</si>
  <si>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</si>
  <si>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</si>
  <si>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</si>
  <si>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</si>
  <si>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</si>
  <si>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</si>
  <si>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</si>
  <si>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</si>
  <si>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</si>
  <si>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</si>
  <si>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</si>
  <si>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</si>
  <si>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</si>
  <si>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</si>
  <si>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</si>
  <si>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</si>
  <si>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</si>
  <si>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</si>
  <si>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</si>
  <si>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</si>
  <si>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</si>
  <si>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</si>
  <si>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</si>
  <si>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</si>
  <si>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</si>
  <si>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</si>
  <si>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</si>
  <si>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</si>
  <si>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</si>
  <si>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</si>
  <si>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</si>
  <si>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</si>
  <si>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</si>
  <si>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</si>
  <si>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</si>
  <si>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</si>
  <si>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</si>
  <si>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</si>
  <si>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</si>
  <si>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</si>
  <si>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</si>
  <si>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</si>
  <si>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</si>
  <si>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</si>
  <si>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</si>
  <si>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</si>
  <si>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</si>
  <si>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</si>
  <si>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</si>
  <si>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</si>
  <si>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</si>
  <si>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</si>
  <si>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</si>
  <si>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</si>
  <si>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</si>
  <si>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</si>
  <si>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</si>
  <si>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</si>
  <si>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</si>
  <si>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</si>
  <si>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</si>
  <si>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</si>
  <si>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</si>
  <si>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</si>
  <si>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</si>
  <si>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</si>
  <si>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</si>
  <si>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</si>
  <si>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</si>
  <si>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</si>
  <si>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</si>
  <si>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</si>
  <si>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</si>
  <si>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</si>
  <si>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</si>
  <si>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</si>
  <si>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</si>
  <si>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</si>
  <si>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</si>
  <si>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</si>
  <si>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</si>
  <si>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</si>
  <si>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</si>
  <si>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</si>
  <si>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</si>
  <si>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</si>
  <si>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</si>
  <si>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</si>
  <si>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</si>
  <si>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</si>
  <si>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</si>
  <si>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</si>
  <si>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</si>
  <si>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</si>
  <si>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</si>
  <si>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</si>
  <si>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</si>
  <si>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</si>
  <si>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</si>
  <si>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</si>
  <si>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</si>
  <si>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</si>
  <si>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</si>
  <si>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</si>
  <si>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</si>
  <si>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</si>
  <si>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</si>
  <si>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</si>
  <si>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</si>
  <si>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</si>
  <si>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</si>
  <si>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</si>
  <si>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</si>
  <si>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</si>
  <si>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</si>
  <si>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</si>
  <si>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</si>
  <si>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</si>
  <si>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</si>
  <si>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</si>
  <si>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</si>
  <si>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</si>
  <si>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</si>
  <si>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</si>
  <si>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</si>
  <si>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</si>
  <si>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</si>
  <si>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</si>
  <si>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</si>
  <si>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</si>
  <si>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</si>
  <si>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</si>
  <si>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</si>
  <si>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</si>
  <si>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</si>
  <si>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</si>
  <si>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</si>
  <si>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</si>
  <si>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</si>
  <si>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</si>
  <si>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</si>
  <si>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</si>
  <si>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</si>
  <si>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</si>
  <si>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</si>
  <si>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</si>
  <si>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</si>
  <si>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</si>
  <si>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</si>
  <si>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</si>
  <si>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</si>
  <si>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</si>
  <si>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</si>
  <si>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</si>
  <si>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</si>
  <si>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</si>
  <si>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</si>
  <si>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</si>
  <si>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</si>
  <si>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</si>
  <si>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</si>
  <si>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</si>
  <si>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</si>
  <si>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</si>
  <si>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</si>
  <si>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</si>
  <si>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</si>
  <si>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</si>
  <si>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</si>
  <si>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</si>
  <si>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</si>
  <si>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</si>
  <si>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</si>
  <si>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</si>
  <si>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</si>
  <si>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</si>
  <si>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</si>
  <si>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</si>
  <si>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</si>
  <si>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</si>
  <si>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</si>
  <si>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</si>
  <si>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</si>
  <si>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</si>
  <si>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</si>
  <si>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</si>
  <si>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</si>
  <si>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</si>
  <si>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</si>
  <si>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</si>
  <si>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</si>
  <si>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</si>
  <si>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</si>
  <si>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</si>
  <si>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</si>
  <si>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</si>
  <si>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</si>
  <si>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</si>
  <si>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</si>
  <si>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</si>
  <si>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</si>
  <si>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</si>
  <si>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</si>
  <si>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</si>
  <si>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</si>
  <si>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</si>
  <si>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</si>
  <si>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</si>
  <si>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</si>
  <si>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</si>
  <si>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</si>
  <si>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</si>
  <si>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</si>
  <si>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</si>
  <si>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</si>
  <si>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</si>
  <si>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</si>
  <si>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</si>
  <si>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</si>
  <si>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</si>
  <si>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</si>
  <si>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</si>
  <si>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</si>
  <si>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</si>
  <si>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</si>
  <si>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</si>
  <si>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</si>
  <si>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</si>
  <si>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</si>
  <si>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</si>
  <si>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</si>
  <si>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</si>
  <si>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</si>
  <si>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</si>
  <si>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</si>
  <si>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</si>
  <si>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</si>
  <si>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</si>
  <si>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</si>
  <si>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</si>
  <si>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</si>
  <si>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</si>
  <si>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</si>
  <si>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</si>
  <si>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</si>
  <si>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</si>
  <si>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</si>
  <si>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</si>
  <si>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</si>
  <si>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</si>
  <si>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</si>
  <si>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</si>
  <si>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</si>
  <si>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</si>
  <si>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</si>
  <si>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</si>
  <si>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</si>
  <si>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</si>
  <si>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</si>
  <si>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</si>
  <si>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</si>
  <si>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</si>
  <si>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</si>
  <si>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</si>
  <si>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</si>
  <si>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</si>
  <si>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</si>
  <si>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</si>
  <si>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</si>
  <si>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</si>
  <si>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</si>
  <si>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</si>
  <si>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</si>
  <si>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</si>
  <si>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</si>
  <si>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</si>
  <si>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</si>
  <si>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</si>
  <si>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</si>
  <si>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</si>
  <si>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</si>
  <si>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</si>
  <si>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</si>
  <si>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</si>
  <si>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</si>
  <si>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</si>
  <si>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</si>
  <si>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</si>
  <si>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</si>
  <si>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</si>
  <si>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</si>
  <si>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</si>
  <si>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</si>
  <si>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</si>
  <si>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</si>
  <si>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</si>
  <si>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</si>
  <si>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</si>
  <si>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</si>
  <si>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</si>
  <si>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</si>
  <si>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</si>
  <si>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</si>
  <si>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</si>
  <si>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</si>
  <si>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</si>
  <si>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</si>
  <si>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</si>
  <si>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</si>
  <si>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</si>
  <si>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</si>
  <si>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</si>
  <si>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</si>
  <si>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</si>
  <si>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</si>
  <si>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</si>
  <si>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</si>
  <si>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</si>
  <si>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</si>
  <si>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</si>
  <si>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</si>
  <si>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</si>
  <si>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</si>
  <si>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</si>
  <si>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</si>
  <si>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</si>
  <si>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</si>
  <si>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</si>
  <si>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</si>
  <si>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</si>
  <si>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</si>
  <si>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</si>
  <si>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</si>
  <si>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</si>
  <si>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</si>
  <si>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</si>
  <si>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</si>
  <si>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</si>
  <si>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</si>
  <si>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</si>
  <si>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</si>
  <si>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</si>
  <si>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</si>
  <si>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</si>
  <si>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</si>
  <si>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</si>
  <si>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</si>
  <si>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</si>
  <si>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</si>
  <si>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</si>
  <si>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</si>
  <si>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</si>
  <si>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</si>
  <si>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</si>
  <si>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</si>
  <si>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</si>
  <si>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</si>
  <si>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</si>
  <si>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</si>
  <si>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</si>
  <si>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</si>
  <si>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</si>
  <si>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</si>
  <si>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</si>
  <si>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</si>
  <si>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</si>
  <si>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</si>
  <si>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</si>
  <si>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</si>
  <si>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</si>
  <si>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</si>
  <si>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</si>
  <si>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</si>
  <si>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</si>
  <si>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</si>
  <si>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</si>
  <si>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</si>
  <si>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</si>
  <si>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</si>
  <si>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</si>
  <si>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</si>
  <si>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</si>
  <si>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</si>
  <si>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</si>
  <si>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</si>
  <si>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</si>
  <si>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</si>
  <si>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</si>
  <si>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</si>
  <si>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</si>
  <si>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</si>
  <si>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</si>
  <si>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</si>
  <si>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</si>
  <si>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</si>
  <si>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</si>
  <si>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</si>
  <si>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</si>
  <si>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</si>
  <si>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</si>
  <si>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</si>
  <si>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</si>
  <si>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</si>
  <si>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</si>
  <si>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</si>
  <si>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</si>
  <si>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</si>
  <si>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</si>
  <si>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</si>
  <si>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</si>
  <si>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</si>
  <si>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</si>
  <si>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</si>
  <si>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</si>
  <si>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</si>
  <si>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</si>
  <si>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</si>
  <si>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</si>
  <si>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</si>
  <si>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</si>
  <si>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</si>
  <si>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</si>
  <si>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</si>
  <si>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</si>
  <si>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</si>
  <si>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</si>
  <si>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</si>
  <si>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</si>
  <si>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</si>
  <si>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</si>
  <si>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</si>
  <si>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</si>
  <si>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</si>
  <si>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</si>
  <si>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</si>
  <si>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</si>
  <si>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</si>
  <si>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</si>
  <si>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</si>
  <si>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</si>
  <si>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</si>
  <si>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</si>
  <si>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</si>
  <si>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</si>
  <si>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</si>
  <si>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</si>
  <si>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</si>
  <si>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</si>
  <si>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</si>
  <si>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</si>
  <si>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</si>
  <si>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</si>
  <si>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</si>
  <si>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</si>
  <si>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</si>
  <si>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</si>
  <si>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</si>
  <si>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</si>
  <si>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</si>
  <si>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</si>
  <si>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</si>
  <si>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</si>
  <si>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</si>
  <si>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</si>
  <si>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</si>
  <si>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</si>
  <si>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</si>
  <si>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</si>
  <si>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</si>
  <si>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</si>
  <si>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</si>
  <si>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</si>
  <si>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</si>
  <si>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</si>
  <si>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</si>
  <si>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</si>
  <si>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</si>
  <si>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</si>
  <si>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</si>
  <si>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</si>
  <si>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</si>
  <si>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</si>
  <si>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</si>
  <si>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</si>
  <si>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</si>
  <si>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</si>
  <si>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</si>
  <si>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</si>
  <si>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</si>
  <si>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</si>
  <si>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</si>
  <si>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</si>
  <si>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</si>
  <si>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</si>
  <si>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</si>
  <si>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</si>
  <si>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</si>
  <si>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</si>
  <si>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</si>
  <si>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</si>
  <si>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</si>
  <si>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</si>
  <si>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</si>
  <si>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</si>
  <si>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</si>
  <si>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</si>
  <si>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</si>
  <si>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</si>
  <si>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</si>
  <si>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</si>
  <si>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</si>
  <si>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</si>
  <si>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</si>
  <si>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</si>
  <si>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</si>
  <si>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</si>
  <si>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</si>
  <si>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</si>
  <si>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</si>
  <si>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</si>
  <si>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</si>
  <si>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</si>
  <si>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</si>
  <si>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</si>
  <si>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</si>
  <si>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</si>
  <si>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</si>
  <si>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</si>
  <si>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</si>
  <si>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</si>
  <si>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</si>
  <si>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</si>
  <si>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</si>
  <si>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</si>
  <si>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</si>
  <si>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</si>
  <si>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</si>
  <si>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</si>
  <si>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</si>
  <si>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</si>
  <si>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</si>
  <si>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</si>
  <si>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</si>
  <si>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</si>
  <si>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</si>
  <si>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</si>
  <si>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</si>
  <si>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</si>
  <si>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</si>
  <si>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</si>
  <si>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</si>
  <si>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</si>
  <si>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</si>
  <si>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</si>
  <si>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</si>
  <si>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</si>
  <si>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</si>
  <si>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</si>
  <si>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</si>
  <si>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</si>
  <si>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</si>
  <si>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</si>
  <si>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</si>
  <si>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</si>
  <si>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</si>
  <si>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</si>
  <si>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</si>
  <si>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</si>
  <si>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</si>
  <si>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</si>
  <si>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</si>
  <si>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</si>
  <si>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</si>
  <si>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</si>
  <si>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</si>
  <si>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</si>
  <si>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</si>
  <si>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</si>
  <si>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</si>
  <si>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</si>
  <si>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</si>
  <si>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</si>
  <si>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</si>
  <si>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</si>
  <si>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</si>
  <si>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</si>
  <si>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</si>
  <si>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</si>
  <si>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</si>
  <si>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</si>
  <si>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</si>
  <si>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</si>
  <si>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</si>
  <si>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</si>
  <si>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</si>
  <si>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</si>
  <si>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</si>
  <si>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</si>
  <si>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</si>
  <si>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</si>
  <si>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</si>
  <si>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</si>
  <si>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</si>
  <si>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</si>
  <si>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</si>
  <si>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</si>
  <si>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</si>
  <si>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</si>
  <si>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</si>
  <si>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</si>
  <si>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</si>
  <si>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</si>
  <si>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</si>
  <si>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</si>
  <si>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</si>
  <si>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</si>
  <si>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</si>
  <si>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</si>
  <si>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</si>
  <si>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</si>
  <si>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</si>
  <si>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</si>
  <si>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</si>
  <si>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</si>
  <si>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</si>
  <si>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</si>
  <si>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</si>
  <si>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</si>
  <si>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</si>
  <si>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</si>
  <si>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</si>
  <si>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</si>
  <si>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</si>
  <si>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</si>
  <si>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</si>
  <si>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</si>
  <si>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</si>
  <si>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</si>
  <si>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</si>
  <si>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</si>
  <si>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</si>
  <si>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</si>
  <si>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</si>
  <si>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</si>
  <si>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</si>
  <si>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</si>
  <si>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</si>
  <si>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</si>
  <si>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</si>
  <si>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</si>
  <si>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</si>
  <si>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</si>
  <si>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</si>
  <si>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</si>
  <si>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</si>
  <si>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</si>
  <si>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</si>
  <si>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</si>
  <si>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</si>
  <si>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</si>
  <si>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</si>
  <si>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</si>
  <si>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</si>
  <si>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</si>
  <si>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</si>
  <si>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</si>
  <si>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</si>
  <si>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</si>
  <si>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</si>
  <si>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</si>
  <si>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</si>
  <si>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</si>
  <si>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</si>
  <si>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</si>
  <si>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</si>
  <si>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</si>
  <si>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</si>
  <si>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</si>
  <si>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</si>
  <si>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</si>
  <si>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</si>
  <si>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</si>
  <si>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</si>
  <si>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</si>
  <si>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</si>
  <si>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</si>
  <si>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</si>
  <si>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</si>
  <si>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</si>
  <si>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</si>
  <si>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</si>
  <si>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</si>
  <si>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</si>
  <si>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</si>
  <si>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</si>
  <si>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</si>
  <si>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</si>
  <si>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</si>
  <si>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</si>
  <si>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</si>
  <si>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</si>
  <si>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</si>
  <si>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</si>
  <si>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</si>
  <si>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</si>
  <si>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</si>
  <si>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</si>
  <si>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</si>
  <si>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</si>
  <si>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</si>
  <si>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</si>
  <si>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</si>
  <si>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</si>
  <si>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</si>
  <si>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</si>
  <si>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</si>
  <si>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</si>
  <si>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</si>
  <si>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</si>
  <si>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</si>
  <si>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</si>
  <si>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</si>
  <si>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</si>
  <si>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</si>
  <si>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</si>
  <si>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</si>
  <si>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</si>
  <si>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</si>
  <si>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</si>
  <si>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</si>
  <si>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</si>
  <si>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</si>
  <si>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</si>
  <si>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</si>
  <si>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</si>
  <si>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</si>
  <si>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</si>
  <si>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</si>
  <si>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</si>
  <si>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</si>
  <si>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</si>
  <si>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</si>
  <si>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</si>
  <si>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</si>
  <si>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</si>
  <si>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</si>
  <si>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</si>
  <si>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</si>
  <si>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</si>
  <si>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</si>
  <si>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</si>
  <si>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</si>
  <si>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</si>
  <si>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</si>
  <si>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</si>
  <si>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</si>
  <si>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</si>
  <si>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</si>
  <si>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</si>
  <si>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</si>
  <si>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</si>
  <si>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</si>
  <si>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</si>
  <si>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</si>
  <si>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</si>
  <si>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</si>
  <si>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</si>
  <si>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</si>
  <si>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</si>
  <si>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</si>
  <si>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</si>
  <si>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</si>
  <si>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</si>
  <si>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</si>
  <si>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</si>
  <si>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</si>
  <si>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</si>
  <si>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</si>
  <si>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</si>
  <si>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</si>
  <si>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</si>
  <si>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</si>
  <si>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</si>
  <si>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</si>
  <si>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</si>
  <si>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</si>
  <si>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</si>
  <si>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</si>
  <si>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</si>
  <si>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</si>
  <si>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</si>
  <si>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</si>
  <si>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</si>
  <si>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</si>
  <si>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</si>
  <si>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</si>
  <si>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</si>
  <si>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</si>
  <si>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</si>
  <si>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</si>
  <si>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</si>
  <si>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</si>
  <si>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</si>
  <si>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</si>
  <si>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</si>
  <si>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</si>
  <si>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</si>
  <si>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</si>
  <si>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</si>
  <si>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</si>
  <si>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</si>
  <si>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</si>
  <si>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</si>
  <si>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</si>
  <si>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</si>
  <si>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</si>
  <si>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</si>
  <si>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</si>
  <si>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</si>
  <si>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</si>
  <si>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</si>
  <si>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</si>
  <si>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</si>
  <si>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</si>
  <si>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</si>
  <si>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</si>
  <si>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</si>
  <si>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</si>
  <si>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</si>
  <si>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</si>
  <si>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</si>
  <si>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</si>
  <si>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</si>
  <si>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</si>
  <si>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</si>
  <si>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</si>
  <si>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</si>
  <si>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</si>
  <si>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</si>
  <si>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</si>
  <si>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</si>
  <si>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</si>
  <si>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</si>
  <si>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</si>
  <si>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</si>
  <si>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</si>
  <si>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</si>
  <si>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</si>
  <si>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</si>
  <si>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</si>
  <si>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</si>
  <si>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</si>
  <si>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</si>
  <si>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</si>
  <si>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</si>
  <si>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</si>
  <si>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</si>
  <si>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</si>
  <si>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</si>
  <si>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</si>
  <si>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</si>
  <si>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</si>
  <si>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</si>
  <si>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</si>
  <si>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</si>
  <si>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</si>
  <si>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</si>
  <si>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</si>
  <si>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</si>
  <si>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</si>
  <si>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</si>
  <si>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</si>
  <si>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</si>
  <si>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</si>
  <si>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</si>
  <si>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</si>
  <si>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</si>
  <si>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</si>
  <si>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</si>
  <si>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</si>
  <si>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</si>
  <si>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</si>
  <si>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</si>
  <si>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</si>
  <si>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</si>
  <si>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</si>
  <si>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</si>
  <si>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</si>
  <si>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</si>
  <si>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</si>
  <si>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</si>
  <si>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</si>
  <si>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</si>
  <si>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</si>
  <si>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</si>
  <si>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</si>
  <si>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</si>
  <si>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</si>
  <si>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</si>
  <si>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</si>
  <si>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</si>
  <si>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</si>
  <si>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</si>
  <si>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</si>
  <si>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</si>
  <si>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</si>
  <si>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</si>
  <si>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</si>
  <si>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</si>
  <si>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</si>
  <si>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</si>
  <si>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</si>
  <si>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</si>
  <si>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</si>
  <si>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</si>
  <si>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</si>
  <si>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</si>
  <si>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</si>
  <si>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</si>
  <si>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</si>
  <si>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</si>
  <si>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</si>
  <si>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</si>
  <si>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</si>
  <si>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</si>
  <si>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</si>
  <si>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</si>
  <si>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</si>
  <si>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</si>
  <si>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</si>
  <si>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</si>
  <si>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</si>
  <si>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</si>
  <si>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</si>
  <si>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</si>
  <si>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</si>
  <si>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</si>
  <si>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</si>
  <si>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</si>
  <si>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</si>
  <si>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</si>
  <si>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</si>
  <si>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</si>
  <si>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</si>
  <si>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</si>
  <si>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</si>
  <si>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</si>
  <si>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</si>
  <si>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</si>
  <si>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</si>
  <si>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</si>
  <si>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</si>
  <si>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</si>
  <si>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</si>
  <si>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</si>
  <si>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</si>
  <si>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</si>
  <si>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</si>
  <si>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</si>
  <si>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</si>
  <si>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</si>
  <si>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</si>
  <si>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</si>
  <si>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</si>
  <si>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</si>
  <si>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</si>
  <si>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</si>
  <si>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</si>
  <si>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</si>
  <si>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</si>
  <si>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</si>
  <si>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</si>
  <si>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</si>
  <si>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</si>
  <si>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</si>
  <si>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</si>
  <si>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</si>
  <si>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</si>
  <si>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</si>
  <si>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</si>
  <si>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</si>
  <si>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</si>
  <si>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</si>
  <si>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</si>
  <si>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</si>
  <si>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</si>
  <si>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</si>
  <si>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</si>
  <si>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</si>
  <si>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</si>
  <si>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</si>
  <si>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</si>
  <si>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</si>
  <si>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</si>
  <si>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</si>
  <si>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</si>
  <si>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</si>
  <si>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285 East Grand Avenue</t>
  </si>
  <si>
    <t>Fox Lake</t>
  </si>
  <si>
    <t>847-587-2561</t>
  </si>
  <si>
    <t>847-587-2991</t>
  </si>
  <si>
    <t>EVOY, KAMSCHULTE, JACOBS &amp; CO. LLP</t>
  </si>
  <si>
    <t>John D. Aceto. Jr., CPA</t>
  </si>
  <si>
    <t>2122 Yeoman Street</t>
  </si>
  <si>
    <t>847-662-8300</t>
  </si>
  <si>
    <t>847-662-8305</t>
  </si>
  <si>
    <t>Dr. Christine Sefcik</t>
  </si>
  <si>
    <t>066-0033289</t>
  </si>
  <si>
    <t>jaceto@ekjllp.com</t>
  </si>
  <si>
    <t>Waukegan</t>
  </si>
  <si>
    <t>IL</t>
  </si>
  <si>
    <t>Evoy, Kamschulte, Jacobs &amp; Co. LLP</t>
  </si>
  <si>
    <t>Prior Balance Carry Over</t>
  </si>
  <si>
    <t>x</t>
  </si>
  <si>
    <t>CLIC, LRSBC</t>
  </si>
  <si>
    <t>SEDOL</t>
  </si>
  <si>
    <t>Education Fund</t>
  </si>
  <si>
    <t>Operations Fund</t>
  </si>
  <si>
    <t>Bond &amp; Interest Fund</t>
  </si>
  <si>
    <t>IMRF Fund</t>
  </si>
  <si>
    <t>Page 11, Line 107, Other Local Revenue - P-Card Rebate $2,164.</t>
  </si>
  <si>
    <t>Page 11, Line 107, Other Local Revenue - Energy Rebate - $26,408.</t>
  </si>
  <si>
    <t>Page 12, Line 168, Other Restricted State Revenue - Library Grant $1,347; PSAT Refund $8,348.</t>
  </si>
  <si>
    <t>Page 9, Line 11, Other Tax Levies - SEDOL IMRF - $52,296.</t>
  </si>
  <si>
    <t>US DEPARTMENT OF AGRICULTURE</t>
  </si>
  <si>
    <t>Child Nutrition Cluster</t>
  </si>
  <si>
    <t>Passed Through Illinois State Board of Education</t>
  </si>
  <si>
    <t>(M) National School Lunch Program</t>
  </si>
  <si>
    <t>(M) School Breakfast Program</t>
  </si>
  <si>
    <t>(M) NSLP: Prefered Meal System</t>
  </si>
  <si>
    <t>(M) DoD Fruits &amp; Vegetables</t>
  </si>
  <si>
    <t>Total Child Nutrition Cluster</t>
  </si>
  <si>
    <t>TOTAL US DEPARTMENT OF AGRICULTURE</t>
  </si>
  <si>
    <t>US DEPARTMENT OF EDUCATION</t>
  </si>
  <si>
    <t>4210-2018</t>
  </si>
  <si>
    <t>4210-2019</t>
  </si>
  <si>
    <t>4220-2018</t>
  </si>
  <si>
    <t>4220-2019</t>
  </si>
  <si>
    <t>N/A</t>
  </si>
  <si>
    <t>Passed Through Illinois State Board of Eduction</t>
  </si>
  <si>
    <t xml:space="preserve">      Title I - Low Income</t>
  </si>
  <si>
    <t>84.010A</t>
  </si>
  <si>
    <t>4300-2018</t>
  </si>
  <si>
    <t>4300-2019</t>
  </si>
  <si>
    <t>US DEPARTMENT OF EDUCATION - Continued</t>
  </si>
  <si>
    <t xml:space="preserve">      Title II - Teacher Quality</t>
  </si>
  <si>
    <t xml:space="preserve">      Title IVA - Student Support &amp; Academic Enrich</t>
  </si>
  <si>
    <t>84.367A</t>
  </si>
  <si>
    <t>84.424A</t>
  </si>
  <si>
    <t>4932-2018</t>
  </si>
  <si>
    <t>4932-2019</t>
  </si>
  <si>
    <t>4400-2019</t>
  </si>
  <si>
    <t>4400-2018</t>
  </si>
  <si>
    <t xml:space="preserve">      IDEA Room &amp; Board</t>
  </si>
  <si>
    <t xml:space="preserve">      IDEA, Part B - Flow Through</t>
  </si>
  <si>
    <t>84.027A</t>
  </si>
  <si>
    <t>4625-2018</t>
  </si>
  <si>
    <t>4620-2018</t>
  </si>
  <si>
    <t>4620-2019</t>
  </si>
  <si>
    <t>Special Education Cluster</t>
  </si>
  <si>
    <t>Total Special Education Cluster (IDEA)</t>
  </si>
  <si>
    <t>Total Passed Through ISBE</t>
  </si>
  <si>
    <t>Passed Through LCAVS</t>
  </si>
  <si>
    <t xml:space="preserve"> (M) CTE-Perkins Secondary Program</t>
  </si>
  <si>
    <t>84.365A</t>
  </si>
  <si>
    <t>4770-2019</t>
  </si>
  <si>
    <t>Total Passed Through LCAVS</t>
  </si>
  <si>
    <t>TOTAL DEPARTMENT OF EDUCATION</t>
  </si>
  <si>
    <t>US DEPARTMENT OF HEALTH &amp; HUMAN SERIVCES</t>
  </si>
  <si>
    <t>Passed Through Illinois Dept. of Healthcare &amp; Family Services</t>
  </si>
  <si>
    <t>(M) Medicaid Matching Grant</t>
  </si>
  <si>
    <t>TOTAL DEPART. OF HEALTH &amp; HUMAN SERVICES</t>
  </si>
  <si>
    <t>TOTAL FEDERAL FINAINCIAL ASSISTANCE</t>
  </si>
  <si>
    <t>4991-2018</t>
  </si>
  <si>
    <t>4991-2019</t>
  </si>
  <si>
    <t>Value of Federal awards Expended in the Form of Non-Cash Assistance during the year</t>
  </si>
  <si>
    <t>4290-2018</t>
  </si>
  <si>
    <t>Federal Insuance in effect during the year</t>
  </si>
  <si>
    <t>Federal Loans or Loan Guarantees, Including Interest Subsidies Outstanding at Year End</t>
  </si>
  <si>
    <t>Amount Provided to Subrecipients -There were no amounts provided to subrecipients</t>
  </si>
  <si>
    <r>
      <t>The accompanying Schedule of Expenditures of Federal Awards includes the federal grant activity of Grant Community HS District No. 124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</si>
  <si>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Grant Comm HS District No. 124 provided federal awards to subrecipients as follows:</t>
  </si>
  <si>
    <t>NONE</t>
  </si>
  <si>
    <r>
      <t xml:space="preserve">The following amounts were expended in the form of non-cash assistance by Grant Com HS District No. 124 and </t>
    </r>
    <r>
      <rPr>
        <b/>
        <sz val="9"/>
        <rFont val="Calibri"/>
        <family val="2"/>
        <scheme val="minor"/>
      </rPr>
      <t>should be</t>
    </r>
    <r>
      <rPr>
        <sz val="9"/>
        <rFont val="Calibri"/>
        <family val="2"/>
        <scheme val="minor"/>
      </rPr>
      <t xml:space="preserve"> included in the Schedule of Expenditures of Federal Awards:</t>
    </r>
  </si>
  <si>
    <t>Unmodified</t>
  </si>
  <si>
    <t>Commodities</t>
  </si>
  <si>
    <t>CTE-Perkins Grant</t>
  </si>
  <si>
    <t>Medicaid Matching</t>
  </si>
  <si>
    <t>ED-Instruction-Purchase Services</t>
  </si>
  <si>
    <t>The Cove School</t>
  </si>
  <si>
    <t>10-1000-300</t>
  </si>
  <si>
    <t>Virtual Connections Academy</t>
  </si>
  <si>
    <t>Camelot Education</t>
  </si>
  <si>
    <t>Safe Haven School</t>
  </si>
  <si>
    <t>Connections Day School</t>
  </si>
  <si>
    <t>The Learning House</t>
  </si>
  <si>
    <t>Giant Steps</t>
  </si>
  <si>
    <t>Marklund Day School</t>
  </si>
  <si>
    <t>Connections Academy East</t>
  </si>
  <si>
    <t>New Connections Academy</t>
  </si>
  <si>
    <t>Allendale</t>
  </si>
  <si>
    <t>Connections Day School South</t>
  </si>
  <si>
    <t>Athletico Manangement LLC</t>
  </si>
  <si>
    <t>ED-General Administration -Purchase Services</t>
  </si>
  <si>
    <t>10-2300-300</t>
  </si>
  <si>
    <t>District Management Group</t>
  </si>
  <si>
    <t>CLIC</t>
  </si>
  <si>
    <t>Partners4results</t>
  </si>
  <si>
    <t>10-2630-300</t>
  </si>
  <si>
    <t>ED-Information Services-Purchase Services</t>
  </si>
  <si>
    <t>McQueen Technology Group</t>
  </si>
  <si>
    <t>ED-Community Service-Purchase Services</t>
  </si>
  <si>
    <t>10-3000-300</t>
  </si>
  <si>
    <t>Lake Co. Health Dept &amp; Comm Health</t>
  </si>
  <si>
    <t>Ice Enterprises</t>
  </si>
  <si>
    <t>20-2540-300</t>
  </si>
  <si>
    <t>OM-Oper &amp; Maint of Plant Services-Purchase Services</t>
  </si>
  <si>
    <t>Waste Management</t>
  </si>
  <si>
    <t>Johnson Controls Fire Protection LP</t>
  </si>
  <si>
    <t>Canon Financial Services</t>
  </si>
  <si>
    <t>AT&amp;T</t>
  </si>
  <si>
    <t>Comcast</t>
  </si>
  <si>
    <t>Village of Fox Lake</t>
  </si>
  <si>
    <t>Per Mar Security Services</t>
  </si>
  <si>
    <t>TR-Pupil Transportation-Purchase Services</t>
  </si>
  <si>
    <t>40-2550-300</t>
  </si>
  <si>
    <t>Northwest Suburban Special Ed Org</t>
  </si>
  <si>
    <t>Top Line Transportation Co</t>
  </si>
  <si>
    <t>Durham School Services</t>
  </si>
  <si>
    <t>Chain O'Lakes Transportation</t>
  </si>
  <si>
    <t>Safeway Transportation</t>
  </si>
  <si>
    <t>Santander Leasing LLC</t>
  </si>
  <si>
    <t>Grant CHSD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</si>
</sst>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904875</xdr:colOff>
          <xdr:row>3</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6"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2061</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2061</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34049124016</v>
      </c>
      <c r="B13" s="2018"/>
      <c r="C13" s="2018"/>
      <c r="D13" s="2018"/>
      <c r="E13" s="2018"/>
      <c r="F13" s="2018"/>
      <c r="G13" s="2018"/>
      <c r="H13" s="2019"/>
      <c r="I13" s="31"/>
      <c r="J13" s="30"/>
      <c r="K13" s="28"/>
      <c r="L13" s="30"/>
      <c r="M13" s="30"/>
      <c r="N13" s="30"/>
      <c r="O13" s="30"/>
      <c r="P13" s="30"/>
      <c r="Q13" s="30"/>
      <c r="R13" s="30"/>
      <c r="S13" s="30"/>
      <c r="T13" s="2022" t="s">
        <v>2067</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2068</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2198</v>
      </c>
      <c r="B17" s="1977"/>
      <c r="C17" s="1977"/>
      <c r="D17" s="1977"/>
      <c r="E17" s="1977"/>
      <c r="F17" s="1977"/>
      <c r="G17" s="1977"/>
      <c r="H17" s="2002"/>
      <c r="T17" s="2033" t="s">
        <v>2069</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2075</v>
      </c>
      <c r="U19" s="1941"/>
      <c r="V19" s="1941"/>
      <c r="W19" s="1942"/>
      <c r="X19" s="2031" t="s">
        <v>2076</v>
      </c>
      <c r="Y19" s="2032"/>
      <c r="Z19" s="2029">
        <v>60087</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2073</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60020</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2072</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2065</v>
      </c>
      <c r="B42" s="1960"/>
      <c r="C42" s="1961"/>
      <c r="D42" s="1959" t="s">
        <v>2066</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14590374</v>
      </c>
      <c r="C4" s="1524">
        <v>7464216</v>
      </c>
      <c r="D4" s="1752">
        <f>B4-C4</f>
        <v>7126158</v>
      </c>
      <c r="E4" s="1524">
        <v>15187949</v>
      </c>
      <c r="F4" s="1752">
        <f>E4-C4</f>
        <v>7723733</v>
      </c>
    </row>
    <row r="5" spans="1:6" ht="13.7" customHeight="1" x14ac:dyDescent="0.2">
      <c r="A5" s="715" t="s">
        <v>870</v>
      </c>
      <c r="B5" s="1750">
        <f>'Revenues 9-14'!D5</f>
        <v>4075156</v>
      </c>
      <c r="C5" s="585">
        <v>2142954</v>
      </c>
      <c r="D5" s="1753">
        <f t="shared" ref="D5:D18" si="0">B5-C5</f>
        <v>1932202</v>
      </c>
      <c r="E5" s="585">
        <v>4360415</v>
      </c>
      <c r="F5" s="1753">
        <f>E5-C5</f>
        <v>2217461</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344855</v>
      </c>
      <c r="C7" s="585">
        <v>226334</v>
      </c>
      <c r="D7" s="1753">
        <f t="shared" si="0"/>
        <v>118521</v>
      </c>
      <c r="E7" s="585">
        <v>460537</v>
      </c>
      <c r="F7" s="1753">
        <f t="shared" si="1"/>
        <v>234203</v>
      </c>
    </row>
    <row r="8" spans="1:6" ht="13.7" customHeight="1" x14ac:dyDescent="0.2">
      <c r="A8" s="715" t="s">
        <v>1179</v>
      </c>
      <c r="B8" s="1750">
        <f>'Revenues 9-14'!G5</f>
        <v>345501</v>
      </c>
      <c r="C8" s="585">
        <v>180591</v>
      </c>
      <c r="D8" s="1753">
        <f t="shared" si="0"/>
        <v>164910</v>
      </c>
      <c r="E8" s="585">
        <v>367461</v>
      </c>
      <c r="F8" s="1753">
        <f t="shared" si="1"/>
        <v>186870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352571</v>
      </c>
      <c r="C10" s="585">
        <v>180591</v>
      </c>
      <c r="D10" s="1753">
        <f t="shared" si="0"/>
        <v>171980</v>
      </c>
      <c r="E10" s="585">
        <v>367461</v>
      </c>
      <c r="F10" s="1753">
        <f t="shared" si="1"/>
        <v>186870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357539</v>
      </c>
      <c r="C16" s="585">
        <v>192629</v>
      </c>
      <c r="D16" s="1753">
        <f t="shared" si="0"/>
        <v>164910</v>
      </c>
      <c r="E16" s="585">
        <v>391954</v>
      </c>
      <c r="F16" s="1753">
        <f t="shared" si="1"/>
        <v>199325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52296</v>
      </c>
      <c r="C18" s="585">
        <v>25124</v>
      </c>
      <c r="D18" s="1753">
        <f t="shared" si="0"/>
        <v>27172</v>
      </c>
      <c r="E18" s="585">
        <v>51121</v>
      </c>
      <c r="F18" s="1753">
        <f t="shared" si="1"/>
        <v>25997</v>
      </c>
    </row>
    <row r="19" spans="1:6" ht="13.7" customHeight="1" thickBot="1" x14ac:dyDescent="0.25">
      <c r="A19" s="1754" t="s">
        <v>1161</v>
      </c>
      <c r="B19" s="1751">
        <f>SUM(B4:B18)</f>
        <v>20118292</v>
      </c>
      <c r="C19" s="1751">
        <f>SUM(C4:C18)</f>
        <v>10412439</v>
      </c>
      <c r="D19" s="1751">
        <f>SUM(D4:D18)</f>
        <v>9705853</v>
      </c>
      <c r="E19" s="1751">
        <f>SUM(E4:E18)</f>
        <v>21186898</v>
      </c>
      <c r="F19" s="1751">
        <f>SUM(F4:F18)</f>
        <v>10774459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5" colorId="8" zoomScale="110" zoomScaleNormal="11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2078</v>
      </c>
      <c r="B31" s="733"/>
      <c r="C31" s="734"/>
      <c r="D31" s="735"/>
      <c r="E31" s="734"/>
      <c r="F31" s="734"/>
      <c r="G31" s="734"/>
      <c r="H31" s="734"/>
      <c r="I31" s="1756">
        <f>((E31+F31)-H31)+G31</f>
        <v>0</v>
      </c>
      <c r="J31" s="734">
        <v>-264053</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-264053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137544</v>
      </c>
    </row>
    <row r="37" spans="1:11" x14ac:dyDescent="0.2">
      <c r="A37" s="820" t="s">
        <v>896</v>
      </c>
      <c r="B37" s="818"/>
      <c r="C37" s="818"/>
      <c r="D37" s="818"/>
      <c r="E37" s="818"/>
      <c r="F37" s="819"/>
      <c r="G37" s="765"/>
    </row>
    <row r="38" spans="1:11" x14ac:dyDescent="0.2">
      <c r="A38" s="820" t="s">
        <v>993</v>
      </c>
      <c r="B38" s="818"/>
      <c r="C38" s="818"/>
      <c r="D38" s="818"/>
      <c r="E38" s="818"/>
      <c r="F38" s="819"/>
      <c r="G38" s="765">
        <v>83308</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4190703</v>
      </c>
      <c r="D5" s="841"/>
      <c r="E5" s="841"/>
      <c r="F5" s="1760">
        <f>(C5+D5)-E5</f>
        <v>4190703</v>
      </c>
      <c r="G5" s="837"/>
      <c r="H5" s="842"/>
      <c r="I5" s="842"/>
      <c r="J5" s="842"/>
      <c r="K5" s="793"/>
      <c r="L5" s="1769">
        <f>F5-K5</f>
        <v>4190703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73646034</v>
      </c>
      <c r="D8" s="844">
        <v>3932021</v>
      </c>
      <c r="E8" s="844"/>
      <c r="F8" s="1760">
        <f>(C8+D8)-E8</f>
        <v>77578055</v>
      </c>
      <c r="G8" s="843">
        <v>50</v>
      </c>
      <c r="H8" s="765">
        <v>20671696</v>
      </c>
      <c r="I8" s="765">
        <v>1521473</v>
      </c>
      <c r="J8" s="765"/>
      <c r="K8" s="1769">
        <f>(H8+I8)-J8</f>
        <v>22193169</v>
      </c>
      <c r="L8" s="1769">
        <f>F8-K8</f>
        <v>55384886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6497234</v>
      </c>
      <c r="D10" s="846"/>
      <c r="E10" s="846"/>
      <c r="F10" s="1764">
        <f>(C10+D10)-E10</f>
        <v>6497234</v>
      </c>
      <c r="G10" s="843">
        <v>20</v>
      </c>
      <c r="H10" s="847">
        <v>2060597</v>
      </c>
      <c r="I10" s="847">
        <v>308336</v>
      </c>
      <c r="J10" s="847"/>
      <c r="K10" s="1769">
        <f>(H10+I10)-J10</f>
        <v>2368933</v>
      </c>
      <c r="L10" s="1769">
        <f>F10-K10</f>
        <v>4128301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8587604</v>
      </c>
      <c r="D12" s="844">
        <v>936291</v>
      </c>
      <c r="E12" s="844"/>
      <c r="F12" s="1760">
        <f>(C12+D12)-E12</f>
        <v>9523895</v>
      </c>
      <c r="G12" s="843">
        <v>10</v>
      </c>
      <c r="H12" s="765">
        <v>6160661</v>
      </c>
      <c r="I12" s="765">
        <v>514786</v>
      </c>
      <c r="J12" s="765"/>
      <c r="K12" s="1769">
        <f>(H12+I12)-J12</f>
        <v>6675447</v>
      </c>
      <c r="L12" s="1769">
        <f>F12-K12</f>
        <v>2848448</v>
      </c>
    </row>
    <row r="13" spans="1:14" ht="14.25" thickTop="1" thickBot="1" x14ac:dyDescent="0.25">
      <c r="A13" s="848" t="s">
        <v>1122</v>
      </c>
      <c r="B13" s="840">
        <v>252</v>
      </c>
      <c r="C13" s="844">
        <v>712646</v>
      </c>
      <c r="D13" s="844"/>
      <c r="E13" s="844"/>
      <c r="F13" s="1760">
        <f>(C13+D13)-E13</f>
        <v>712646</v>
      </c>
      <c r="G13" s="843">
        <v>5</v>
      </c>
      <c r="H13" s="765">
        <v>578171</v>
      </c>
      <c r="I13" s="765">
        <v>6069</v>
      </c>
      <c r="J13" s="765"/>
      <c r="K13" s="1769">
        <f>(H13+I13)-J13</f>
        <v>584240</v>
      </c>
      <c r="L13" s="1769">
        <f>F13-K13</f>
        <v>128406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93634221</v>
      </c>
      <c r="D16" s="1760">
        <f>SUM(D3,D5:D6,D8:D10,D12:D15)</f>
        <v>4868312</v>
      </c>
      <c r="E16" s="1760">
        <f>SUM(E3,E5:E6,E8:E10,E12:E15)</f>
        <v>0</v>
      </c>
      <c r="F16" s="1760">
        <f>SUM(F3,F5:F6,F8:F10,F12:F15)</f>
        <v>98502533</v>
      </c>
      <c r="G16" s="843"/>
      <c r="H16" s="1760">
        <f>SUM(H3,H6,H8:H10,H12:H14,)</f>
        <v>29471125</v>
      </c>
      <c r="I16" s="1760">
        <f>SUM(I3,I6,I8:I10,I12:I14,)</f>
        <v>2350664</v>
      </c>
      <c r="J16" s="1760">
        <f>SUM(J3,J6,J8:J10,J12:J14,)</f>
        <v>0</v>
      </c>
      <c r="K16" s="1760">
        <f>(H16+I16)-J16</f>
        <v>31821789</v>
      </c>
      <c r="L16" s="1760">
        <f>F16-K16</f>
        <v>66680744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2350664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1"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22316732</v>
      </c>
      <c r="G8" s="865"/>
    </row>
    <row r="9" spans="1:7" x14ac:dyDescent="0.2">
      <c r="A9" s="869" t="s">
        <v>460</v>
      </c>
      <c r="B9" s="870" t="s">
        <v>1874</v>
      </c>
      <c r="C9" s="871"/>
      <c r="D9" s="869" t="s">
        <v>501</v>
      </c>
      <c r="E9" s="868"/>
      <c r="F9" s="1909">
        <f>'Expenditures 15-22'!K151</f>
        <v>3238496</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2143550</v>
      </c>
      <c r="G11" s="872"/>
    </row>
    <row r="12" spans="1:7" x14ac:dyDescent="0.2">
      <c r="A12" s="869" t="s">
        <v>462</v>
      </c>
      <c r="B12" s="870" t="s">
        <v>1877</v>
      </c>
      <c r="C12" s="871"/>
      <c r="D12" s="869" t="s">
        <v>501</v>
      </c>
      <c r="E12" s="868"/>
      <c r="F12" s="1909">
        <f>'Expenditures 15-22'!K295</f>
        <v>767227</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28466005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100960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78183</v>
      </c>
      <c r="G52" s="865"/>
    </row>
    <row r="53" spans="1:7" x14ac:dyDescent="0.2">
      <c r="A53" s="869" t="s">
        <v>459</v>
      </c>
      <c r="B53" s="869" t="s">
        <v>1475</v>
      </c>
      <c r="C53" s="889">
        <f>'Expenditures 15-22'!B102</f>
        <v>4000</v>
      </c>
      <c r="D53" s="888" t="str">
        <f>'Expenditures 15-22'!A102</f>
        <v>Total Payments to Other Govt Units</v>
      </c>
      <c r="E53" s="868"/>
      <c r="F53" s="1913">
        <f>'Expenditures 15-22'!K102</f>
        <v>2492271</v>
      </c>
      <c r="G53" s="865"/>
    </row>
    <row r="54" spans="1:7" x14ac:dyDescent="0.2">
      <c r="A54" s="869" t="s">
        <v>459</v>
      </c>
      <c r="B54" s="869" t="s">
        <v>1476</v>
      </c>
      <c r="C54" s="889" t="s">
        <v>982</v>
      </c>
      <c r="D54" s="885" t="s">
        <v>1095</v>
      </c>
      <c r="E54" s="868"/>
      <c r="F54" s="1913">
        <f>'Expenditures 15-22'!G114</f>
        <v>242843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90224</v>
      </c>
      <c r="G57" s="865"/>
    </row>
    <row r="58" spans="1:7" x14ac:dyDescent="0.2">
      <c r="A58" s="869" t="s">
        <v>460</v>
      </c>
      <c r="B58" s="869" t="s">
        <v>1880</v>
      </c>
      <c r="C58" s="886" t="s">
        <v>982</v>
      </c>
      <c r="D58" s="885" t="s">
        <v>1095</v>
      </c>
      <c r="E58" s="868"/>
      <c r="F58" s="1915">
        <f>'Expenditures 15-22'!G151</f>
        <v>328150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1269</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57651</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3391551</v>
      </c>
      <c r="G76" s="865"/>
    </row>
    <row r="77" spans="1:8" s="893" customFormat="1" ht="12" customHeight="1" thickTop="1" thickBot="1" x14ac:dyDescent="0.25">
      <c r="A77" s="1779"/>
      <c r="B77" s="1776"/>
      <c r="C77" s="1772"/>
      <c r="D77" s="1777" t="s">
        <v>1897</v>
      </c>
      <c r="E77" s="1774"/>
      <c r="F77" s="1780">
        <f>(F14-F76)</f>
        <v>25074454</v>
      </c>
      <c r="G77" s="869"/>
    </row>
    <row r="78" spans="1:8" s="893" customFormat="1" ht="12" customHeight="1" thickTop="1" x14ac:dyDescent="0.2">
      <c r="A78" s="1781"/>
      <c r="B78" s="1776"/>
      <c r="C78" s="1772"/>
      <c r="D78" s="1777" t="s">
        <v>2059</v>
      </c>
      <c r="E78" s="1774"/>
      <c r="F78" s="898">
        <v>1534</v>
      </c>
      <c r="G78" s="899"/>
      <c r="H78" s="869"/>
    </row>
    <row r="79" spans="1:8" s="893" customFormat="1" ht="12" customHeight="1" thickBot="1" x14ac:dyDescent="0.25">
      <c r="A79" s="1782"/>
      <c r="B79" s="1776"/>
      <c r="C79" s="1772"/>
      <c r="D79" s="1777" t="s">
        <v>1898</v>
      </c>
      <c r="E79" s="1774" t="s">
        <v>958</v>
      </c>
      <c r="F79" s="1783">
        <f>IF(F78&gt;0,F77/F78," Complete Line 78")</f>
        <v>16345.797913950457</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509975</v>
      </c>
      <c r="G94" s="912"/>
    </row>
    <row r="95" spans="1:7" x14ac:dyDescent="0.2">
      <c r="A95" s="908" t="s">
        <v>140</v>
      </c>
      <c r="B95" s="908" t="s">
        <v>175</v>
      </c>
      <c r="C95" s="910">
        <v>1700</v>
      </c>
      <c r="D95" s="918" t="str">
        <f>'Revenues 9-14'!A82</f>
        <v>Total District/School Activity Income</v>
      </c>
      <c r="E95" s="906"/>
      <c r="F95" s="1789">
        <f>SUM('Revenues 9-14'!C82,'Revenues 9-14'!D82)</f>
        <v>441249</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999</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250532</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44825</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4271</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53358</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1201972</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9695</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262206</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163639</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7292</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383162</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12000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21596</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22093</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20710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183448</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564221</v>
      </c>
      <c r="G171" s="927"/>
    </row>
    <row r="172" spans="1:7" x14ac:dyDescent="0.2">
      <c r="A172" s="1918" t="s">
        <v>664</v>
      </c>
      <c r="B172" s="1919" t="s">
        <v>1917</v>
      </c>
      <c r="C172" s="1920">
        <v>3300</v>
      </c>
      <c r="D172" s="1921" t="s">
        <v>1920</v>
      </c>
      <c r="E172" s="906"/>
      <c r="F172" s="1906">
        <v>5311</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4162554</v>
      </c>
    </row>
    <row r="175" spans="1:7" ht="12" customHeight="1" x14ac:dyDescent="0.2">
      <c r="A175" s="1770"/>
      <c r="B175" s="1784"/>
      <c r="C175" s="1785"/>
      <c r="D175" s="1786" t="s">
        <v>2054</v>
      </c>
      <c r="E175" s="1787"/>
      <c r="F175" s="1789">
        <f>'PCTC-OEPP 27-28'!F77-F174</f>
        <v>20911900</v>
      </c>
    </row>
    <row r="176" spans="1:7" ht="12" customHeight="1" x14ac:dyDescent="0.2">
      <c r="A176" s="1770"/>
      <c r="B176" s="1784"/>
      <c r="C176" s="1785"/>
      <c r="D176" s="1786" t="s">
        <v>1814</v>
      </c>
      <c r="E176" s="1787"/>
      <c r="F176" s="1789">
        <f>'Cap Outlay Deprec 26'!I18</f>
        <v>2350664</v>
      </c>
    </row>
    <row r="177" spans="1:7" ht="12" customHeight="1" x14ac:dyDescent="0.2">
      <c r="A177" s="1770"/>
      <c r="B177" s="1784"/>
      <c r="C177" s="1785"/>
      <c r="D177" s="1786" t="s">
        <v>2055</v>
      </c>
      <c r="E177" s="1787"/>
      <c r="F177" s="1789">
        <f>F175+F176</f>
        <v>23262564</v>
      </c>
    </row>
    <row r="178" spans="1:7" ht="12" customHeight="1" x14ac:dyDescent="0.2">
      <c r="A178" s="1770"/>
      <c r="B178" s="1790"/>
      <c r="C178" s="1785"/>
      <c r="D178" s="1786" t="str">
        <f>D78</f>
        <v>9 Month ADA from District Average Daily Attendance/Prior General State Aid Inquiry 2018-2019</v>
      </c>
      <c r="E178" s="1787"/>
      <c r="F178" s="1791">
        <f>'PCTC-OEPP 27-28'!F78</f>
        <v>1534</v>
      </c>
      <c r="G178" s="930"/>
    </row>
    <row r="179" spans="1:7" ht="12" customHeight="1" thickBot="1" x14ac:dyDescent="0.25">
      <c r="A179" s="1770"/>
      <c r="B179" s="1790"/>
      <c r="C179" s="1785"/>
      <c r="D179" s="1786" t="s">
        <v>2056</v>
      </c>
      <c r="E179" s="1787" t="s">
        <v>1545</v>
      </c>
      <c r="F179" s="1792">
        <f>F177/F178</f>
        <v>15164.644067796609</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4" zoomScaleNormal="100" workbookViewId="0">
      <selection activeCell="D49" sqref="D4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2154</v>
      </c>
      <c r="B17" s="1937" t="s">
        <v>2156</v>
      </c>
      <c r="C17" s="1938" t="s">
        <v>2155</v>
      </c>
      <c r="D17" s="1844">
        <v>25701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701</v>
      </c>
      <c r="H17" s="1647"/>
    </row>
    <row r="18" spans="1:8" x14ac:dyDescent="0.25">
      <c r="A18" s="1936" t="s">
        <v>2154</v>
      </c>
      <c r="B18" s="1937" t="s">
        <v>2156</v>
      </c>
      <c r="C18" s="1938" t="s">
        <v>2157</v>
      </c>
      <c r="D18" s="1844">
        <v>26937</v>
      </c>
      <c r="E18" s="1540">
        <f t="shared" ref="E18:E140" si="2">IF(D18&lt;=25000,D18,IF(D18&gt;25000,25000,0))</f>
        <v>25000</v>
      </c>
      <c r="F18" s="1932">
        <f t="shared" si="1"/>
        <v>25000</v>
      </c>
      <c r="G18" s="1793">
        <f t="shared" ref="G18:G140" si="3">IF(F18=0,0,D18-F18)</f>
        <v>1937</v>
      </c>
    </row>
    <row r="19" spans="1:8" x14ac:dyDescent="0.25">
      <c r="A19" s="1936" t="s">
        <v>2154</v>
      </c>
      <c r="B19" s="1937" t="s">
        <v>2156</v>
      </c>
      <c r="C19" s="1938" t="s">
        <v>2158</v>
      </c>
      <c r="D19" s="1844">
        <v>32462</v>
      </c>
      <c r="E19" s="1540">
        <f t="shared" si="2"/>
        <v>25000</v>
      </c>
      <c r="F19" s="1932">
        <f t="shared" si="1"/>
        <v>25000</v>
      </c>
      <c r="G19" s="1793">
        <f t="shared" si="3"/>
        <v>7462</v>
      </c>
    </row>
    <row r="20" spans="1:8" x14ac:dyDescent="0.25">
      <c r="A20" s="1936" t="s">
        <v>2154</v>
      </c>
      <c r="B20" s="1937" t="s">
        <v>2156</v>
      </c>
      <c r="C20" s="1938" t="s">
        <v>2159</v>
      </c>
      <c r="D20" s="1844">
        <v>36419</v>
      </c>
      <c r="E20" s="1540">
        <f t="shared" si="2"/>
        <v>25000</v>
      </c>
      <c r="F20" s="1932">
        <f t="shared" si="1"/>
        <v>25000</v>
      </c>
      <c r="G20" s="1793">
        <f t="shared" si="3"/>
        <v>11419</v>
      </c>
    </row>
    <row r="21" spans="1:8" x14ac:dyDescent="0.25">
      <c r="A21" s="1936" t="s">
        <v>2154</v>
      </c>
      <c r="B21" s="1937" t="s">
        <v>2156</v>
      </c>
      <c r="C21" s="1938" t="s">
        <v>2167</v>
      </c>
      <c r="D21" s="1844">
        <v>39060</v>
      </c>
      <c r="E21" s="1540">
        <f t="shared" si="2"/>
        <v>25000</v>
      </c>
      <c r="F21" s="1932">
        <f t="shared" si="1"/>
        <v>25000</v>
      </c>
      <c r="G21" s="1793">
        <f t="shared" si="3"/>
        <v>14060</v>
      </c>
    </row>
    <row r="22" spans="1:8" x14ac:dyDescent="0.25">
      <c r="A22" s="1936" t="s">
        <v>2154</v>
      </c>
      <c r="B22" s="1937" t="s">
        <v>2156</v>
      </c>
      <c r="C22" s="1938" t="s">
        <v>2161</v>
      </c>
      <c r="D22" s="1844">
        <v>42645</v>
      </c>
      <c r="E22" s="1540">
        <f t="shared" si="2"/>
        <v>25000</v>
      </c>
      <c r="F22" s="1932">
        <f t="shared" si="1"/>
        <v>25000</v>
      </c>
      <c r="G22" s="1793">
        <f t="shared" si="3"/>
        <v>17645</v>
      </c>
    </row>
    <row r="23" spans="1:8" x14ac:dyDescent="0.25">
      <c r="A23" s="1936" t="s">
        <v>2154</v>
      </c>
      <c r="B23" s="1937" t="s">
        <v>2156</v>
      </c>
      <c r="C23" s="1938" t="s">
        <v>2162</v>
      </c>
      <c r="D23" s="1844">
        <v>73951</v>
      </c>
      <c r="E23" s="1540">
        <f t="shared" si="2"/>
        <v>25000</v>
      </c>
      <c r="F23" s="1932">
        <f t="shared" si="1"/>
        <v>25000</v>
      </c>
      <c r="G23" s="1793">
        <f t="shared" si="3"/>
        <v>48951</v>
      </c>
    </row>
    <row r="24" spans="1:8" x14ac:dyDescent="0.25">
      <c r="A24" s="1936" t="s">
        <v>2154</v>
      </c>
      <c r="B24" s="1937" t="s">
        <v>2156</v>
      </c>
      <c r="C24" s="1938" t="s">
        <v>2163</v>
      </c>
      <c r="D24" s="1844">
        <v>83515</v>
      </c>
      <c r="E24" s="1540">
        <f t="shared" si="2"/>
        <v>25000</v>
      </c>
      <c r="F24" s="1932">
        <f t="shared" si="1"/>
        <v>25000</v>
      </c>
      <c r="G24" s="1793">
        <f t="shared" si="3"/>
        <v>58515</v>
      </c>
    </row>
    <row r="25" spans="1:8" x14ac:dyDescent="0.25">
      <c r="A25" s="1936" t="s">
        <v>2154</v>
      </c>
      <c r="B25" s="1937" t="s">
        <v>2156</v>
      </c>
      <c r="C25" s="1938" t="s">
        <v>2164</v>
      </c>
      <c r="D25" s="1844">
        <v>90524</v>
      </c>
      <c r="E25" s="1540">
        <f t="shared" si="2"/>
        <v>25000</v>
      </c>
      <c r="F25" s="1932">
        <f t="shared" si="1"/>
        <v>25000</v>
      </c>
      <c r="G25" s="1793">
        <f t="shared" si="3"/>
        <v>65524</v>
      </c>
    </row>
    <row r="26" spans="1:8" x14ac:dyDescent="0.25">
      <c r="A26" s="1936" t="s">
        <v>2154</v>
      </c>
      <c r="B26" s="1937" t="s">
        <v>2156</v>
      </c>
      <c r="C26" s="1938" t="s">
        <v>2165</v>
      </c>
      <c r="D26" s="1844">
        <v>111108</v>
      </c>
      <c r="E26" s="1540">
        <f t="shared" si="2"/>
        <v>25000</v>
      </c>
      <c r="F26" s="1932">
        <f t="shared" si="1"/>
        <v>25000</v>
      </c>
      <c r="G26" s="1793">
        <f t="shared" si="3"/>
        <v>86108</v>
      </c>
    </row>
    <row r="27" spans="1:8" x14ac:dyDescent="0.25">
      <c r="A27" s="1936" t="s">
        <v>2154</v>
      </c>
      <c r="B27" s="1937" t="s">
        <v>2156</v>
      </c>
      <c r="C27" s="1938" t="s">
        <v>2166</v>
      </c>
      <c r="D27" s="1844">
        <v>143305</v>
      </c>
      <c r="E27" s="1540">
        <f t="shared" si="2"/>
        <v>25000</v>
      </c>
      <c r="F27" s="1932">
        <f t="shared" si="1"/>
        <v>25000</v>
      </c>
      <c r="G27" s="1793">
        <f t="shared" si="3"/>
        <v>118305</v>
      </c>
    </row>
    <row r="28" spans="1:8" x14ac:dyDescent="0.25">
      <c r="A28" s="1936" t="s">
        <v>2154</v>
      </c>
      <c r="B28" s="1937" t="s">
        <v>2156</v>
      </c>
      <c r="C28" s="1938" t="s">
        <v>2160</v>
      </c>
      <c r="D28" s="1844">
        <v>183747</v>
      </c>
      <c r="E28" s="1540">
        <f t="shared" si="2"/>
        <v>25000</v>
      </c>
      <c r="F28" s="1932">
        <f t="shared" si="1"/>
        <v>25000</v>
      </c>
      <c r="G28" s="1793">
        <f t="shared" si="3"/>
        <v>158747</v>
      </c>
    </row>
    <row r="29" spans="1:8" x14ac:dyDescent="0.25">
      <c r="A29" s="1936" t="s">
        <v>2154</v>
      </c>
      <c r="B29" s="1937" t="s">
        <v>2156</v>
      </c>
      <c r="C29" s="1938" t="s">
        <v>2168</v>
      </c>
      <c r="D29" s="1844">
        <v>43246</v>
      </c>
      <c r="E29" s="1540">
        <f t="shared" si="2"/>
        <v>25000</v>
      </c>
      <c r="F29" s="1932">
        <f t="shared" si="1"/>
        <v>25000</v>
      </c>
      <c r="G29" s="1793">
        <f t="shared" si="3"/>
        <v>18246</v>
      </c>
    </row>
    <row r="30" spans="1:8" x14ac:dyDescent="0.25">
      <c r="A30" s="1936" t="s">
        <v>2169</v>
      </c>
      <c r="B30" s="1937" t="s">
        <v>2170</v>
      </c>
      <c r="C30" s="1938" t="s">
        <v>2171</v>
      </c>
      <c r="D30" s="1844">
        <v>71500</v>
      </c>
      <c r="E30" s="1540">
        <f t="shared" si="2"/>
        <v>25000</v>
      </c>
      <c r="F30" s="1932">
        <f t="shared" si="1"/>
        <v>25000</v>
      </c>
      <c r="G30" s="1793">
        <f t="shared" si="3"/>
        <v>46500</v>
      </c>
    </row>
    <row r="31" spans="1:8" x14ac:dyDescent="0.25">
      <c r="A31" s="1936" t="s">
        <v>2169</v>
      </c>
      <c r="B31" s="1937" t="s">
        <v>2170</v>
      </c>
      <c r="C31" s="1938" t="s">
        <v>2172</v>
      </c>
      <c r="D31" s="1844">
        <v>227932</v>
      </c>
      <c r="E31" s="1540">
        <f t="shared" si="2"/>
        <v>25000</v>
      </c>
      <c r="F31" s="1932">
        <f t="shared" si="1"/>
        <v>25000</v>
      </c>
      <c r="G31" s="1793">
        <f t="shared" si="3"/>
        <v>202932</v>
      </c>
    </row>
    <row r="32" spans="1:8" x14ac:dyDescent="0.25">
      <c r="A32" s="1936" t="s">
        <v>2175</v>
      </c>
      <c r="B32" s="1937" t="s">
        <v>2174</v>
      </c>
      <c r="C32" s="1938" t="s">
        <v>2173</v>
      </c>
      <c r="D32" s="1844">
        <v>27564</v>
      </c>
      <c r="E32" s="1540">
        <f t="shared" si="2"/>
        <v>25000</v>
      </c>
      <c r="F32" s="1932">
        <f t="shared" si="1"/>
        <v>25000</v>
      </c>
      <c r="G32" s="1793">
        <f t="shared" si="3"/>
        <v>2564</v>
      </c>
    </row>
    <row r="33" spans="1:7" x14ac:dyDescent="0.25">
      <c r="A33" s="1936" t="s">
        <v>2175</v>
      </c>
      <c r="B33" s="1937" t="s">
        <v>2174</v>
      </c>
      <c r="C33" s="1938" t="s">
        <v>2176</v>
      </c>
      <c r="D33" s="1844">
        <v>77000</v>
      </c>
      <c r="E33" s="1540">
        <f t="shared" si="2"/>
        <v>25000</v>
      </c>
      <c r="F33" s="1932">
        <f t="shared" si="1"/>
        <v>25000</v>
      </c>
      <c r="G33" s="1793">
        <f t="shared" si="3"/>
        <v>52000</v>
      </c>
    </row>
    <row r="34" spans="1:7" x14ac:dyDescent="0.25">
      <c r="A34" s="1936" t="s">
        <v>2177</v>
      </c>
      <c r="B34" s="1937" t="s">
        <v>2178</v>
      </c>
      <c r="C34" s="1938" t="s">
        <v>2179</v>
      </c>
      <c r="D34" s="1844">
        <v>47659</v>
      </c>
      <c r="E34" s="1540">
        <f t="shared" si="2"/>
        <v>25000</v>
      </c>
      <c r="F34" s="1932">
        <f t="shared" si="1"/>
        <v>25000</v>
      </c>
      <c r="G34" s="1793">
        <f t="shared" si="3"/>
        <v>22659</v>
      </c>
    </row>
    <row r="35" spans="1:7" x14ac:dyDescent="0.25">
      <c r="A35" s="1936" t="s">
        <v>2182</v>
      </c>
      <c r="B35" s="1937" t="s">
        <v>2181</v>
      </c>
      <c r="C35" s="1938" t="s">
        <v>2180</v>
      </c>
      <c r="D35" s="1844">
        <v>33731</v>
      </c>
      <c r="E35" s="1540">
        <f t="shared" si="2"/>
        <v>25000</v>
      </c>
      <c r="F35" s="1932">
        <f t="shared" si="1"/>
        <v>25000</v>
      </c>
      <c r="G35" s="1793">
        <f t="shared" si="3"/>
        <v>8731</v>
      </c>
    </row>
    <row r="36" spans="1:7" x14ac:dyDescent="0.25">
      <c r="A36" s="1936" t="s">
        <v>2182</v>
      </c>
      <c r="B36" s="1937" t="s">
        <v>2181</v>
      </c>
      <c r="C36" s="1938" t="s">
        <v>2183</v>
      </c>
      <c r="D36" s="1844">
        <v>34709</v>
      </c>
      <c r="E36" s="1540">
        <f t="shared" si="2"/>
        <v>25000</v>
      </c>
      <c r="F36" s="1932">
        <f t="shared" si="1"/>
        <v>25000</v>
      </c>
      <c r="G36" s="1793">
        <f t="shared" si="3"/>
        <v>9709</v>
      </c>
    </row>
    <row r="37" spans="1:7" x14ac:dyDescent="0.25">
      <c r="A37" s="1936" t="s">
        <v>2182</v>
      </c>
      <c r="B37" s="1937" t="s">
        <v>2181</v>
      </c>
      <c r="C37" s="1938" t="s">
        <v>2184</v>
      </c>
      <c r="D37" s="1844">
        <v>47071</v>
      </c>
      <c r="E37" s="1540">
        <f t="shared" si="2"/>
        <v>25000</v>
      </c>
      <c r="F37" s="1932">
        <f t="shared" si="1"/>
        <v>25000</v>
      </c>
      <c r="G37" s="1793">
        <f t="shared" si="3"/>
        <v>22071</v>
      </c>
    </row>
    <row r="38" spans="1:7" x14ac:dyDescent="0.25">
      <c r="A38" s="1936" t="s">
        <v>2182</v>
      </c>
      <c r="B38" s="1939" t="s">
        <v>2181</v>
      </c>
      <c r="C38" s="1938" t="s">
        <v>2185</v>
      </c>
      <c r="D38" s="1844">
        <v>91608</v>
      </c>
      <c r="E38" s="1540">
        <f t="shared" si="2"/>
        <v>25000</v>
      </c>
      <c r="F38" s="1932">
        <f t="shared" si="1"/>
        <v>25000</v>
      </c>
      <c r="G38" s="1793">
        <f t="shared" si="3"/>
        <v>66608</v>
      </c>
    </row>
    <row r="39" spans="1:7" x14ac:dyDescent="0.25">
      <c r="A39" s="1936" t="s">
        <v>2182</v>
      </c>
      <c r="B39" s="1939" t="s">
        <v>2181</v>
      </c>
      <c r="C39" s="1938" t="s">
        <v>2186</v>
      </c>
      <c r="D39" s="1844">
        <v>31275</v>
      </c>
      <c r="E39" s="1540">
        <f t="shared" si="2"/>
        <v>25000</v>
      </c>
      <c r="F39" s="1932">
        <f t="shared" si="1"/>
        <v>25000</v>
      </c>
      <c r="G39" s="1793">
        <f t="shared" si="3"/>
        <v>6275</v>
      </c>
    </row>
    <row r="40" spans="1:7" x14ac:dyDescent="0.25">
      <c r="A40" s="1936" t="s">
        <v>2182</v>
      </c>
      <c r="B40" s="1939" t="s">
        <v>2181</v>
      </c>
      <c r="C40" s="1938" t="s">
        <v>2187</v>
      </c>
      <c r="D40" s="1844">
        <v>54810</v>
      </c>
      <c r="E40" s="1540">
        <f t="shared" si="2"/>
        <v>25000</v>
      </c>
      <c r="F40" s="1932">
        <f t="shared" si="1"/>
        <v>25000</v>
      </c>
      <c r="G40" s="1793">
        <f t="shared" si="3"/>
        <v>29810</v>
      </c>
    </row>
    <row r="41" spans="1:7" x14ac:dyDescent="0.25">
      <c r="A41" s="1936" t="s">
        <v>2182</v>
      </c>
      <c r="B41" s="1939" t="s">
        <v>2181</v>
      </c>
      <c r="C41" s="1938" t="s">
        <v>2188</v>
      </c>
      <c r="D41" s="1844">
        <v>104638</v>
      </c>
      <c r="E41" s="1540">
        <f t="shared" si="2"/>
        <v>25000</v>
      </c>
      <c r="F41" s="1932">
        <f t="shared" si="1"/>
        <v>25000</v>
      </c>
      <c r="G41" s="1793">
        <f t="shared" si="3"/>
        <v>79638</v>
      </c>
    </row>
    <row r="42" spans="1:7" x14ac:dyDescent="0.25">
      <c r="A42" s="1936" t="s">
        <v>2182</v>
      </c>
      <c r="B42" s="1939" t="s">
        <v>2181</v>
      </c>
      <c r="C42" s="1938" t="s">
        <v>2189</v>
      </c>
      <c r="D42" s="1844">
        <v>184248</v>
      </c>
      <c r="E42" s="1540">
        <f t="shared" si="2"/>
        <v>25000</v>
      </c>
      <c r="F42" s="1932">
        <f t="shared" si="1"/>
        <v>25000</v>
      </c>
      <c r="G42" s="1793">
        <f t="shared" si="3"/>
        <v>159248</v>
      </c>
    </row>
    <row r="43" spans="1:7" x14ac:dyDescent="0.25">
      <c r="A43" s="1936" t="s">
        <v>2190</v>
      </c>
      <c r="B43" s="1939" t="s">
        <v>2191</v>
      </c>
      <c r="C43" s="1938" t="s">
        <v>2192</v>
      </c>
      <c r="D43" s="1844">
        <v>88941</v>
      </c>
      <c r="E43" s="1540">
        <f t="shared" si="2"/>
        <v>25000</v>
      </c>
      <c r="F43" s="1932">
        <f t="shared" si="1"/>
        <v>25000</v>
      </c>
      <c r="G43" s="1793">
        <f t="shared" si="3"/>
        <v>63941</v>
      </c>
    </row>
    <row r="44" spans="1:7" x14ac:dyDescent="0.25">
      <c r="A44" s="1936" t="s">
        <v>2190</v>
      </c>
      <c r="B44" s="1939" t="s">
        <v>2191</v>
      </c>
      <c r="C44" s="1938" t="s">
        <v>2193</v>
      </c>
      <c r="D44" s="1844">
        <v>90675</v>
      </c>
      <c r="E44" s="1540">
        <f t="shared" si="2"/>
        <v>25000</v>
      </c>
      <c r="F44" s="1932">
        <f t="shared" si="1"/>
        <v>25000</v>
      </c>
      <c r="G44" s="1793">
        <f t="shared" si="3"/>
        <v>65675</v>
      </c>
    </row>
    <row r="45" spans="1:7" x14ac:dyDescent="0.25">
      <c r="A45" s="1936" t="s">
        <v>2190</v>
      </c>
      <c r="B45" s="1939" t="s">
        <v>2191</v>
      </c>
      <c r="C45" s="1938" t="s">
        <v>2194</v>
      </c>
      <c r="D45" s="1844">
        <v>98404</v>
      </c>
      <c r="E45" s="1540">
        <f t="shared" si="2"/>
        <v>25000</v>
      </c>
      <c r="F45" s="1932">
        <f t="shared" si="1"/>
        <v>25000</v>
      </c>
      <c r="G45" s="1793">
        <f t="shared" si="3"/>
        <v>73404</v>
      </c>
    </row>
    <row r="46" spans="1:7" x14ac:dyDescent="0.25">
      <c r="A46" s="1936" t="s">
        <v>2190</v>
      </c>
      <c r="B46" s="1939" t="s">
        <v>2191</v>
      </c>
      <c r="C46" s="1938" t="s">
        <v>2195</v>
      </c>
      <c r="D46" s="1844">
        <v>113115</v>
      </c>
      <c r="E46" s="1540">
        <f t="shared" si="2"/>
        <v>25000</v>
      </c>
      <c r="F46" s="1932">
        <f t="shared" si="1"/>
        <v>25000</v>
      </c>
      <c r="G46" s="1793">
        <f t="shared" si="3"/>
        <v>88115</v>
      </c>
    </row>
    <row r="47" spans="1:7" x14ac:dyDescent="0.25">
      <c r="A47" s="1936" t="s">
        <v>2190</v>
      </c>
      <c r="B47" s="1939" t="s">
        <v>2191</v>
      </c>
      <c r="C47" s="1938" t="s">
        <v>2196</v>
      </c>
      <c r="D47" s="1844">
        <v>697597</v>
      </c>
      <c r="E47" s="1540">
        <f t="shared" si="2"/>
        <v>25000</v>
      </c>
      <c r="F47" s="1932">
        <f t="shared" si="1"/>
        <v>25000</v>
      </c>
      <c r="G47" s="1793">
        <f t="shared" si="3"/>
        <v>672597</v>
      </c>
    </row>
    <row r="48" spans="1:7" x14ac:dyDescent="0.25">
      <c r="A48" s="1936" t="s">
        <v>2190</v>
      </c>
      <c r="B48" s="1939" t="s">
        <v>2191</v>
      </c>
      <c r="C48" s="1938" t="s">
        <v>2197</v>
      </c>
      <c r="D48" s="1844">
        <v>337806</v>
      </c>
      <c r="E48" s="1540">
        <f t="shared" si="2"/>
        <v>25000</v>
      </c>
      <c r="F48" s="1932">
        <f t="shared" si="1"/>
        <v>25000</v>
      </c>
      <c r="G48" s="1793">
        <f t="shared" si="3"/>
        <v>312806</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3392903</v>
      </c>
      <c r="E141" s="1541">
        <f t="shared" si="0"/>
        <v>25000</v>
      </c>
      <c r="F141" s="1933">
        <f>SUM(F17:F140)</f>
        <v>800000</v>
      </c>
      <c r="G141" s="1795">
        <f>SUM(G17:G140)</f>
        <v>2592903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368976</v>
      </c>
      <c r="F10" s="974"/>
      <c r="G10" s="975"/>
      <c r="H10" s="162"/>
      <c r="I10" s="162"/>
    </row>
    <row r="11" spans="1:9" s="668" customFormat="1" ht="22.5" customHeight="1" x14ac:dyDescent="0.2">
      <c r="A11" s="2286" t="s">
        <v>1974</v>
      </c>
      <c r="B11" s="2287"/>
      <c r="C11" s="2287"/>
      <c r="D11" s="2288"/>
      <c r="E11" s="977">
        <v>37201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12644287</v>
      </c>
      <c r="F19" s="1799"/>
      <c r="G19" s="1801">
        <f>'Expenditures 15-22'!K33-SUM('Expenditures 15-22'!G33,'Expenditures 15-22'!I33)+'Expenditures 15-22'!D229</f>
        <v>12644287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1651362</v>
      </c>
      <c r="F21" s="1802"/>
      <c r="G21" s="1805">
        <f>'Expenditures 15-22'!K42-SUM('Expenditures 15-22'!G42,'Expenditures 15-22'!I42)+'Expenditures 15-22'!K120-SUM('Expenditures 15-22'!G120,'Expenditures 15-22'!I120)+'Expenditures 15-22'!K180-SUM('Expenditures 15-22'!G180,'Expenditures 15-22'!I180)+'Expenditures 15-22'!D238</f>
        <v>1651362</v>
      </c>
      <c r="H21" s="987"/>
      <c r="I21" s="162"/>
    </row>
    <row r="22" spans="1:9" s="668" customFormat="1" ht="12" customHeight="1" x14ac:dyDescent="0.2">
      <c r="A22" s="994" t="s">
        <v>564</v>
      </c>
      <c r="B22" s="995"/>
      <c r="C22" s="993">
        <v>2200</v>
      </c>
      <c r="D22" s="1802"/>
      <c r="E22" s="1804">
        <f>'Expenditures 15-22'!K47-SUM('Expenditures 15-22'!G47,'Expenditures 15-22'!I47)+'Expenditures 15-22'!D243</f>
        <v>1556093</v>
      </c>
      <c r="F22" s="1802"/>
      <c r="G22" s="1805">
        <f>'Expenditures 15-22'!K47-SUM('Expenditures 15-22'!G47,'Expenditures 15-22'!I47)+'Expenditures 15-22'!D243</f>
        <v>1556093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1364243</v>
      </c>
      <c r="F23" s="1802"/>
      <c r="G23" s="1804">
        <f>'Expenditures 15-22'!K53-SUM('Expenditures 15-22'!G53,'Expenditures 15-22'!I53)+'Expenditures 15-22'!D257+'Expenditures 15-22'!K330-SUM('Expenditures 15-22'!G330,'Expenditures 15-22'!I330)</f>
        <v>1364243</v>
      </c>
      <c r="H23" s="987"/>
      <c r="I23" s="162"/>
    </row>
    <row r="24" spans="1:9" s="668" customFormat="1" ht="12" customHeight="1" x14ac:dyDescent="0.2">
      <c r="A24" s="994" t="s">
        <v>566</v>
      </c>
      <c r="B24" s="995"/>
      <c r="C24" s="993">
        <v>2400</v>
      </c>
      <c r="D24" s="1802"/>
      <c r="E24" s="1804">
        <f>'Expenditures 15-22'!K57-SUM('Expenditures 15-22'!G57,'Expenditures 15-22'!I57)+'Expenditures 15-22'!D261</f>
        <v>691790</v>
      </c>
      <c r="F24" s="1802"/>
      <c r="G24" s="1805">
        <f>'Expenditures 15-22'!K57-SUM('Expenditures 15-22'!G57,'Expenditures 15-22'!I57)+'Expenditures 15-22'!D261</f>
        <v>691790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263045</v>
      </c>
      <c r="E26" s="1804">
        <f>'Expenditures 15-22'!K122-SUM('Expenditures 15-22'!G122,'Expenditures 15-22'!I122)+E7</f>
        <v>0</v>
      </c>
      <c r="F26" s="1804">
        <f>'Expenditures 15-22'!K59-SUM('Expenditures 15-22'!G59,'Expenditures 15-22'!I59)+'Expenditures 15-22'!D263-E7</f>
        <v>263045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194197</v>
      </c>
      <c r="E27" s="1804">
        <f>E8</f>
        <v>0</v>
      </c>
      <c r="F27" s="1804">
        <f>'Expenditures 15-22'!K60-SUM('Expenditures 15-22'!G60,'Expenditures 15-22'!I60)+'Expenditures 15-22'!D264-E8</f>
        <v>194197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3013858</v>
      </c>
      <c r="F28" s="1806">
        <f>'Expenditures 15-22'!K61-SUM('Expenditures 15-22'!G61,'Expenditures 15-22'!I61)+'Expenditures 15-22'!K124-SUM('Expenditures 15-22'!G124,'Expenditures 15-22'!I124)+'Expenditures 15-22'!D266-E9</f>
        <v>3013858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2243948</v>
      </c>
      <c r="F29" s="1802"/>
      <c r="G29" s="1805">
        <f>'Expenditures 15-22'!K62-SUM('Expenditures 15-22'!G62,'Expenditures 15-22'!I62)+'Expenditures 15-22'!K125-SUM('Expenditures 15-22'!G125,'Expenditures 15-22'!I125)+'Expenditures 15-22'!K182-SUM('Expenditures 15-22'!G182,'Expenditures 15-22'!I182)+'Expenditures 15-22'!D267</f>
        <v>2243948</v>
      </c>
      <c r="H29" s="985"/>
    </row>
    <row r="30" spans="1:9" ht="12" customHeight="1" x14ac:dyDescent="0.2">
      <c r="A30" s="994" t="s">
        <v>100</v>
      </c>
      <c r="B30" s="997"/>
      <c r="C30" s="993">
        <v>2560</v>
      </c>
      <c r="D30" s="1802"/>
      <c r="E30" s="1804">
        <f>'Expenditures 15-22'!K63-SUM('Expenditures 15-22'!G63,'Expenditures 15-22'!I63)+'Expenditures 15-22'!D268-E10</f>
        <v>452866</v>
      </c>
      <c r="F30" s="1802"/>
      <c r="G30" s="1804">
        <f>'Expenditures 15-22'!K63-SUM('Expenditures 15-22'!G63,'Expenditures 15-22'!I63)+'Expenditures 15-22'!D268-E10</f>
        <v>452866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11965</v>
      </c>
      <c r="F34" s="1802"/>
      <c r="G34" s="1804">
        <f>'Expenditures 15-22'!K68-SUM('Expenditures 15-22'!G68,'Expenditures 15-22'!I68)+'Expenditures 15-22'!D273</f>
        <v>11965</v>
      </c>
    </row>
    <row r="35" spans="1:7" ht="12" customHeight="1" x14ac:dyDescent="0.2">
      <c r="A35" s="994" t="s">
        <v>1061</v>
      </c>
      <c r="B35" s="997"/>
      <c r="C35" s="993">
        <v>2630</v>
      </c>
      <c r="D35" s="1802"/>
      <c r="E35" s="1804">
        <f>'Expenditures 15-22'!K69-SUM('Expenditures 15-22'!G69,'Expenditures 15-22'!I69)+'Expenditures 15-22'!D274</f>
        <v>679091</v>
      </c>
      <c r="F35" s="1802"/>
      <c r="G35" s="1804">
        <f>'Expenditures 15-22'!K69-SUM('Expenditures 15-22'!G69,'Expenditures 15-22'!I69)+'Expenditures 15-22'!D274</f>
        <v>679091</v>
      </c>
    </row>
    <row r="36" spans="1:7" ht="12" customHeight="1" x14ac:dyDescent="0.2">
      <c r="A36" s="994" t="s">
        <v>403</v>
      </c>
      <c r="B36" s="997"/>
      <c r="C36" s="993">
        <v>2640</v>
      </c>
      <c r="D36" s="1804">
        <f>'Expenditures 15-22'!K70-SUM('Expenditures 15-22'!G70,'Expenditures 15-22'!I70)+'Expenditures 15-22'!D275-E13</f>
        <v>40962</v>
      </c>
      <c r="E36" s="1804">
        <f>E13</f>
        <v>0</v>
      </c>
      <c r="F36" s="1804">
        <f>'Expenditures 15-22'!K70-SUM('Expenditures 15-22'!G70,'Expenditures 15-22'!I70)+'Expenditures 15-22'!D275-E13</f>
        <v>40962</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78183</v>
      </c>
      <c r="F39" s="1802"/>
      <c r="G39" s="1804">
        <f>'Expenditures 15-22'!K75-SUM('Expenditures 15-22'!G75,'Expenditures 15-22'!I75)+'Expenditures 15-22'!K130-SUM('Expenditures 15-22'!G130,'Expenditures 15-22'!I130)+'Expenditures 15-22'!K185-SUM('Expenditures 15-22'!G185,'Expenditures 15-22'!I185)+'Expenditures 15-22'!D280</f>
        <v>78183</v>
      </c>
    </row>
    <row r="40" spans="1:7" ht="12" customHeight="1" x14ac:dyDescent="0.2">
      <c r="A40" s="990" t="s">
        <v>1820</v>
      </c>
      <c r="B40" s="991"/>
      <c r="C40" s="993"/>
      <c r="D40" s="1802"/>
      <c r="E40" s="1806">
        <f>-'Contracts Paid in CY 29'!G141</f>
        <v>-2592903</v>
      </c>
      <c r="F40" s="1802"/>
      <c r="G40" s="1806">
        <f>-'Contracts Paid in CY 29'!G141</f>
        <v>-2592903</v>
      </c>
    </row>
    <row r="41" spans="1:7" ht="12" customHeight="1" x14ac:dyDescent="0.2">
      <c r="A41" s="998" t="s">
        <v>156</v>
      </c>
      <c r="B41" s="999"/>
      <c r="C41" s="1000"/>
      <c r="D41" s="1806">
        <f>SUM(D19:D39)</f>
        <v>498204</v>
      </c>
      <c r="E41" s="1806">
        <f>SUM(E19:E40)</f>
        <v>21794783</v>
      </c>
      <c r="F41" s="1806">
        <f>SUM(F19:F39)</f>
        <v>3512062</v>
      </c>
      <c r="G41" s="1806">
        <f>SUM(G19:G40)</f>
        <v>18780925</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498204</v>
      </c>
      <c r="F43" s="1807" t="s">
        <v>473</v>
      </c>
      <c r="G43" s="1808">
        <f>F41</f>
        <v>3512062</v>
      </c>
    </row>
    <row r="44" spans="1:7" ht="12" customHeight="1" x14ac:dyDescent="0.2">
      <c r="A44" s="987"/>
      <c r="B44" s="162"/>
      <c r="C44" s="1001"/>
      <c r="D44" s="1807" t="s">
        <v>474</v>
      </c>
      <c r="E44" s="1808">
        <f>E41</f>
        <v>21794783</v>
      </c>
      <c r="F44" s="1807" t="s">
        <v>474</v>
      </c>
      <c r="G44" s="1808">
        <f>G41</f>
        <v>18780925</v>
      </c>
    </row>
    <row r="45" spans="1:7" ht="12" customHeight="1" x14ac:dyDescent="0.2">
      <c r="A45" s="987"/>
      <c r="B45" s="162"/>
      <c r="C45" s="162"/>
      <c r="D45" s="1809" t="s">
        <v>1006</v>
      </c>
      <c r="E45" s="1810">
        <f>(E43/E44)</f>
        <v>2.2858864894410739E-2</v>
      </c>
      <c r="F45" s="1809" t="s">
        <v>1006</v>
      </c>
      <c r="G45" s="1810">
        <f>(G43/G44)</f>
        <v>0.18700154545103609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Grant CHSD 124</v>
      </c>
      <c r="D6" s="2307"/>
      <c r="E6" s="2307"/>
      <c r="F6" s="1852"/>
    </row>
    <row r="7" spans="1:10" ht="11.25" customHeight="1" thickBot="1" x14ac:dyDescent="0.3">
      <c r="A7" s="1850"/>
      <c r="B7" s="1851"/>
      <c r="C7" s="2308">
        <f>COVER!A13</f>
        <v>34049124016</v>
      </c>
      <c r="D7" s="2308"/>
      <c r="E7" s="2308"/>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2080</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2079</v>
      </c>
      <c r="D26" s="1865" t="s">
        <v>2079</v>
      </c>
      <c r="E26" s="1868"/>
      <c r="F26" s="1867" t="s">
        <v>2081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Grant CHSD 124</v>
      </c>
      <c r="J6" s="2317"/>
      <c r="Q6" s="1664"/>
    </row>
    <row r="7" spans="1:17" x14ac:dyDescent="0.2">
      <c r="A7" s="2318" t="s">
        <v>869</v>
      </c>
      <c r="B7" s="2319"/>
      <c r="C7" s="2319"/>
      <c r="D7" s="2319"/>
      <c r="E7" s="2320"/>
      <c r="F7" s="1017"/>
      <c r="G7" s="1009"/>
      <c r="H7" s="1016" t="s">
        <v>372</v>
      </c>
      <c r="I7" s="2321">
        <f>COVER!A13</f>
        <v>34049124016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330186</v>
      </c>
      <c r="F12" s="1039"/>
      <c r="G12" s="1811">
        <f t="shared" ref="G12:G18" si="0">SUM(E12:F12)</f>
        <v>330186</v>
      </c>
      <c r="H12" s="1040">
        <v>356472</v>
      </c>
      <c r="I12" s="1039"/>
      <c r="J12" s="1811">
        <f t="shared" ref="J12:J18" si="1">SUM(H12:I12)</f>
        <v>356472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261660</v>
      </c>
      <c r="F15" s="1811">
        <f>'Expenditures 15-22'!K122</f>
        <v>0</v>
      </c>
      <c r="G15" s="1811">
        <f t="shared" si="0"/>
        <v>261660</v>
      </c>
      <c r="H15" s="1040">
        <v>246797</v>
      </c>
      <c r="I15" s="1040"/>
      <c r="J15" s="1811">
        <f t="shared" si="1"/>
        <v>246797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591846</v>
      </c>
      <c r="F19" s="1813">
        <f t="shared" si="2"/>
        <v>0</v>
      </c>
      <c r="G19" s="1813">
        <f t="shared" si="2"/>
        <v>591846</v>
      </c>
      <c r="H19" s="1813">
        <f t="shared" si="2"/>
        <v>603269</v>
      </c>
      <c r="I19" s="1813">
        <f t="shared" si="2"/>
        <v>0</v>
      </c>
      <c r="J19" s="1813">
        <f t="shared" si="2"/>
        <v>603269</v>
      </c>
    </row>
    <row r="20" spans="1:10" ht="13.5" thickTop="1" x14ac:dyDescent="0.2">
      <c r="A20" s="1035">
        <v>9</v>
      </c>
      <c r="B20" s="2328" t="s">
        <v>1978</v>
      </c>
      <c r="C20" s="2328"/>
      <c r="D20" s="2329"/>
      <c r="E20" s="1046"/>
      <c r="F20" s="1046"/>
      <c r="G20" s="1046"/>
      <c r="H20" s="1046"/>
      <c r="I20" s="1046"/>
      <c r="J20" s="1814">
        <f>IF(AND(G19&gt;0,J19&gt;0),(((J19-G19)/G19)),"Enter Budget Data")</f>
        <v>1.9300628879809951E-2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37" sqref="B3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5" t="s">
        <v>2082</v>
      </c>
    </row>
    <row r="6" spans="1:2" x14ac:dyDescent="0.2">
      <c r="A6" s="1068"/>
      <c r="B6" s="329" t="s">
        <v>2086</v>
      </c>
    </row>
    <row r="7" spans="1:2" x14ac:dyDescent="0.2">
      <c r="A7" s="1068"/>
    </row>
    <row r="8" spans="1:2" x14ac:dyDescent="0.2">
      <c r="A8" s="1068"/>
      <c r="B8" s="329" t="s">
        <v>2088</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v>2</v>
      </c>
      <c r="B15" s="1935" t="s">
        <v>2083</v>
      </c>
    </row>
    <row r="16" spans="1:2" x14ac:dyDescent="0.2">
      <c r="A16" s="1068"/>
      <c r="B16" s="329" t="s">
        <v>2087</v>
      </c>
    </row>
    <row r="17" spans="1:2" x14ac:dyDescent="0.2">
      <c r="A17" s="1068"/>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v>3</v>
      </c>
      <c r="B25" s="1935" t="s">
        <v>2084</v>
      </c>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2" x14ac:dyDescent="0.2">
      <c r="A33" s="1068"/>
    </row>
    <row r="34" spans="1:2" x14ac:dyDescent="0.2">
      <c r="A34" s="1068"/>
    </row>
    <row r="35" spans="1:2" x14ac:dyDescent="0.2">
      <c r="A35" s="1068">
        <v>4</v>
      </c>
      <c r="B35" s="1935" t="s">
        <v>2085</v>
      </c>
    </row>
    <row r="36" spans="1:2" x14ac:dyDescent="0.2">
      <c r="A36" s="1069"/>
      <c r="B36" s="329" t="s">
        <v>2089</v>
      </c>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Grant CHSD 124</v>
      </c>
    </row>
    <row r="66" spans="1:2" x14ac:dyDescent="0.2">
      <c r="B66" s="1070">
        <f>COVER!A13</f>
        <v>34049124016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3"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0</xdr:row>
                <xdr:rowOff>0</xdr:rowOff>
              </from>
              <to>
                <xdr:col>1</xdr:col>
                <xdr:colOff>904875</xdr:colOff>
                <xdr:row>3</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20813057</v>
      </c>
      <c r="C8" s="1815">
        <f>'Acct Summary 7-8'!D8</f>
        <v>5658343</v>
      </c>
      <c r="D8" s="1815">
        <f>'Acct Summary 7-8'!F8</f>
        <v>1573996</v>
      </c>
      <c r="E8" s="1815">
        <f>'Acct Summary 7-8'!I8</f>
        <v>409967</v>
      </c>
      <c r="F8" s="1815">
        <f>SUM(B8:E8)</f>
        <v>28455363</v>
      </c>
    </row>
    <row r="9" spans="1:8" s="1079" customFormat="1" ht="14.25" customHeight="1" thickBot="1" x14ac:dyDescent="0.25">
      <c r="A9" s="1078" t="s">
        <v>1369</v>
      </c>
      <c r="B9" s="1816">
        <f>'Acct Summary 7-8'!C17</f>
        <v>22316732</v>
      </c>
      <c r="C9" s="1816">
        <f>'Acct Summary 7-8'!D17</f>
        <v>3238496</v>
      </c>
      <c r="D9" s="1816">
        <f>'Acct Summary 7-8'!F17</f>
        <v>2143550</v>
      </c>
      <c r="E9" s="1815"/>
      <c r="F9" s="1815">
        <f>SUM(B9:E9)</f>
        <v>27698778</v>
      </c>
    </row>
    <row r="10" spans="1:8" s="1079" customFormat="1" ht="14.25" thickTop="1" thickBot="1" x14ac:dyDescent="0.25">
      <c r="A10" s="1080" t="s">
        <v>1370</v>
      </c>
      <c r="B10" s="1817">
        <f>(B8-B9)</f>
        <v>-1503675</v>
      </c>
      <c r="C10" s="1817">
        <f>(C8-C9)</f>
        <v>2419847</v>
      </c>
      <c r="D10" s="1817">
        <f>(D8-D9)</f>
        <v>-569554</v>
      </c>
      <c r="E10" s="1816">
        <f>(E8-E9)</f>
        <v>409967</v>
      </c>
      <c r="F10" s="1818">
        <f>SUM(F8-F9)</f>
        <v>756585</v>
      </c>
    </row>
    <row r="11" spans="1:8" s="1079" customFormat="1" ht="14.25" thickTop="1" thickBot="1" x14ac:dyDescent="0.25">
      <c r="A11" s="1081" t="s">
        <v>1982</v>
      </c>
      <c r="B11" s="1819">
        <f>'Acct Summary 7-8'!C81</f>
        <v>27829261</v>
      </c>
      <c r="C11" s="1819">
        <f>'Acct Summary 7-8'!D81</f>
        <v>1972898</v>
      </c>
      <c r="D11" s="1819">
        <f>'Acct Summary 7-8'!F81</f>
        <v>1953577</v>
      </c>
      <c r="E11" s="1819">
        <f>'Acct Summary 7-8'!I81</f>
        <v>3545376</v>
      </c>
      <c r="F11" s="1820">
        <f>SUM(B11:E11)</f>
        <v>35301112</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C41" sqref="C4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34049124016</v>
      </c>
    </row>
    <row r="3" spans="1:2" x14ac:dyDescent="0.2">
      <c r="A3" t="s">
        <v>956</v>
      </c>
      <c r="B3" s="138" t="str">
        <f>COVER!A15</f>
        <v>LAKE</v>
      </c>
    </row>
    <row r="4" spans="1:2" x14ac:dyDescent="0.2">
      <c r="A4" t="s">
        <v>1007</v>
      </c>
      <c r="B4" s="138" t="str">
        <f>COVER!A17</f>
        <v>Grant CHSD 124</v>
      </c>
    </row>
    <row r="5" spans="1:2" x14ac:dyDescent="0.2">
      <c r="A5" t="s">
        <v>704</v>
      </c>
      <c r="B5" s="138" t="str">
        <f>COVER!A38</f>
        <v>Dr. Christine Sefcik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066-0033289</v>
      </c>
    </row>
    <row r="16" spans="1:2" x14ac:dyDescent="0.2">
      <c r="A16" t="s">
        <v>422</v>
      </c>
      <c r="B16" s="138" t="str">
        <f>COVER!T13</f>
        <v>EVOY, KAMSCHULTE, JACOBS &amp; CO. LLP</v>
      </c>
    </row>
    <row r="17" spans="1:2" x14ac:dyDescent="0.2">
      <c r="A17" t="s">
        <v>884</v>
      </c>
      <c r="B17" s="138" t="str">
        <f>COVER!T15</f>
        <v>John D. Aceto. Jr., CPA</v>
      </c>
    </row>
    <row r="18" spans="1:2" x14ac:dyDescent="0.2">
      <c r="A18" t="s">
        <v>1150</v>
      </c>
      <c r="B18" s="138" t="str">
        <f>COVER!T17</f>
        <v>2122 Yeoman Street</v>
      </c>
    </row>
    <row r="19" spans="1:2" x14ac:dyDescent="0.2">
      <c r="A19" t="s">
        <v>886</v>
      </c>
      <c r="B19" s="138" t="str">
        <f>COVER!T25</f>
        <v>jaceto@ekjllp.com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33604</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27829261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27829261</v>
      </c>
      <c r="D92" s="2" t="str">
        <f t="shared" si="0"/>
        <v>Error?</v>
      </c>
    </row>
    <row r="93" spans="1:4" x14ac:dyDescent="0.2">
      <c r="A93" s="5">
        <v>32</v>
      </c>
      <c r="B93" s="138">
        <f>'Assets-Liab 5-6'!C41</f>
        <v>27829261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1972898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1972898</v>
      </c>
      <c r="D123" s="2" t="str">
        <f t="shared" si="0"/>
        <v>Error?</v>
      </c>
    </row>
    <row r="124" spans="1:4" x14ac:dyDescent="0.2">
      <c r="A124" s="5">
        <v>63</v>
      </c>
      <c r="B124" s="138">
        <f>'Assets-Liab 5-6'!D41</f>
        <v>1972898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264053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264053</v>
      </c>
      <c r="D140" s="2" t="str">
        <f t="shared" si="1"/>
        <v>Error?</v>
      </c>
    </row>
    <row r="141" spans="1:4" x14ac:dyDescent="0.2">
      <c r="A141" s="5">
        <v>80</v>
      </c>
      <c r="B141" s="138">
        <f>'Assets-Liab 5-6'!E41</f>
        <v>264053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1953577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1953577</v>
      </c>
      <c r="D170" s="2" t="str">
        <f t="shared" si="1"/>
        <v>Error?</v>
      </c>
    </row>
    <row r="171" spans="1:4" x14ac:dyDescent="0.2">
      <c r="A171" s="5">
        <v>110</v>
      </c>
      <c r="B171" s="138">
        <f>'Assets-Liab 5-6'!F41</f>
        <v>1953577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937808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937808</v>
      </c>
      <c r="D189" s="2" t="str">
        <f t="shared" si="1"/>
        <v>Error?</v>
      </c>
    </row>
    <row r="190" spans="1:4" x14ac:dyDescent="0.2">
      <c r="A190" s="5">
        <v>129</v>
      </c>
      <c r="B190" s="138">
        <f>'Assets-Liab 5-6'!G41</f>
        <v>937808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203113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203113</v>
      </c>
      <c r="D212" s="2" t="str">
        <f t="shared" si="2"/>
        <v>Error?</v>
      </c>
    </row>
    <row r="213" spans="1:4" x14ac:dyDescent="0.2">
      <c r="A213" s="12">
        <v>152</v>
      </c>
      <c r="B213" s="138">
        <f>'Assets-Liab 5-6'!H41</f>
        <v>203113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4190703</v>
      </c>
      <c r="D273" s="2" t="str">
        <f t="shared" si="3"/>
        <v>Error?</v>
      </c>
    </row>
    <row r="274" spans="1:4" x14ac:dyDescent="0.2">
      <c r="A274" s="5">
        <v>213</v>
      </c>
      <c r="B274" s="138">
        <f>'Assets-Liab 5-6'!M17</f>
        <v>77578055</v>
      </c>
      <c r="D274" s="2" t="str">
        <f t="shared" si="3"/>
        <v>Error?</v>
      </c>
    </row>
    <row r="275" spans="1:4" x14ac:dyDescent="0.2">
      <c r="A275" s="5">
        <v>214</v>
      </c>
      <c r="B275" s="138">
        <f>'Assets-Liab 5-6'!M18</f>
        <v>6497234</v>
      </c>
      <c r="D275" s="2" t="str">
        <f t="shared" si="3"/>
        <v>Error?</v>
      </c>
    </row>
    <row r="276" spans="1:4" x14ac:dyDescent="0.2">
      <c r="A276" s="5">
        <v>215</v>
      </c>
      <c r="B276" s="138">
        <f>'Assets-Liab 5-6'!M19</f>
        <v>10236541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98502533</v>
      </c>
      <c r="C279" s="2" t="s">
        <v>573</v>
      </c>
      <c r="D279" s="2" t="str">
        <f t="shared" si="3"/>
        <v>Error?</v>
      </c>
    </row>
    <row r="280" spans="1:4" x14ac:dyDescent="0.2">
      <c r="A280" s="5">
        <v>219</v>
      </c>
      <c r="B280" s="138">
        <f>'Assets-Liab 5-6'!M40</f>
        <v>98502533</v>
      </c>
      <c r="D280" s="2" t="str">
        <f t="shared" si="3"/>
        <v>Error?</v>
      </c>
    </row>
    <row r="281" spans="1:4" x14ac:dyDescent="0.2">
      <c r="A281" s="5">
        <v>220</v>
      </c>
      <c r="B281" s="138">
        <f>'Assets-Liab 5-6'!M41</f>
        <v>98502533</v>
      </c>
      <c r="C281" s="2" t="s">
        <v>573</v>
      </c>
      <c r="D281" s="2" t="str">
        <f t="shared" si="3"/>
        <v>Error?</v>
      </c>
    </row>
    <row r="282" spans="1:4" x14ac:dyDescent="0.2">
      <c r="A282" s="5">
        <v>221</v>
      </c>
      <c r="B282" s="138">
        <f>'Assets-Liab 5-6'!N21</f>
        <v>264053</v>
      </c>
      <c r="D282" s="2" t="str">
        <f t="shared" si="3"/>
        <v>Error?</v>
      </c>
    </row>
    <row r="283" spans="1:4" x14ac:dyDescent="0.2">
      <c r="A283" s="5">
        <v>222</v>
      </c>
      <c r="B283" s="138">
        <f>'Assets-Liab 5-6'!N22</f>
        <v>-264053</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6436691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541535</v>
      </c>
      <c r="D717" s="2" t="str">
        <f t="shared" si="10"/>
        <v>Error?</v>
      </c>
    </row>
    <row r="718" spans="1:4" x14ac:dyDescent="0.2">
      <c r="A718" s="5">
        <v>657</v>
      </c>
      <c r="B718" s="138">
        <f>'Expenditures 15-22'!C14</f>
        <v>1084726</v>
      </c>
      <c r="D718" s="2" t="str">
        <f t="shared" si="10"/>
        <v>Error?</v>
      </c>
    </row>
    <row r="719" spans="1:4" x14ac:dyDescent="0.2">
      <c r="A719" s="5">
        <v>658</v>
      </c>
      <c r="B719" s="138">
        <f>'Expenditures 15-22'!C15</f>
        <v>90516</v>
      </c>
      <c r="D719" s="2" t="str">
        <f t="shared" si="10"/>
        <v>Error?</v>
      </c>
    </row>
    <row r="720" spans="1:4" x14ac:dyDescent="0.2">
      <c r="A720" s="5">
        <v>659</v>
      </c>
      <c r="B720" s="138">
        <f>'Expenditures 15-22'!C33</f>
        <v>9395702</v>
      </c>
      <c r="C720" s="2" t="s">
        <v>573</v>
      </c>
      <c r="D720" s="2" t="str">
        <f t="shared" si="10"/>
        <v>Error?</v>
      </c>
    </row>
    <row r="721" spans="1:4" x14ac:dyDescent="0.2">
      <c r="A721" s="5">
        <v>660</v>
      </c>
      <c r="B721" s="138">
        <f>'Expenditures 15-22'!C36</f>
        <v>245414</v>
      </c>
      <c r="D721" s="2" t="str">
        <f t="shared" si="10"/>
        <v>Error?</v>
      </c>
    </row>
    <row r="722" spans="1:4" x14ac:dyDescent="0.2">
      <c r="A722" s="5">
        <v>661</v>
      </c>
      <c r="B722" s="138">
        <f>'Expenditures 15-22'!C37</f>
        <v>836122</v>
      </c>
      <c r="D722" s="2" t="str">
        <f t="shared" si="10"/>
        <v>Error?</v>
      </c>
    </row>
    <row r="723" spans="1:4" x14ac:dyDescent="0.2">
      <c r="A723" s="5">
        <v>662</v>
      </c>
      <c r="B723" s="138">
        <f>'Expenditures 15-22'!C38</f>
        <v>76368</v>
      </c>
      <c r="D723" s="2" t="str">
        <f t="shared" si="10"/>
        <v>Error?</v>
      </c>
    </row>
    <row r="724" spans="1:4" x14ac:dyDescent="0.2">
      <c r="A724" s="5">
        <v>663</v>
      </c>
      <c r="B724" s="138">
        <f>'Expenditures 15-22'!C39</f>
        <v>190918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1348822</v>
      </c>
      <c r="C727" s="2" t="s">
        <v>573</v>
      </c>
      <c r="D727" s="2" t="str">
        <f t="shared" si="10"/>
        <v>Error?</v>
      </c>
    </row>
    <row r="728" spans="1:4" x14ac:dyDescent="0.2">
      <c r="A728" s="5">
        <v>667</v>
      </c>
      <c r="B728" s="138">
        <f>'Expenditures 15-22'!C44</f>
        <v>749932</v>
      </c>
      <c r="D728" s="2" t="str">
        <f t="shared" si="10"/>
        <v>Error?</v>
      </c>
    </row>
    <row r="729" spans="1:4" x14ac:dyDescent="0.2">
      <c r="A729" s="5">
        <v>668</v>
      </c>
      <c r="B729" s="138">
        <f>'Expenditures 15-22'!C45</f>
        <v>156286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906218</v>
      </c>
      <c r="C731" s="2" t="s">
        <v>573</v>
      </c>
      <c r="D731" s="2" t="str">
        <f t="shared" si="10"/>
        <v>Error?</v>
      </c>
    </row>
    <row r="732" spans="1:4" x14ac:dyDescent="0.2">
      <c r="A732" s="5">
        <v>671</v>
      </c>
      <c r="B732" s="138">
        <f>'Expenditures 15-22'!C49</f>
        <v>9399</v>
      </c>
      <c r="D732" s="2" t="str">
        <f t="shared" si="10"/>
        <v>Error?</v>
      </c>
    </row>
    <row r="733" spans="1:4" x14ac:dyDescent="0.2">
      <c r="A733" s="5">
        <v>672</v>
      </c>
      <c r="B733" s="138">
        <f>'Expenditures 15-22'!C50</f>
        <v>285666</v>
      </c>
      <c r="D733" s="2" t="str">
        <f t="shared" si="10"/>
        <v>Error?</v>
      </c>
    </row>
    <row r="734" spans="1:4" x14ac:dyDescent="0.2">
      <c r="A734" s="5">
        <v>673</v>
      </c>
      <c r="B734" s="138">
        <f>'Expenditures 15-22'!C53</f>
        <v>295065</v>
      </c>
      <c r="C734" s="2" t="s">
        <v>573</v>
      </c>
      <c r="D734" s="2" t="str">
        <f t="shared" si="10"/>
        <v>Error?</v>
      </c>
    </row>
    <row r="735" spans="1:4" x14ac:dyDescent="0.2">
      <c r="A735" s="5">
        <v>674</v>
      </c>
      <c r="B735" s="138">
        <f>'Expenditures 15-22'!C55</f>
        <v>485625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485625</v>
      </c>
      <c r="C737" s="2" t="s">
        <v>573</v>
      </c>
      <c r="D737" s="2" t="str">
        <f t="shared" si="10"/>
        <v>Error?</v>
      </c>
    </row>
    <row r="738" spans="1:4" x14ac:dyDescent="0.2">
      <c r="A738" s="5">
        <v>677</v>
      </c>
      <c r="B738" s="138">
        <f>'Expenditures 15-22'!C59</f>
        <v>127206</v>
      </c>
      <c r="D738" s="2" t="str">
        <f t="shared" si="10"/>
        <v>Error?</v>
      </c>
    </row>
    <row r="739" spans="1:4" x14ac:dyDescent="0.2">
      <c r="A739" s="5">
        <v>678</v>
      </c>
      <c r="B739" s="138">
        <f>'Expenditures 15-22'!C60</f>
        <v>170339</v>
      </c>
      <c r="D739" s="2" t="str">
        <f t="shared" si="10"/>
        <v>Error?</v>
      </c>
    </row>
    <row r="740" spans="1:4" x14ac:dyDescent="0.2">
      <c r="A740" s="5">
        <v>679</v>
      </c>
      <c r="B740" s="138">
        <f>'Expenditures 15-22'!C61</f>
        <v>30260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316634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644439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270847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270847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3951016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13346718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857672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70824</v>
      </c>
      <c r="D775" s="2" t="str">
        <f t="shared" si="11"/>
        <v>Error?</v>
      </c>
    </row>
    <row r="776" spans="1:4" x14ac:dyDescent="0.2">
      <c r="A776" s="5">
        <v>715</v>
      </c>
      <c r="B776" s="138">
        <f>'Expenditures 15-22'!D14</f>
        <v>105038</v>
      </c>
      <c r="D776" s="2" t="str">
        <f t="shared" si="11"/>
        <v>Error?</v>
      </c>
    </row>
    <row r="777" spans="1:4" x14ac:dyDescent="0.2">
      <c r="A777" s="5">
        <v>716</v>
      </c>
      <c r="B777" s="138">
        <f>'Expenditures 15-22'!D15</f>
        <v>10444</v>
      </c>
      <c r="D777" s="2" t="str">
        <f t="shared" si="11"/>
        <v>Error?</v>
      </c>
    </row>
    <row r="778" spans="1:4" x14ac:dyDescent="0.2">
      <c r="A778" s="5">
        <v>717</v>
      </c>
      <c r="B778" s="138">
        <f>'Expenditures 15-22'!D33</f>
        <v>1240806</v>
      </c>
      <c r="C778" s="2" t="s">
        <v>573</v>
      </c>
      <c r="D778" s="2" t="str">
        <f t="shared" si="11"/>
        <v>Error?</v>
      </c>
    </row>
    <row r="779" spans="1:4" x14ac:dyDescent="0.2">
      <c r="A779" s="5">
        <v>718</v>
      </c>
      <c r="B779" s="138">
        <f>'Expenditures 15-22'!D36</f>
        <v>32009</v>
      </c>
      <c r="D779" s="2" t="str">
        <f t="shared" si="11"/>
        <v>Error?</v>
      </c>
    </row>
    <row r="780" spans="1:4" x14ac:dyDescent="0.2">
      <c r="A780" s="5">
        <v>719</v>
      </c>
      <c r="B780" s="138">
        <f>'Expenditures 15-22'!D37</f>
        <v>93034</v>
      </c>
      <c r="D780" s="2" t="str">
        <f t="shared" si="11"/>
        <v>Error?</v>
      </c>
    </row>
    <row r="781" spans="1:4" x14ac:dyDescent="0.2">
      <c r="A781" s="5">
        <v>720</v>
      </c>
      <c r="B781" s="138">
        <f>'Expenditures 15-22'!D38</f>
        <v>25884</v>
      </c>
      <c r="D781" s="2" t="str">
        <f t="shared" si="11"/>
        <v>Error?</v>
      </c>
    </row>
    <row r="782" spans="1:4" x14ac:dyDescent="0.2">
      <c r="A782" s="5">
        <v>721</v>
      </c>
      <c r="B782" s="138">
        <f>'Expenditures 15-22'!D39</f>
        <v>22229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173156</v>
      </c>
      <c r="C785" s="2" t="s">
        <v>573</v>
      </c>
      <c r="D785" s="2" t="str">
        <f t="shared" si="11"/>
        <v>Error?</v>
      </c>
    </row>
    <row r="786" spans="1:4" x14ac:dyDescent="0.2">
      <c r="A786" s="5">
        <v>725</v>
      </c>
      <c r="B786" s="138">
        <f>'Expenditures 15-22'!D44</f>
        <v>224209</v>
      </c>
      <c r="D786" s="2" t="str">
        <f t="shared" si="11"/>
        <v>Error?</v>
      </c>
    </row>
    <row r="787" spans="1:4" x14ac:dyDescent="0.2">
      <c r="A787" s="5">
        <v>726</v>
      </c>
      <c r="B787" s="138">
        <f>'Expenditures 15-22'!D45</f>
        <v>22683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246892</v>
      </c>
      <c r="C789" s="2" t="s">
        <v>573</v>
      </c>
      <c r="D789" s="2" t="str">
        <f t="shared" si="11"/>
        <v>Error?</v>
      </c>
    </row>
    <row r="790" spans="1:4" x14ac:dyDescent="0.2">
      <c r="A790" s="5">
        <v>729</v>
      </c>
      <c r="B790" s="138">
        <f>'Expenditures 15-22'!D49</f>
        <v>1212</v>
      </c>
      <c r="D790" s="2" t="str">
        <f t="shared" si="11"/>
        <v>Error?</v>
      </c>
    </row>
    <row r="791" spans="1:4" x14ac:dyDescent="0.2">
      <c r="A791" s="5">
        <v>730</v>
      </c>
      <c r="B791" s="138">
        <f>'Expenditures 15-22'!D50</f>
        <v>37426</v>
      </c>
      <c r="D791" s="2" t="str">
        <f t="shared" si="11"/>
        <v>Error?</v>
      </c>
    </row>
    <row r="792" spans="1:4" x14ac:dyDescent="0.2">
      <c r="A792" s="5">
        <v>731</v>
      </c>
      <c r="B792" s="138">
        <f>'Expenditures 15-22'!D53</f>
        <v>38638</v>
      </c>
      <c r="C792" s="2" t="s">
        <v>573</v>
      </c>
      <c r="D792" s="2" t="str">
        <f t="shared" si="11"/>
        <v>Error?</v>
      </c>
    </row>
    <row r="793" spans="1:4" x14ac:dyDescent="0.2">
      <c r="A793" s="5">
        <v>732</v>
      </c>
      <c r="B793" s="138">
        <f>'Expenditures 15-22'!D55</f>
        <v>147662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147662</v>
      </c>
      <c r="C795" s="2" t="s">
        <v>573</v>
      </c>
      <c r="D795" s="2" t="str">
        <f t="shared" si="11"/>
        <v>Error?</v>
      </c>
    </row>
    <row r="796" spans="1:4" x14ac:dyDescent="0.2">
      <c r="A796" s="5">
        <v>735</v>
      </c>
      <c r="B796" s="138">
        <f>'Expenditures 15-22'!D59</f>
        <v>69343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79441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148784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60961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60961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816093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2056899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1464</v>
      </c>
      <c r="D833" s="2" t="str">
        <f t="shared" si="12"/>
        <v>Error?</v>
      </c>
    </row>
    <row r="834" spans="1:4" x14ac:dyDescent="0.2">
      <c r="A834" s="5">
        <v>773</v>
      </c>
      <c r="B834" s="138">
        <f>'Expenditures 15-22'!E14</f>
        <v>137077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1212576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2156</v>
      </c>
      <c r="D838" s="2" t="str">
        <f t="shared" si="12"/>
        <v>Error?</v>
      </c>
    </row>
    <row r="839" spans="1:4" x14ac:dyDescent="0.2">
      <c r="A839" s="5">
        <v>778</v>
      </c>
      <c r="B839" s="138">
        <f>'Expenditures 15-22'!E38</f>
        <v>9097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24163</v>
      </c>
      <c r="D842" s="2" t="str">
        <f t="shared" si="12"/>
        <v>Error?</v>
      </c>
    </row>
    <row r="843" spans="1:4" x14ac:dyDescent="0.2">
      <c r="A843" s="5">
        <v>782</v>
      </c>
      <c r="B843" s="138">
        <f>'Expenditures 15-22'!E42</f>
        <v>35416</v>
      </c>
      <c r="C843" s="2" t="s">
        <v>573</v>
      </c>
      <c r="D843" s="2" t="str">
        <f t="shared" si="12"/>
        <v>Error?</v>
      </c>
    </row>
    <row r="844" spans="1:4" x14ac:dyDescent="0.2">
      <c r="A844" s="5">
        <v>783</v>
      </c>
      <c r="B844" s="138">
        <f>'Expenditures 15-22'!E44</f>
        <v>104479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7676</v>
      </c>
      <c r="D846" s="2" t="str">
        <f t="shared" si="12"/>
        <v>Error?</v>
      </c>
    </row>
    <row r="847" spans="1:4" x14ac:dyDescent="0.2">
      <c r="A847" s="5">
        <v>786</v>
      </c>
      <c r="B847" s="138">
        <f>'Expenditures 15-22'!E47</f>
        <v>112155</v>
      </c>
      <c r="C847" s="2" t="s">
        <v>573</v>
      </c>
      <c r="D847" s="2" t="str">
        <f t="shared" si="12"/>
        <v>Error?</v>
      </c>
    </row>
    <row r="848" spans="1:4" x14ac:dyDescent="0.2">
      <c r="A848" s="5">
        <v>787</v>
      </c>
      <c r="B848" s="138">
        <f>'Expenditures 15-22'!E49</f>
        <v>981890</v>
      </c>
      <c r="D848" s="2" t="str">
        <f t="shared" si="12"/>
        <v>Error?</v>
      </c>
    </row>
    <row r="849" spans="1:4" x14ac:dyDescent="0.2">
      <c r="A849" s="5">
        <v>788</v>
      </c>
      <c r="B849" s="138">
        <f>'Expenditures 15-22'!E50</f>
        <v>955</v>
      </c>
      <c r="D849" s="2" t="str">
        <f t="shared" si="12"/>
        <v>Error?</v>
      </c>
    </row>
    <row r="850" spans="1:4" x14ac:dyDescent="0.2">
      <c r="A850" s="5">
        <v>789</v>
      </c>
      <c r="B850" s="138">
        <f>'Expenditures 15-22'!E53</f>
        <v>982845</v>
      </c>
      <c r="C850" s="2" t="s">
        <v>573</v>
      </c>
      <c r="D850" s="2" t="str">
        <f t="shared" si="12"/>
        <v>Error?</v>
      </c>
    </row>
    <row r="851" spans="1:4" x14ac:dyDescent="0.2">
      <c r="A851" s="5">
        <v>790</v>
      </c>
      <c r="B851" s="138">
        <f>'Expenditures 15-22'!E55</f>
        <v>1399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1399</v>
      </c>
      <c r="C853" s="2" t="s">
        <v>573</v>
      </c>
      <c r="D853" s="2" t="str">
        <f t="shared" si="12"/>
        <v>Error?</v>
      </c>
    </row>
    <row r="854" spans="1:4" x14ac:dyDescent="0.2">
      <c r="A854" s="5">
        <v>793</v>
      </c>
      <c r="B854" s="138">
        <f>'Expenditures 15-22'!E59</f>
        <v>56242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59249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11965</v>
      </c>
      <c r="D863" s="2" t="str">
        <f t="shared" si="12"/>
        <v>Error?</v>
      </c>
    </row>
    <row r="864" spans="1:4" x14ac:dyDescent="0.2">
      <c r="A864" s="5">
        <v>803</v>
      </c>
      <c r="B864" s="138">
        <f>'Expenditures 15-22'!E69</f>
        <v>112552</v>
      </c>
      <c r="D864" s="2" t="str">
        <f t="shared" si="12"/>
        <v>Error?</v>
      </c>
    </row>
    <row r="865" spans="1:4" x14ac:dyDescent="0.2">
      <c r="A865" s="5">
        <v>804</v>
      </c>
      <c r="B865" s="138">
        <f>'Expenditures 15-22'!E70</f>
        <v>34889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159406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1350470</v>
      </c>
      <c r="C871" s="2" t="s">
        <v>573</v>
      </c>
      <c r="D871" s="2" t="str">
        <f t="shared" si="12"/>
        <v>Error?</v>
      </c>
    </row>
    <row r="872" spans="1:4" x14ac:dyDescent="0.2">
      <c r="A872" s="5">
        <v>811</v>
      </c>
      <c r="B872" s="138">
        <f>'Expenditures 15-22'!E75</f>
        <v>77683</v>
      </c>
      <c r="D872" s="2" t="str">
        <f t="shared" si="12"/>
        <v>Error?</v>
      </c>
    </row>
    <row r="873" spans="1:4" x14ac:dyDescent="0.2">
      <c r="A873" s="5">
        <v>812</v>
      </c>
      <c r="B873" s="138">
        <f>'Expenditures 15-22'!E114</f>
        <v>2688388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421817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41097</v>
      </c>
      <c r="D891" s="2" t="str">
        <f t="shared" si="12"/>
        <v>Error?</v>
      </c>
    </row>
    <row r="892" spans="1:4" x14ac:dyDescent="0.2">
      <c r="A892" s="5">
        <v>831</v>
      </c>
      <c r="B892" s="138">
        <f>'Expenditures 15-22'!F14</f>
        <v>76261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546449</v>
      </c>
      <c r="C894" s="2" t="s">
        <v>573</v>
      </c>
      <c r="D894" s="2" t="str">
        <f t="shared" si="12"/>
        <v>Error?</v>
      </c>
    </row>
    <row r="895" spans="1:4" x14ac:dyDescent="0.2">
      <c r="A895" s="5">
        <v>834</v>
      </c>
      <c r="B895" s="138">
        <f>'Expenditures 15-22'!F36</f>
        <v>840</v>
      </c>
      <c r="D895" s="2" t="str">
        <f t="shared" ref="D895:D958" si="13">IF(ISBLANK(B895),"OK",IF(A895-B895=0,"OK","Error?"))</f>
        <v>Error?</v>
      </c>
    </row>
    <row r="896" spans="1:4" x14ac:dyDescent="0.2">
      <c r="A896" s="5">
        <v>835</v>
      </c>
      <c r="B896" s="138">
        <f>'Expenditures 15-22'!F37</f>
        <v>11907</v>
      </c>
      <c r="D896" s="2" t="str">
        <f t="shared" si="13"/>
        <v>Error?</v>
      </c>
    </row>
    <row r="897" spans="1:4" x14ac:dyDescent="0.2">
      <c r="A897" s="5">
        <v>836</v>
      </c>
      <c r="B897" s="138">
        <f>'Expenditures 15-22'!F38</f>
        <v>1001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525</v>
      </c>
      <c r="D899" s="2" t="str">
        <f t="shared" si="13"/>
        <v>Error?</v>
      </c>
    </row>
    <row r="900" spans="1:4" x14ac:dyDescent="0.2">
      <c r="A900" s="5">
        <v>839</v>
      </c>
      <c r="B900" s="138">
        <f>'Expenditures 15-22'!F41</f>
        <v>15994</v>
      </c>
      <c r="D900" s="2" t="str">
        <f t="shared" si="13"/>
        <v>Error?</v>
      </c>
    </row>
    <row r="901" spans="1:4" x14ac:dyDescent="0.2">
      <c r="A901" s="5">
        <v>840</v>
      </c>
      <c r="B901" s="138">
        <f>'Expenditures 15-22'!F42</f>
        <v>30267</v>
      </c>
      <c r="C901" s="2" t="s">
        <v>573</v>
      </c>
      <c r="D901" s="2" t="str">
        <f t="shared" si="13"/>
        <v>Error?</v>
      </c>
    </row>
    <row r="902" spans="1:4" x14ac:dyDescent="0.2">
      <c r="A902" s="5">
        <v>841</v>
      </c>
      <c r="B902" s="138">
        <f>'Expenditures 15-22'!F44</f>
        <v>207446</v>
      </c>
      <c r="D902" s="2" t="str">
        <f t="shared" si="13"/>
        <v>Error?</v>
      </c>
    </row>
    <row r="903" spans="1:4" x14ac:dyDescent="0.2">
      <c r="A903" s="5">
        <v>842</v>
      </c>
      <c r="B903" s="138">
        <f>'Expenditures 15-22'!F45</f>
        <v>46442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253888</v>
      </c>
      <c r="C905" s="2" t="s">
        <v>573</v>
      </c>
      <c r="D905" s="2" t="str">
        <f t="shared" si="13"/>
        <v>Error?</v>
      </c>
    </row>
    <row r="906" spans="1:4" x14ac:dyDescent="0.2">
      <c r="A906" s="5">
        <v>845</v>
      </c>
      <c r="B906" s="138">
        <f>'Expenditures 15-22'!F49</f>
        <v>11467</v>
      </c>
      <c r="D906" s="2" t="str">
        <f t="shared" si="13"/>
        <v>Error?</v>
      </c>
    </row>
    <row r="907" spans="1:4" x14ac:dyDescent="0.2">
      <c r="A907" s="5">
        <v>846</v>
      </c>
      <c r="B907" s="138">
        <f>'Expenditures 15-22'!F50</f>
        <v>657</v>
      </c>
      <c r="D907" s="2" t="str">
        <f t="shared" si="13"/>
        <v>Error?</v>
      </c>
    </row>
    <row r="908" spans="1:4" x14ac:dyDescent="0.2">
      <c r="A908" s="5">
        <v>847</v>
      </c>
      <c r="B908" s="138">
        <f>'Expenditures 15-22'!F53</f>
        <v>12124</v>
      </c>
      <c r="C908" s="2" t="s">
        <v>573</v>
      </c>
      <c r="D908" s="2" t="str">
        <f t="shared" si="13"/>
        <v>Error?</v>
      </c>
    </row>
    <row r="909" spans="1:4" x14ac:dyDescent="0.2">
      <c r="A909" s="5">
        <v>848</v>
      </c>
      <c r="B909" s="138">
        <f>'Expenditures 15-22'!F55</f>
        <v>20892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20892</v>
      </c>
      <c r="C911" s="2" t="s">
        <v>573</v>
      </c>
      <c r="D911" s="2" t="str">
        <f t="shared" si="13"/>
        <v>Error?</v>
      </c>
    </row>
    <row r="912" spans="1:4" x14ac:dyDescent="0.2">
      <c r="A912" s="5">
        <v>851</v>
      </c>
      <c r="B912" s="138">
        <f>'Expenditures 15-22'!F59</f>
        <v>7019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368976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375995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205854</v>
      </c>
      <c r="D922" s="2" t="str">
        <f t="shared" si="13"/>
        <v>Error?</v>
      </c>
    </row>
    <row r="923" spans="1:4" x14ac:dyDescent="0.2">
      <c r="A923" s="5">
        <v>862</v>
      </c>
      <c r="B923" s="138">
        <f>'Expenditures 15-22'!F70</f>
        <v>6073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211927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905093</v>
      </c>
      <c r="C929" s="2" t="s">
        <v>573</v>
      </c>
      <c r="D929" s="2" t="str">
        <f t="shared" si="13"/>
        <v>Error?</v>
      </c>
    </row>
    <row r="930" spans="1:4" x14ac:dyDescent="0.2">
      <c r="A930" s="5">
        <v>869</v>
      </c>
      <c r="B930" s="138">
        <f>'Expenditures 15-22'!F75</f>
        <v>500</v>
      </c>
      <c r="D930" s="2" t="str">
        <f t="shared" si="13"/>
        <v>Error?</v>
      </c>
    </row>
    <row r="931" spans="1:4" x14ac:dyDescent="0.2">
      <c r="A931" s="5">
        <v>870</v>
      </c>
      <c r="B931" s="138">
        <f>'Expenditures 15-22'!F114</f>
        <v>1452042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32320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41975</v>
      </c>
      <c r="D949" s="2" t="str">
        <f t="shared" si="13"/>
        <v>Error?</v>
      </c>
    </row>
    <row r="950" spans="1:4" x14ac:dyDescent="0.2">
      <c r="A950" s="5">
        <v>889</v>
      </c>
      <c r="B950" s="138">
        <f>'Expenditures 15-22'!G14</f>
        <v>38963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113258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129585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129585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129585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242843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3278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24273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27961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1061</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10142</v>
      </c>
      <c r="D1016" s="2" t="str">
        <f t="shared" si="14"/>
        <v>Error?</v>
      </c>
    </row>
    <row r="1017" spans="1:4" x14ac:dyDescent="0.2">
      <c r="A1017" s="5">
        <v>956</v>
      </c>
      <c r="B1017" s="138">
        <f>'Expenditures 15-22'!H42</f>
        <v>11203</v>
      </c>
      <c r="C1017" s="2" t="s">
        <v>573</v>
      </c>
      <c r="D1017" s="2" t="str">
        <f t="shared" si="14"/>
        <v>Error?</v>
      </c>
    </row>
    <row r="1018" spans="1:4" x14ac:dyDescent="0.2">
      <c r="A1018" s="5">
        <v>957</v>
      </c>
      <c r="B1018" s="138">
        <f>'Expenditures 15-22'!H44</f>
        <v>7806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7806</v>
      </c>
      <c r="C1021" s="2" t="s">
        <v>573</v>
      </c>
      <c r="D1021" s="2" t="str">
        <f t="shared" si="14"/>
        <v>Error?</v>
      </c>
    </row>
    <row r="1022" spans="1:4" x14ac:dyDescent="0.2">
      <c r="A1022" s="5">
        <v>961</v>
      </c>
      <c r="B1022" s="138">
        <f>'Expenditures 15-22'!H49</f>
        <v>14241</v>
      </c>
      <c r="D1022" s="2" t="str">
        <f t="shared" si="14"/>
        <v>Error?</v>
      </c>
    </row>
    <row r="1023" spans="1:4" x14ac:dyDescent="0.2">
      <c r="A1023" s="5">
        <v>962</v>
      </c>
      <c r="B1023" s="138">
        <f>'Expenditures 15-22'!H50</f>
        <v>5482</v>
      </c>
      <c r="D1023" s="2" t="str">
        <f t="shared" ref="D1023:D1086" si="15">IF(ISBLANK(B1023),"OK",IF(A1023-B1023=0,"OK","Error?"))</f>
        <v>Error?</v>
      </c>
    </row>
    <row r="1024" spans="1:4" x14ac:dyDescent="0.2">
      <c r="A1024" s="5">
        <v>963</v>
      </c>
      <c r="B1024" s="138">
        <f>'Expenditures 15-22'!H53</f>
        <v>19723</v>
      </c>
      <c r="C1024" s="2" t="s">
        <v>573</v>
      </c>
      <c r="D1024" s="2" t="str">
        <f t="shared" si="15"/>
        <v>Error?</v>
      </c>
    </row>
    <row r="1025" spans="1:4" x14ac:dyDescent="0.2">
      <c r="A1025" s="5">
        <v>964</v>
      </c>
      <c r="B1025" s="138">
        <f>'Expenditures 15-22'!H55</f>
        <v>14963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14963</v>
      </c>
      <c r="C1027" s="2" t="s">
        <v>573</v>
      </c>
      <c r="D1027" s="2" t="str">
        <f t="shared" si="15"/>
        <v>Error?</v>
      </c>
    </row>
    <row r="1028" spans="1:4" x14ac:dyDescent="0.2">
      <c r="A1028" s="5">
        <v>967</v>
      </c>
      <c r="B1028" s="138">
        <f>'Expenditures 15-22'!H59</f>
        <v>1850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1724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3574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57269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2444612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2529842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7751778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696895</v>
      </c>
      <c r="C1105" s="2" t="s">
        <v>573</v>
      </c>
      <c r="D1105" s="2" t="str">
        <f t="shared" si="16"/>
        <v>Error?</v>
      </c>
    </row>
    <row r="1106" spans="1:4" x14ac:dyDescent="0.2">
      <c r="A1106" s="5">
        <v>1045</v>
      </c>
      <c r="B1106" s="138">
        <f>'Expenditures 15-22'!K14</f>
        <v>1466338</v>
      </c>
      <c r="C1106" s="2" t="s">
        <v>573</v>
      </c>
      <c r="D1106" s="2" t="str">
        <f t="shared" si="16"/>
        <v>Error?</v>
      </c>
    </row>
    <row r="1107" spans="1:4" x14ac:dyDescent="0.2">
      <c r="A1107" s="5">
        <v>1046</v>
      </c>
      <c r="B1107" s="138">
        <f>'Expenditures 15-22'!K15</f>
        <v>100960</v>
      </c>
      <c r="C1107" s="2" t="s">
        <v>573</v>
      </c>
      <c r="D1107" s="2" t="str">
        <f t="shared" si="16"/>
        <v>Error?</v>
      </c>
    </row>
    <row r="1108" spans="1:4" x14ac:dyDescent="0.2">
      <c r="A1108" s="5">
        <v>1047</v>
      </c>
      <c r="B1108" s="138">
        <f>'Expenditures 15-22'!K33</f>
        <v>12536752</v>
      </c>
      <c r="C1108" s="2" t="s">
        <v>573</v>
      </c>
      <c r="D1108" s="2" t="str">
        <f t="shared" si="16"/>
        <v>Error?</v>
      </c>
    </row>
    <row r="1109" spans="1:4" x14ac:dyDescent="0.2">
      <c r="A1109" s="5">
        <v>1048</v>
      </c>
      <c r="B1109" s="138">
        <f>'Expenditures 15-22'!K36</f>
        <v>278263</v>
      </c>
      <c r="C1109" s="2" t="s">
        <v>573</v>
      </c>
      <c r="D1109" s="2" t="str">
        <f t="shared" si="16"/>
        <v>Error?</v>
      </c>
    </row>
    <row r="1110" spans="1:4" x14ac:dyDescent="0.2">
      <c r="A1110" s="5">
        <v>1049</v>
      </c>
      <c r="B1110" s="138">
        <f>'Expenditures 15-22'!K37</f>
        <v>944280</v>
      </c>
      <c r="C1110" s="2" t="s">
        <v>573</v>
      </c>
      <c r="D1110" s="2" t="str">
        <f t="shared" si="16"/>
        <v>Error?</v>
      </c>
    </row>
    <row r="1111" spans="1:4" x14ac:dyDescent="0.2">
      <c r="A1111" s="5">
        <v>1050</v>
      </c>
      <c r="B1111" s="138">
        <f>'Expenditures 15-22'!K38</f>
        <v>112350</v>
      </c>
      <c r="C1111" s="2" t="s">
        <v>573</v>
      </c>
      <c r="D1111" s="2" t="str">
        <f t="shared" si="16"/>
        <v>Error?</v>
      </c>
    </row>
    <row r="1112" spans="1:4" x14ac:dyDescent="0.2">
      <c r="A1112" s="5">
        <v>1051</v>
      </c>
      <c r="B1112" s="138">
        <f>'Expenditures 15-22'!K39</f>
        <v>213147</v>
      </c>
      <c r="C1112" s="2" t="s">
        <v>573</v>
      </c>
      <c r="D1112" s="2" t="str">
        <f t="shared" si="16"/>
        <v>Error?</v>
      </c>
    </row>
    <row r="1113" spans="1:4" x14ac:dyDescent="0.2">
      <c r="A1113" s="5">
        <v>1052</v>
      </c>
      <c r="B1113" s="138">
        <f>'Expenditures 15-22'!K40</f>
        <v>525</v>
      </c>
      <c r="C1113" s="2" t="s">
        <v>573</v>
      </c>
      <c r="D1113" s="2" t="str">
        <f t="shared" si="16"/>
        <v>Error?</v>
      </c>
    </row>
    <row r="1114" spans="1:4" x14ac:dyDescent="0.2">
      <c r="A1114" s="5">
        <v>1053</v>
      </c>
      <c r="B1114" s="138">
        <f>'Expenditures 15-22'!K41</f>
        <v>50299</v>
      </c>
      <c r="C1114" s="2" t="s">
        <v>573</v>
      </c>
      <c r="D1114" s="2" t="str">
        <f t="shared" si="16"/>
        <v>Error?</v>
      </c>
    </row>
    <row r="1115" spans="1:4" x14ac:dyDescent="0.2">
      <c r="A1115" s="5">
        <v>1054</v>
      </c>
      <c r="B1115" s="138">
        <f>'Expenditures 15-22'!K42</f>
        <v>1598864</v>
      </c>
      <c r="C1115" s="2" t="s">
        <v>573</v>
      </c>
      <c r="D1115" s="2" t="str">
        <f t="shared" si="16"/>
        <v>Error?</v>
      </c>
    </row>
    <row r="1116" spans="1:4" x14ac:dyDescent="0.2">
      <c r="A1116" s="5">
        <v>1055</v>
      </c>
      <c r="B1116" s="138">
        <f>'Expenditures 15-22'!K44</f>
        <v>1293872</v>
      </c>
      <c r="C1116" s="2" t="s">
        <v>573</v>
      </c>
      <c r="D1116" s="2" t="str">
        <f t="shared" si="16"/>
        <v>Error?</v>
      </c>
    </row>
    <row r="1117" spans="1:4" x14ac:dyDescent="0.2">
      <c r="A1117" s="5">
        <v>1056</v>
      </c>
      <c r="B1117" s="138">
        <f>'Expenditures 15-22'!K45</f>
        <v>225411</v>
      </c>
      <c r="C1117" s="2" t="s">
        <v>573</v>
      </c>
      <c r="D1117" s="2" t="str">
        <f t="shared" si="16"/>
        <v>Error?</v>
      </c>
    </row>
    <row r="1118" spans="1:4" x14ac:dyDescent="0.2">
      <c r="A1118" s="5">
        <v>1057</v>
      </c>
      <c r="B1118" s="138">
        <f>'Expenditures 15-22'!K46</f>
        <v>7676</v>
      </c>
      <c r="C1118" s="2" t="s">
        <v>573</v>
      </c>
      <c r="D1118" s="2" t="str">
        <f t="shared" si="16"/>
        <v>Error?</v>
      </c>
    </row>
    <row r="1119" spans="1:4" x14ac:dyDescent="0.2">
      <c r="A1119" s="5">
        <v>1058</v>
      </c>
      <c r="B1119" s="138">
        <f>'Expenditures 15-22'!K47</f>
        <v>1526959</v>
      </c>
      <c r="C1119" s="2" t="s">
        <v>573</v>
      </c>
      <c r="D1119" s="2" t="str">
        <f t="shared" si="16"/>
        <v>Error?</v>
      </c>
    </row>
    <row r="1120" spans="1:4" x14ac:dyDescent="0.2">
      <c r="A1120" s="5">
        <v>1059</v>
      </c>
      <c r="B1120" s="138">
        <f>'Expenditures 15-22'!K49</f>
        <v>1018209</v>
      </c>
      <c r="C1120" s="2" t="s">
        <v>573</v>
      </c>
      <c r="D1120" s="2" t="str">
        <f t="shared" si="16"/>
        <v>Error?</v>
      </c>
    </row>
    <row r="1121" spans="1:4" x14ac:dyDescent="0.2">
      <c r="A1121" s="5">
        <v>1060</v>
      </c>
      <c r="B1121" s="138">
        <f>'Expenditures 15-22'!K50</f>
        <v>330186</v>
      </c>
      <c r="C1121" s="2" t="s">
        <v>573</v>
      </c>
      <c r="D1121" s="2" t="str">
        <f t="shared" si="16"/>
        <v>Error?</v>
      </c>
    </row>
    <row r="1122" spans="1:4" x14ac:dyDescent="0.2">
      <c r="A1122" s="5">
        <v>1061</v>
      </c>
      <c r="B1122" s="138">
        <f>'Expenditures 15-22'!K53</f>
        <v>1348395</v>
      </c>
      <c r="C1122" s="2" t="s">
        <v>573</v>
      </c>
      <c r="D1122" s="2" t="str">
        <f t="shared" si="16"/>
        <v>Error?</v>
      </c>
    </row>
    <row r="1123" spans="1:4" x14ac:dyDescent="0.2">
      <c r="A1123" s="5">
        <v>1062</v>
      </c>
      <c r="B1123" s="138">
        <f>'Expenditures 15-22'!K55</f>
        <v>670541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670541</v>
      </c>
      <c r="C1125" s="2" t="s">
        <v>573</v>
      </c>
      <c r="D1125" s="2" t="str">
        <f t="shared" si="16"/>
        <v>Error?</v>
      </c>
    </row>
    <row r="1126" spans="1:4" x14ac:dyDescent="0.2">
      <c r="A1126" s="5">
        <v>1065</v>
      </c>
      <c r="B1126" s="138">
        <f>'Expenditures 15-22'!K59</f>
        <v>261660</v>
      </c>
      <c r="C1126" s="2" t="s">
        <v>573</v>
      </c>
      <c r="D1126" s="2" t="str">
        <f t="shared" si="16"/>
        <v>Error?</v>
      </c>
    </row>
    <row r="1127" spans="1:4" x14ac:dyDescent="0.2">
      <c r="A1127" s="5">
        <v>1066</v>
      </c>
      <c r="B1127" s="138">
        <f>'Expenditures 15-22'!K60</f>
        <v>170339</v>
      </c>
      <c r="C1127" s="2" t="s">
        <v>573</v>
      </c>
      <c r="D1127" s="2" t="str">
        <f t="shared" si="16"/>
        <v>Error?</v>
      </c>
    </row>
    <row r="1128" spans="1:4" x14ac:dyDescent="0.2">
      <c r="A1128" s="5">
        <v>1067</v>
      </c>
      <c r="B1128" s="138">
        <f>'Expenditures 15-22'!K61</f>
        <v>30260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769782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1232041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11965</v>
      </c>
      <c r="C1135" s="2" t="s">
        <v>573</v>
      </c>
      <c r="D1135" s="2" t="str">
        <f t="shared" si="16"/>
        <v>Error?</v>
      </c>
    </row>
    <row r="1136" spans="1:4" x14ac:dyDescent="0.2">
      <c r="A1136" s="5">
        <v>1075</v>
      </c>
      <c r="B1136" s="138">
        <f>'Expenditures 15-22'!K69</f>
        <v>779799</v>
      </c>
      <c r="C1136" s="2" t="s">
        <v>573</v>
      </c>
      <c r="D1136" s="2" t="str">
        <f t="shared" si="16"/>
        <v>Error?</v>
      </c>
    </row>
    <row r="1137" spans="1:4" x14ac:dyDescent="0.2">
      <c r="A1137" s="5">
        <v>1076</v>
      </c>
      <c r="B1137" s="138">
        <f>'Expenditures 15-22'!K70</f>
        <v>40962</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832726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7209526</v>
      </c>
      <c r="C1143" s="2" t="s">
        <v>573</v>
      </c>
      <c r="D1143" s="2" t="str">
        <f t="shared" si="16"/>
        <v>Error?</v>
      </c>
    </row>
    <row r="1144" spans="1:4" x14ac:dyDescent="0.2">
      <c r="A1144" s="5">
        <v>1083</v>
      </c>
      <c r="B1144" s="138">
        <f>'Expenditures 15-22'!K75</f>
        <v>78183</v>
      </c>
      <c r="C1144" s="2" t="s">
        <v>573</v>
      </c>
      <c r="D1144" s="2" t="str">
        <f t="shared" si="16"/>
        <v>Error?</v>
      </c>
    </row>
    <row r="1145" spans="1:4" x14ac:dyDescent="0.2">
      <c r="A1145" s="5">
        <v>1084</v>
      </c>
      <c r="B1145" s="138">
        <f>'Expenditures 15-22'!K102</f>
        <v>2492271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22316732</v>
      </c>
      <c r="C1152" s="2" t="s">
        <v>573</v>
      </c>
      <c r="D1152" s="2" t="str">
        <f t="shared" si="17"/>
        <v>Error?</v>
      </c>
    </row>
    <row r="1153" spans="1:4" x14ac:dyDescent="0.2">
      <c r="A1153" s="5">
        <v>1092</v>
      </c>
      <c r="B1153" s="138">
        <f>'Expenditures 15-22'!K115</f>
        <v>-1503675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996669</v>
      </c>
      <c r="D1221" s="2" t="str">
        <f t="shared" si="18"/>
        <v>Error?</v>
      </c>
    </row>
    <row r="1222" spans="1:4" x14ac:dyDescent="0.2">
      <c r="A1222" s="10">
        <v>1161</v>
      </c>
      <c r="D1222" s="2" t="str">
        <f t="shared" si="18"/>
        <v>OK</v>
      </c>
    </row>
    <row r="1223" spans="1:4" x14ac:dyDescent="0.2">
      <c r="A1223" s="5">
        <v>1162</v>
      </c>
      <c r="B1223" s="138">
        <f>'Expenditures 15-22'!C127</f>
        <v>996669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996669</v>
      </c>
      <c r="C1225" s="2" t="s">
        <v>573</v>
      </c>
      <c r="D1225" s="2" t="str">
        <f t="shared" si="18"/>
        <v>Error?</v>
      </c>
    </row>
    <row r="1226" spans="1:4" x14ac:dyDescent="0.2">
      <c r="A1226" s="5">
        <v>1165</v>
      </c>
      <c r="B1226" s="138">
        <f>'Expenditures 15-22'!C151</f>
        <v>996669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194954</v>
      </c>
      <c r="D1229" s="2" t="str">
        <f t="shared" si="18"/>
        <v>Error?</v>
      </c>
    </row>
    <row r="1230" spans="1:4" x14ac:dyDescent="0.2">
      <c r="A1230" s="10">
        <v>1169</v>
      </c>
      <c r="D1230" s="2" t="str">
        <f t="shared" si="18"/>
        <v>OK</v>
      </c>
    </row>
    <row r="1231" spans="1:4" x14ac:dyDescent="0.2">
      <c r="A1231" s="5">
        <v>1170</v>
      </c>
      <c r="B1231" s="138">
        <f>'Expenditures 15-22'!D127</f>
        <v>194954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194954</v>
      </c>
      <c r="C1233" s="2" t="s">
        <v>573</v>
      </c>
      <c r="D1233" s="2" t="str">
        <f t="shared" si="18"/>
        <v>Error?</v>
      </c>
    </row>
    <row r="1234" spans="1:4" x14ac:dyDescent="0.2">
      <c r="A1234" s="5">
        <v>1173</v>
      </c>
      <c r="B1234" s="138">
        <f>'Expenditures 15-22'!D151</f>
        <v>194954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808481</v>
      </c>
      <c r="D1237" s="2" t="str">
        <f t="shared" si="18"/>
        <v>Error?</v>
      </c>
    </row>
    <row r="1238" spans="1:4" x14ac:dyDescent="0.2">
      <c r="A1238" s="10">
        <v>1177</v>
      </c>
      <c r="D1238" s="2" t="str">
        <f t="shared" si="18"/>
        <v>OK</v>
      </c>
    </row>
    <row r="1239" spans="1:4" x14ac:dyDescent="0.2">
      <c r="A1239" s="5">
        <v>1178</v>
      </c>
      <c r="B1239" s="138">
        <f>'Expenditures 15-22'!E127</f>
        <v>808481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808481</v>
      </c>
      <c r="C1241" s="2" t="s">
        <v>573</v>
      </c>
      <c r="D1241" s="2" t="str">
        <f t="shared" si="18"/>
        <v>Error?</v>
      </c>
    </row>
    <row r="1242" spans="1:4" x14ac:dyDescent="0.2">
      <c r="A1242" s="5">
        <v>1181</v>
      </c>
      <c r="B1242" s="138">
        <f>'Expenditures 15-22'!E151</f>
        <v>898705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819694</v>
      </c>
      <c r="D1245" s="2" t="str">
        <f t="shared" si="18"/>
        <v>Error?</v>
      </c>
    </row>
    <row r="1246" spans="1:4" x14ac:dyDescent="0.2">
      <c r="A1246" s="10">
        <v>1185</v>
      </c>
      <c r="D1246" s="2" t="str">
        <f t="shared" si="18"/>
        <v>OK</v>
      </c>
    </row>
    <row r="1247" spans="1:4" x14ac:dyDescent="0.2">
      <c r="A1247" s="5">
        <v>1186</v>
      </c>
      <c r="B1247" s="138">
        <f>'Expenditures 15-22'!F127</f>
        <v>819694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819694</v>
      </c>
      <c r="C1249" s="2" t="s">
        <v>573</v>
      </c>
      <c r="D1249" s="2" t="str">
        <f t="shared" si="18"/>
        <v>Error?</v>
      </c>
    </row>
    <row r="1250" spans="1:4" x14ac:dyDescent="0.2">
      <c r="A1250" s="5">
        <v>1189</v>
      </c>
      <c r="B1250" s="138">
        <f>'Expenditures 15-22'!F151</f>
        <v>819694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328150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328150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328150</v>
      </c>
      <c r="C1258" s="2" t="s">
        <v>573</v>
      </c>
      <c r="D1258" s="2" t="str">
        <f t="shared" si="18"/>
        <v>Error?</v>
      </c>
    </row>
    <row r="1259" spans="1:4" x14ac:dyDescent="0.2">
      <c r="A1259" s="5">
        <v>1198</v>
      </c>
      <c r="B1259" s="138">
        <f>'Expenditures 15-22'!G151</f>
        <v>328150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324</v>
      </c>
      <c r="D1262" s="2" t="str">
        <f t="shared" si="18"/>
        <v>Error?</v>
      </c>
    </row>
    <row r="1263" spans="1:4" x14ac:dyDescent="0.2">
      <c r="A1263" s="10">
        <v>1202</v>
      </c>
      <c r="D1263" s="2" t="str">
        <f t="shared" si="18"/>
        <v>OK</v>
      </c>
    </row>
    <row r="1264" spans="1:4" x14ac:dyDescent="0.2">
      <c r="A1264" s="5">
        <v>1203</v>
      </c>
      <c r="B1264" s="138">
        <f>'Expenditures 15-22'!H127</f>
        <v>324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324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324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3148272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3148272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3148272</v>
      </c>
      <c r="C1281" s="2" t="s">
        <v>573</v>
      </c>
      <c r="D1281" s="2" t="str">
        <f t="shared" si="19"/>
        <v>Error?</v>
      </c>
    </row>
    <row r="1282" spans="1:4" x14ac:dyDescent="0.2">
      <c r="A1282" s="5">
        <v>1221</v>
      </c>
      <c r="B1282" s="138">
        <f>'Expenditures 15-22'!K139</f>
        <v>90224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3238496</v>
      </c>
      <c r="C1288" s="2" t="s">
        <v>573</v>
      </c>
      <c r="D1288" s="2" t="str">
        <f t="shared" si="19"/>
        <v>Error?</v>
      </c>
    </row>
    <row r="1289" spans="1:4" x14ac:dyDescent="0.2">
      <c r="A1289" s="5">
        <v>1228</v>
      </c>
      <c r="B1289" s="138">
        <f>'Expenditures 15-22'!K152</f>
        <v>2419847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2969</v>
      </c>
      <c r="C1333" s="2" t="s">
        <v>573</v>
      </c>
      <c r="D1333" s="2" t="str">
        <f t="shared" si="19"/>
        <v>Error?</v>
      </c>
    </row>
    <row r="1334" spans="1:4" x14ac:dyDescent="0.2">
      <c r="A1334" s="10">
        <v>1273</v>
      </c>
      <c r="D1334" s="2" t="str">
        <f t="shared" si="19"/>
        <v>OK</v>
      </c>
    </row>
    <row r="1335" spans="1:4" x14ac:dyDescent="0.2">
      <c r="A1335" s="5">
        <v>1274</v>
      </c>
      <c r="B1335" s="138">
        <f>'Expenditures 15-22'!C182</f>
        <v>545444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545444</v>
      </c>
      <c r="C1339" s="2" t="s">
        <v>573</v>
      </c>
      <c r="D1339" s="2" t="str">
        <f t="shared" si="19"/>
        <v>Error?</v>
      </c>
    </row>
    <row r="1340" spans="1:4" x14ac:dyDescent="0.2">
      <c r="A1340" s="5">
        <v>1279</v>
      </c>
      <c r="B1340" s="138">
        <f>'Expenditures 15-22'!C210</f>
        <v>545444</v>
      </c>
      <c r="C1340" s="2" t="s">
        <v>573</v>
      </c>
      <c r="D1340" s="2" t="str">
        <f t="shared" si="19"/>
        <v>Error?</v>
      </c>
    </row>
    <row r="1341" spans="1:4" x14ac:dyDescent="0.2">
      <c r="A1341" s="5">
        <v>1280</v>
      </c>
      <c r="B1341" s="138">
        <f>'Expenditures 15-22'!D182</f>
        <v>121441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121441</v>
      </c>
      <c r="C1345" s="2" t="s">
        <v>573</v>
      </c>
      <c r="D1345" s="2" t="str">
        <f t="shared" si="20"/>
        <v>Error?</v>
      </c>
    </row>
    <row r="1346" spans="1:4" x14ac:dyDescent="0.2">
      <c r="A1346" s="5">
        <v>1285</v>
      </c>
      <c r="B1346" s="138">
        <f>'Expenditures 15-22'!D210</f>
        <v>121441</v>
      </c>
      <c r="C1346" s="2" t="s">
        <v>573</v>
      </c>
      <c r="D1346" s="2" t="str">
        <f t="shared" si="20"/>
        <v>Error?</v>
      </c>
    </row>
    <row r="1347" spans="1:4" x14ac:dyDescent="0.2">
      <c r="A1347" s="5">
        <v>1286</v>
      </c>
      <c r="B1347" s="138">
        <f>'Expenditures 15-22'!E182</f>
        <v>1387467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1387467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1387467</v>
      </c>
      <c r="C1353" s="2" t="s">
        <v>573</v>
      </c>
      <c r="D1353" s="2" t="str">
        <f t="shared" si="20"/>
        <v>Error?</v>
      </c>
    </row>
    <row r="1354" spans="1:4" x14ac:dyDescent="0.2">
      <c r="A1354" s="5">
        <v>1293</v>
      </c>
      <c r="B1354" s="138">
        <f>'Expenditures 15-22'!F182</f>
        <v>89198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89198</v>
      </c>
      <c r="C1358" s="2" t="s">
        <v>573</v>
      </c>
      <c r="D1358" s="2" t="str">
        <f t="shared" si="20"/>
        <v>Error?</v>
      </c>
    </row>
    <row r="1359" spans="1:4" x14ac:dyDescent="0.2">
      <c r="A1359" s="5">
        <v>1298</v>
      </c>
      <c r="B1359" s="138">
        <f>'Expenditures 15-22'!F210</f>
        <v>89198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2143550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2143550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2143550</v>
      </c>
      <c r="C1388" s="2" t="s">
        <v>573</v>
      </c>
      <c r="D1388" s="2" t="str">
        <f t="shared" si="20"/>
        <v>Error?</v>
      </c>
    </row>
    <row r="1389" spans="1:4" x14ac:dyDescent="0.2">
      <c r="A1389" s="5">
        <v>1328</v>
      </c>
      <c r="B1389" s="138">
        <f>'Expenditures 15-22'!K211</f>
        <v>-569554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7235</v>
      </c>
      <c r="D1407" s="2" t="str">
        <f t="shared" ref="D1407:D1470" si="21">IF(ISBLANK(B1407),"OK",IF(A1407-B1407=0,"OK","Error?"))</f>
        <v>Error?</v>
      </c>
    </row>
    <row r="1408" spans="1:4" x14ac:dyDescent="0.2">
      <c r="A1408" s="5">
        <v>1347</v>
      </c>
      <c r="B1408" s="138">
        <f>'Expenditures 15-22'!D223</f>
        <v>47145</v>
      </c>
      <c r="D1408" s="2" t="str">
        <f t="shared" si="21"/>
        <v>Error?</v>
      </c>
    </row>
    <row r="1409" spans="1:4" x14ac:dyDescent="0.2">
      <c r="A1409" s="5">
        <v>1348</v>
      </c>
      <c r="B1409" s="138">
        <f>'Expenditures 15-22'!D224</f>
        <v>1269</v>
      </c>
      <c r="D1409" s="2" t="str">
        <f t="shared" si="21"/>
        <v>Error?</v>
      </c>
    </row>
    <row r="1410" spans="1:4" x14ac:dyDescent="0.2">
      <c r="A1410" s="5">
        <v>1349</v>
      </c>
      <c r="B1410" s="138">
        <f>'Expenditures 15-22'!D229</f>
        <v>220793</v>
      </c>
      <c r="C1410" s="2" t="s">
        <v>573</v>
      </c>
      <c r="D1410" s="2" t="str">
        <f t="shared" si="21"/>
        <v>Error?</v>
      </c>
    </row>
    <row r="1411" spans="1:4" x14ac:dyDescent="0.2">
      <c r="A1411" s="5">
        <v>1350</v>
      </c>
      <c r="B1411" s="138">
        <f>'Expenditures 15-22'!D232</f>
        <v>10405</v>
      </c>
      <c r="D1411" s="2" t="str">
        <f t="shared" si="21"/>
        <v>Error?</v>
      </c>
    </row>
    <row r="1412" spans="1:4" x14ac:dyDescent="0.2">
      <c r="A1412" s="5">
        <v>1351</v>
      </c>
      <c r="B1412" s="138">
        <f>'Expenditures 15-22'!D233</f>
        <v>28076</v>
      </c>
      <c r="D1412" s="2" t="str">
        <f t="shared" si="21"/>
        <v>Error?</v>
      </c>
    </row>
    <row r="1413" spans="1:4" x14ac:dyDescent="0.2">
      <c r="A1413" s="5">
        <v>1352</v>
      </c>
      <c r="B1413" s="138">
        <f>'Expenditures 15-22'!D234</f>
        <v>11650</v>
      </c>
      <c r="D1413" s="2" t="str">
        <f t="shared" si="21"/>
        <v>Error?</v>
      </c>
    </row>
    <row r="1414" spans="1:4" x14ac:dyDescent="0.2">
      <c r="A1414" s="5">
        <v>1353</v>
      </c>
      <c r="B1414" s="138">
        <f>'Expenditures 15-22'!D235</f>
        <v>2367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52498</v>
      </c>
      <c r="C1417" s="2" t="s">
        <v>573</v>
      </c>
      <c r="D1417" s="2" t="str">
        <f t="shared" si="21"/>
        <v>Error?</v>
      </c>
    </row>
    <row r="1418" spans="1:4" x14ac:dyDescent="0.2">
      <c r="A1418" s="5">
        <v>1357</v>
      </c>
      <c r="B1418" s="138">
        <f>'Expenditures 15-22'!D240</f>
        <v>21134</v>
      </c>
      <c r="D1418" s="2" t="str">
        <f t="shared" si="21"/>
        <v>Error?</v>
      </c>
    </row>
    <row r="1419" spans="1:4" x14ac:dyDescent="0.2">
      <c r="A1419" s="5">
        <v>1358</v>
      </c>
      <c r="B1419" s="138">
        <f>'Expenditures 15-22'!D241</f>
        <v>8000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29134</v>
      </c>
      <c r="C1421" s="2" t="s">
        <v>573</v>
      </c>
      <c r="D1421" s="2" t="str">
        <f t="shared" si="21"/>
        <v>Error?</v>
      </c>
    </row>
    <row r="1422" spans="1:4" x14ac:dyDescent="0.2">
      <c r="A1422" s="5">
        <v>1361</v>
      </c>
      <c r="B1422" s="138">
        <f>'Expenditures 15-22'!D245</f>
        <v>225</v>
      </c>
      <c r="D1422" s="2" t="str">
        <f t="shared" si="21"/>
        <v>Error?</v>
      </c>
    </row>
    <row r="1423" spans="1:4" x14ac:dyDescent="0.2">
      <c r="A1423" s="5">
        <v>1362</v>
      </c>
      <c r="B1423" s="138">
        <f>'Expenditures 15-22'!D246</f>
        <v>15623</v>
      </c>
      <c r="D1423" s="2" t="str">
        <f t="shared" si="21"/>
        <v>Error?</v>
      </c>
    </row>
    <row r="1424" spans="1:4" x14ac:dyDescent="0.2">
      <c r="A1424" s="5">
        <v>1363</v>
      </c>
      <c r="B1424" s="138">
        <f>'Expenditures 15-22'!D257</f>
        <v>15848</v>
      </c>
      <c r="C1424" s="2" t="s">
        <v>573</v>
      </c>
      <c r="D1424" s="2" t="str">
        <f t="shared" si="21"/>
        <v>Error?</v>
      </c>
    </row>
    <row r="1425" spans="1:4" x14ac:dyDescent="0.2">
      <c r="A1425" s="5">
        <v>1364</v>
      </c>
      <c r="B1425" s="138">
        <f>'Expenditures 15-22'!D259</f>
        <v>21249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21249</v>
      </c>
      <c r="C1427" s="2" t="s">
        <v>573</v>
      </c>
      <c r="D1427" s="2" t="str">
        <f t="shared" si="21"/>
        <v>Error?</v>
      </c>
    </row>
    <row r="1428" spans="1:4" x14ac:dyDescent="0.2">
      <c r="A1428" s="5">
        <v>1367</v>
      </c>
      <c r="B1428" s="138">
        <f>'Expenditures 15-22'!D263</f>
        <v>1385</v>
      </c>
      <c r="D1428" s="2" t="str">
        <f t="shared" si="21"/>
        <v>Error?</v>
      </c>
    </row>
    <row r="1429" spans="1:4" x14ac:dyDescent="0.2">
      <c r="A1429" s="5">
        <v>1368</v>
      </c>
      <c r="B1429" s="138">
        <f>'Expenditures 15-22'!D264</f>
        <v>23858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163476</v>
      </c>
      <c r="D1431" s="2" t="str">
        <f t="shared" si="21"/>
        <v>Error?</v>
      </c>
    </row>
    <row r="1432" spans="1:4" x14ac:dyDescent="0.2">
      <c r="A1432" s="5">
        <v>1371</v>
      </c>
      <c r="B1432" s="138">
        <f>'Expenditures 15-22'!D267</f>
        <v>100398</v>
      </c>
      <c r="D1432" s="2" t="str">
        <f t="shared" si="21"/>
        <v>Error?</v>
      </c>
    </row>
    <row r="1433" spans="1:4" x14ac:dyDescent="0.2">
      <c r="A1433" s="5">
        <v>1372</v>
      </c>
      <c r="B1433" s="138">
        <f>'Expenditures 15-22'!D268</f>
        <v>52060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341177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28877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28877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488783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767227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7235</v>
      </c>
      <c r="C1471" s="2" t="s">
        <v>573</v>
      </c>
      <c r="D1471" s="2" t="str">
        <f t="shared" ref="D1471:D1534" si="22">IF(ISBLANK(B1471),"OK",IF(A1471-B1471=0,"OK","Error?"))</f>
        <v>Error?</v>
      </c>
    </row>
    <row r="1472" spans="1:4" x14ac:dyDescent="0.2">
      <c r="A1472" s="5">
        <v>1411</v>
      </c>
      <c r="B1472" s="138">
        <f>'Expenditures 15-22'!K223</f>
        <v>47145</v>
      </c>
      <c r="C1472" s="2" t="s">
        <v>573</v>
      </c>
      <c r="D1472" s="2" t="str">
        <f t="shared" si="22"/>
        <v>Error?</v>
      </c>
    </row>
    <row r="1473" spans="1:4" x14ac:dyDescent="0.2">
      <c r="A1473" s="5">
        <v>1412</v>
      </c>
      <c r="B1473" s="138">
        <f>'Expenditures 15-22'!K224</f>
        <v>1269</v>
      </c>
      <c r="C1473" s="2" t="s">
        <v>573</v>
      </c>
      <c r="D1473" s="2" t="str">
        <f t="shared" si="22"/>
        <v>Error?</v>
      </c>
    </row>
    <row r="1474" spans="1:4" x14ac:dyDescent="0.2">
      <c r="A1474" s="5">
        <v>1413</v>
      </c>
      <c r="B1474" s="138">
        <f>'Expenditures 15-22'!K229</f>
        <v>220793</v>
      </c>
      <c r="C1474" s="2" t="s">
        <v>573</v>
      </c>
      <c r="D1474" s="2" t="str">
        <f t="shared" si="22"/>
        <v>Error?</v>
      </c>
    </row>
    <row r="1475" spans="1:4" x14ac:dyDescent="0.2">
      <c r="A1475" s="5">
        <v>1414</v>
      </c>
      <c r="B1475" s="138">
        <f>'Expenditures 15-22'!K232</f>
        <v>10405</v>
      </c>
      <c r="C1475" s="2" t="s">
        <v>573</v>
      </c>
      <c r="D1475" s="2" t="str">
        <f t="shared" si="22"/>
        <v>Error?</v>
      </c>
    </row>
    <row r="1476" spans="1:4" x14ac:dyDescent="0.2">
      <c r="A1476" s="5">
        <v>1415</v>
      </c>
      <c r="B1476" s="138">
        <f>'Expenditures 15-22'!K233</f>
        <v>28076</v>
      </c>
      <c r="C1476" s="2" t="s">
        <v>573</v>
      </c>
      <c r="D1476" s="2" t="str">
        <f t="shared" si="22"/>
        <v>Error?</v>
      </c>
    </row>
    <row r="1477" spans="1:4" x14ac:dyDescent="0.2">
      <c r="A1477" s="5">
        <v>1416</v>
      </c>
      <c r="B1477" s="138">
        <f>'Expenditures 15-22'!K234</f>
        <v>11650</v>
      </c>
      <c r="C1477" s="2" t="s">
        <v>573</v>
      </c>
      <c r="D1477" s="2" t="str">
        <f t="shared" si="22"/>
        <v>Error?</v>
      </c>
    </row>
    <row r="1478" spans="1:4" x14ac:dyDescent="0.2">
      <c r="A1478" s="5">
        <v>1417</v>
      </c>
      <c r="B1478" s="138">
        <f>'Expenditures 15-22'!K235</f>
        <v>2367</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52498</v>
      </c>
      <c r="C1481" s="2" t="s">
        <v>573</v>
      </c>
      <c r="D1481" s="2" t="str">
        <f t="shared" si="22"/>
        <v>Error?</v>
      </c>
    </row>
    <row r="1482" spans="1:4" x14ac:dyDescent="0.2">
      <c r="A1482" s="5">
        <v>1421</v>
      </c>
      <c r="B1482" s="138">
        <f>'Expenditures 15-22'!K240</f>
        <v>21134</v>
      </c>
      <c r="C1482" s="2" t="s">
        <v>573</v>
      </c>
      <c r="D1482" s="2" t="str">
        <f t="shared" si="22"/>
        <v>Error?</v>
      </c>
    </row>
    <row r="1483" spans="1:4" x14ac:dyDescent="0.2">
      <c r="A1483" s="5">
        <v>1422</v>
      </c>
      <c r="B1483" s="138">
        <f>'Expenditures 15-22'!K241</f>
        <v>8000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29134</v>
      </c>
      <c r="C1485" s="2" t="s">
        <v>573</v>
      </c>
      <c r="D1485" s="2" t="str">
        <f t="shared" si="22"/>
        <v>Error?</v>
      </c>
    </row>
    <row r="1486" spans="1:4" x14ac:dyDescent="0.2">
      <c r="A1486" s="5">
        <v>1425</v>
      </c>
      <c r="B1486" s="138">
        <f>'Expenditures 15-22'!K245</f>
        <v>225</v>
      </c>
      <c r="C1486" s="2" t="s">
        <v>573</v>
      </c>
      <c r="D1486" s="2" t="str">
        <f t="shared" si="22"/>
        <v>Error?</v>
      </c>
    </row>
    <row r="1487" spans="1:4" x14ac:dyDescent="0.2">
      <c r="A1487" s="5">
        <v>1426</v>
      </c>
      <c r="B1487" s="138">
        <f>'Expenditures 15-22'!K246</f>
        <v>15623</v>
      </c>
      <c r="C1487" s="2" t="s">
        <v>573</v>
      </c>
      <c r="D1487" s="2" t="str">
        <f t="shared" si="22"/>
        <v>Error?</v>
      </c>
    </row>
    <row r="1488" spans="1:4" x14ac:dyDescent="0.2">
      <c r="A1488" s="5">
        <v>1427</v>
      </c>
      <c r="B1488" s="138">
        <f>'Expenditures 15-22'!K257</f>
        <v>15848</v>
      </c>
      <c r="C1488" s="2" t="s">
        <v>573</v>
      </c>
      <c r="D1488" s="2" t="str">
        <f t="shared" si="22"/>
        <v>Error?</v>
      </c>
    </row>
    <row r="1489" spans="1:4" x14ac:dyDescent="0.2">
      <c r="A1489" s="5">
        <v>1428</v>
      </c>
      <c r="B1489" s="138">
        <f>'Expenditures 15-22'!K259</f>
        <v>21249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21249</v>
      </c>
      <c r="C1491" s="2" t="s">
        <v>573</v>
      </c>
      <c r="D1491" s="2" t="str">
        <f t="shared" si="22"/>
        <v>Error?</v>
      </c>
    </row>
    <row r="1492" spans="1:4" x14ac:dyDescent="0.2">
      <c r="A1492" s="5">
        <v>1431</v>
      </c>
      <c r="B1492" s="138">
        <f>'Expenditures 15-22'!K263</f>
        <v>1385</v>
      </c>
      <c r="C1492" s="2" t="s">
        <v>573</v>
      </c>
      <c r="D1492" s="2" t="str">
        <f t="shared" si="22"/>
        <v>Error?</v>
      </c>
    </row>
    <row r="1493" spans="1:4" x14ac:dyDescent="0.2">
      <c r="A1493" s="5">
        <v>1432</v>
      </c>
      <c r="B1493" s="138">
        <f>'Expenditures 15-22'!K264</f>
        <v>23858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163476</v>
      </c>
      <c r="C1495" s="2" t="s">
        <v>573</v>
      </c>
      <c r="D1495" s="2" t="str">
        <f t="shared" si="22"/>
        <v>Error?</v>
      </c>
    </row>
    <row r="1496" spans="1:4" x14ac:dyDescent="0.2">
      <c r="A1496" s="5">
        <v>1435</v>
      </c>
      <c r="B1496" s="138">
        <f>'Expenditures 15-22'!K267</f>
        <v>100398</v>
      </c>
      <c r="C1496" s="2" t="s">
        <v>573</v>
      </c>
      <c r="D1496" s="2" t="str">
        <f t="shared" si="22"/>
        <v>Error?</v>
      </c>
    </row>
    <row r="1497" spans="1:4" x14ac:dyDescent="0.2">
      <c r="A1497" s="5">
        <v>1436</v>
      </c>
      <c r="B1497" s="138">
        <f>'Expenditures 15-22'!K268</f>
        <v>52060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341177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28877</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28877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488783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767227</v>
      </c>
      <c r="C1517" s="2" t="s">
        <v>573</v>
      </c>
      <c r="D1517" s="2" t="str">
        <f t="shared" si="22"/>
        <v>Error?</v>
      </c>
    </row>
    <row r="1518" spans="1:4" x14ac:dyDescent="0.2">
      <c r="A1518" s="5">
        <v>1457</v>
      </c>
      <c r="B1518" s="138">
        <f>'Expenditures 15-22'!K296</f>
        <v>33115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4297319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4297319</v>
      </c>
      <c r="C1547" s="2" t="s">
        <v>573</v>
      </c>
      <c r="D1547" s="2" t="str">
        <f t="shared" si="23"/>
        <v>Error?</v>
      </c>
    </row>
    <row r="1548" spans="1:4" x14ac:dyDescent="0.2">
      <c r="A1548" s="5">
        <v>1487</v>
      </c>
      <c r="B1548" s="138">
        <f>'Expenditures 15-22'!G312</f>
        <v>4297319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4297319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4297319</v>
      </c>
      <c r="C1559" s="2" t="s">
        <v>573</v>
      </c>
      <c r="D1559" s="2" t="str">
        <f t="shared" si="23"/>
        <v>Error?</v>
      </c>
    </row>
    <row r="1560" spans="1:4" x14ac:dyDescent="0.2">
      <c r="A1560" s="5">
        <v>1499</v>
      </c>
      <c r="B1560" s="138">
        <f>'Expenditures 15-22'!K312</f>
        <v>4297319</v>
      </c>
      <c r="C1560" s="2" t="s">
        <v>573</v>
      </c>
      <c r="D1560" s="2" t="str">
        <f t="shared" si="23"/>
        <v>Error?</v>
      </c>
    </row>
    <row r="1561" spans="1:4" x14ac:dyDescent="0.2">
      <c r="A1561" s="5">
        <v>1500</v>
      </c>
      <c r="B1561" s="138">
        <f>'Expenditures 15-22'!K313</f>
        <v>-4297319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30832936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27829261</v>
      </c>
      <c r="C1630" s="2" t="s">
        <v>573</v>
      </c>
      <c r="D1630" s="2" t="str">
        <f t="shared" si="24"/>
        <v>Error?</v>
      </c>
    </row>
    <row r="1631" spans="1:4" x14ac:dyDescent="0.2">
      <c r="A1631" s="5">
        <v>1570</v>
      </c>
      <c r="B1631" s="138">
        <f>'Acct Summary 7-8'!D79</f>
        <v>2553051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1972898</v>
      </c>
      <c r="C1644" s="2" t="s">
        <v>573</v>
      </c>
      <c r="D1644" s="2" t="str">
        <f t="shared" si="24"/>
        <v>Error?</v>
      </c>
    </row>
    <row r="1645" spans="1:4" x14ac:dyDescent="0.2">
      <c r="A1645" s="5">
        <v>1584</v>
      </c>
      <c r="B1645" s="138">
        <f>'Acct Summary 7-8'!E79</f>
        <v>261084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264053</v>
      </c>
      <c r="C1658" s="2" t="s">
        <v>573</v>
      </c>
      <c r="D1658" s="2" t="str">
        <f t="shared" si="24"/>
        <v>Error?</v>
      </c>
    </row>
    <row r="1659" spans="1:4" x14ac:dyDescent="0.2">
      <c r="A1659" s="5">
        <v>1598</v>
      </c>
      <c r="B1659" s="138">
        <f>'Acct Summary 7-8'!F79</f>
        <v>2523131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1953577</v>
      </c>
      <c r="C1672" s="2" t="s">
        <v>573</v>
      </c>
      <c r="D1672" s="2" t="str">
        <f t="shared" si="25"/>
        <v>Error?</v>
      </c>
    </row>
    <row r="1673" spans="1:4" x14ac:dyDescent="0.2">
      <c r="A1673" s="5">
        <v>1612</v>
      </c>
      <c r="B1673" s="138">
        <f>'Acct Summary 7-8'!G79</f>
        <v>904693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937808</v>
      </c>
      <c r="C1686" s="2" t="s">
        <v>573</v>
      </c>
      <c r="D1686" s="2" t="str">
        <f t="shared" si="25"/>
        <v>Error?</v>
      </c>
    </row>
    <row r="1687" spans="1:4" x14ac:dyDescent="0.2">
      <c r="A1687" s="5">
        <v>1626</v>
      </c>
      <c r="B1687" s="138">
        <f>'Acct Summary 7-8'!H79</f>
        <v>432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203113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14590374</v>
      </c>
      <c r="C1744" s="2" t="s">
        <v>573</v>
      </c>
      <c r="D1744" s="2" t="str">
        <f t="shared" si="26"/>
        <v>Error?</v>
      </c>
    </row>
    <row r="1745" spans="1:5" x14ac:dyDescent="0.2">
      <c r="A1745" s="5">
        <v>1684</v>
      </c>
      <c r="B1745" s="138">
        <f>'Tax Sched 23'!B5</f>
        <v>4075156</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344855</v>
      </c>
      <c r="C1747" s="2" t="s">
        <v>573</v>
      </c>
      <c r="D1747" s="2" t="str">
        <f t="shared" si="26"/>
        <v>Error?</v>
      </c>
    </row>
    <row r="1748" spans="1:5" x14ac:dyDescent="0.2">
      <c r="A1748" s="5">
        <v>1687</v>
      </c>
      <c r="B1748" s="138">
        <f>'Tax Sched 23'!B8</f>
        <v>345501</v>
      </c>
      <c r="C1748" s="2" t="s">
        <v>573</v>
      </c>
      <c r="D1748" s="2" t="str">
        <f t="shared" si="26"/>
        <v>Error?</v>
      </c>
    </row>
    <row r="1749" spans="1:5" x14ac:dyDescent="0.2">
      <c r="A1749" s="5">
        <v>1688</v>
      </c>
      <c r="B1749" s="138">
        <f>'Tax Sched 23'!B10</f>
        <v>352571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20118292</v>
      </c>
      <c r="C1759" s="2" t="s">
        <v>573</v>
      </c>
      <c r="D1759" s="2" t="str">
        <f t="shared" si="26"/>
        <v>Error?</v>
      </c>
    </row>
    <row r="1760" spans="1:5" x14ac:dyDescent="0.2">
      <c r="A1760" s="5">
        <v>1699</v>
      </c>
      <c r="B1760" s="138">
        <f>'Tax Sched 23'!D4</f>
        <v>7126158</v>
      </c>
      <c r="C1760" s="2" t="s">
        <v>573</v>
      </c>
      <c r="D1760" s="2" t="str">
        <f t="shared" si="26"/>
        <v>Error?</v>
      </c>
    </row>
    <row r="1761" spans="1:5" x14ac:dyDescent="0.2">
      <c r="A1761" s="5">
        <v>1700</v>
      </c>
      <c r="B1761" s="138">
        <f>'Tax Sched 23'!D5</f>
        <v>1932202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118521</v>
      </c>
      <c r="C1763" s="2" t="s">
        <v>573</v>
      </c>
      <c r="D1763" s="2" t="str">
        <f t="shared" si="26"/>
        <v>Error?</v>
      </c>
    </row>
    <row r="1764" spans="1:5" x14ac:dyDescent="0.2">
      <c r="A1764" s="5">
        <v>1703</v>
      </c>
      <c r="B1764" s="138">
        <f>'Tax Sched 23'!D8</f>
        <v>164910</v>
      </c>
      <c r="C1764" s="2" t="s">
        <v>573</v>
      </c>
      <c r="D1764" s="2" t="str">
        <f t="shared" si="26"/>
        <v>Error?</v>
      </c>
    </row>
    <row r="1765" spans="1:5" x14ac:dyDescent="0.2">
      <c r="A1765" s="5">
        <v>1704</v>
      </c>
      <c r="B1765" s="138">
        <f>'Tax Sched 23'!D10</f>
        <v>171980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9705853</v>
      </c>
      <c r="C1775" s="2" t="s">
        <v>573</v>
      </c>
      <c r="D1775" s="2" t="str">
        <f t="shared" si="26"/>
        <v>Error?</v>
      </c>
    </row>
    <row r="1776" spans="1:5" x14ac:dyDescent="0.2">
      <c r="A1776" s="5">
        <v>1715</v>
      </c>
      <c r="B1776" s="138">
        <f>'Tax Sched 23'!C4</f>
        <v>7464216</v>
      </c>
      <c r="D1776" s="2" t="str">
        <f t="shared" si="26"/>
        <v>Error?</v>
      </c>
    </row>
    <row r="1777" spans="1:4" x14ac:dyDescent="0.2">
      <c r="A1777" s="5">
        <v>1716</v>
      </c>
      <c r="B1777" s="138">
        <f>'Tax Sched 23'!C5</f>
        <v>2142954</v>
      </c>
      <c r="D1777" s="2" t="str">
        <f t="shared" si="26"/>
        <v>Error?</v>
      </c>
    </row>
    <row r="1778" spans="1:4" x14ac:dyDescent="0.2">
      <c r="A1778" s="5">
        <v>1717</v>
      </c>
      <c r="B1778" s="138">
        <f>'Tax Sched 23'!C6</f>
        <v>0</v>
      </c>
      <c r="D1778" s="2" t="str">
        <f t="shared" si="26"/>
        <v>Error?</v>
      </c>
    </row>
    <row r="1779" spans="1:4" x14ac:dyDescent="0.2">
      <c r="A1779" s="5">
        <v>1718</v>
      </c>
      <c r="B1779" s="138">
        <f>'Tax Sched 23'!C7</f>
        <v>226334</v>
      </c>
      <c r="D1779" s="2" t="str">
        <f t="shared" si="26"/>
        <v>Error?</v>
      </c>
    </row>
    <row r="1780" spans="1:4" x14ac:dyDescent="0.2">
      <c r="A1780" s="5">
        <v>1719</v>
      </c>
      <c r="B1780" s="138">
        <f>'Tax Sched 23'!C8</f>
        <v>180591</v>
      </c>
      <c r="D1780" s="2" t="str">
        <f t="shared" si="26"/>
        <v>Error?</v>
      </c>
    </row>
    <row r="1781" spans="1:4" x14ac:dyDescent="0.2">
      <c r="A1781" s="5">
        <v>1720</v>
      </c>
      <c r="B1781" s="138">
        <f>'Tax Sched 23'!C10</f>
        <v>180591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10412439</v>
      </c>
      <c r="C1791" s="2" t="s">
        <v>573</v>
      </c>
      <c r="D1791" s="2" t="str">
        <f t="shared" ref="D1791:D1854" si="27">IF(ISBLANK(B1791),"OK",IF(A1791-B1791=0,"OK","Error?"))</f>
        <v>Error?</v>
      </c>
    </row>
    <row r="1792" spans="1:4" x14ac:dyDescent="0.2">
      <c r="A1792" s="5">
        <v>1731</v>
      </c>
      <c r="B1792" s="138">
        <f>'Tax Sched 23'!F4</f>
        <v>7723733</v>
      </c>
      <c r="C1792" s="2" t="s">
        <v>573</v>
      </c>
      <c r="D1792" s="2" t="str">
        <f t="shared" si="27"/>
        <v>Error?</v>
      </c>
    </row>
    <row r="1793" spans="1:4" x14ac:dyDescent="0.2">
      <c r="A1793" s="5">
        <v>1732</v>
      </c>
      <c r="B1793" s="138">
        <f>'Tax Sched 23'!F5</f>
        <v>2217461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234203</v>
      </c>
      <c r="C1795" s="2" t="s">
        <v>573</v>
      </c>
      <c r="D1795" s="2" t="str">
        <f t="shared" si="27"/>
        <v>Error?</v>
      </c>
    </row>
    <row r="1796" spans="1:4" x14ac:dyDescent="0.2">
      <c r="A1796" s="5">
        <v>1735</v>
      </c>
      <c r="B1796" s="138">
        <f>'Tax Sched 23'!F8</f>
        <v>186870</v>
      </c>
      <c r="C1796" s="2" t="s">
        <v>573</v>
      </c>
      <c r="D1796" s="2" t="str">
        <f t="shared" si="27"/>
        <v>Error?</v>
      </c>
    </row>
    <row r="1797" spans="1:4" x14ac:dyDescent="0.2">
      <c r="A1797" s="5">
        <v>1736</v>
      </c>
      <c r="B1797" s="138">
        <f>'Tax Sched 23'!F10</f>
        <v>186870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10774459</v>
      </c>
      <c r="C1807" s="2" t="s">
        <v>573</v>
      </c>
      <c r="D1807" s="2" t="str">
        <f t="shared" si="27"/>
        <v>Error?</v>
      </c>
    </row>
    <row r="1808" spans="1:4" x14ac:dyDescent="0.2">
      <c r="A1808" s="5">
        <v>1747</v>
      </c>
      <c r="B1808" s="138">
        <f>'Tax Sched 23'!E4</f>
        <v>15187949</v>
      </c>
      <c r="D1808" s="2" t="str">
        <f t="shared" si="27"/>
        <v>Error?</v>
      </c>
    </row>
    <row r="1809" spans="1:4" x14ac:dyDescent="0.2">
      <c r="A1809" s="5">
        <v>1748</v>
      </c>
      <c r="B1809" s="138">
        <f>'Tax Sched 23'!E5</f>
        <v>4360415</v>
      </c>
      <c r="D1809" s="2" t="str">
        <f t="shared" si="27"/>
        <v>Error?</v>
      </c>
    </row>
    <row r="1810" spans="1:4" x14ac:dyDescent="0.2">
      <c r="A1810" s="5">
        <v>1749</v>
      </c>
      <c r="B1810" s="138">
        <f>'Tax Sched 23'!E6</f>
        <v>0</v>
      </c>
      <c r="D1810" s="2" t="str">
        <f t="shared" si="27"/>
        <v>Error?</v>
      </c>
    </row>
    <row r="1811" spans="1:4" x14ac:dyDescent="0.2">
      <c r="A1811" s="5">
        <v>1750</v>
      </c>
      <c r="B1811" s="138">
        <f>'Tax Sched 23'!E7</f>
        <v>460537</v>
      </c>
      <c r="D1811" s="2" t="str">
        <f t="shared" si="27"/>
        <v>Error?</v>
      </c>
    </row>
    <row r="1812" spans="1:4" x14ac:dyDescent="0.2">
      <c r="A1812" s="5">
        <v>1751</v>
      </c>
      <c r="B1812" s="138">
        <f>'Tax Sched 23'!E8</f>
        <v>367461</v>
      </c>
      <c r="D1812" s="2" t="str">
        <f t="shared" si="27"/>
        <v>Error?</v>
      </c>
    </row>
    <row r="1813" spans="1:4" x14ac:dyDescent="0.2">
      <c r="A1813" s="5">
        <v>1752</v>
      </c>
      <c r="B1813" s="138">
        <f>'Tax Sched 23'!E10</f>
        <v>367461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21186898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4190703</v>
      </c>
      <c r="D2008" s="2" t="str">
        <f t="shared" si="30"/>
        <v>Error?</v>
      </c>
    </row>
    <row r="2009" spans="1:4" x14ac:dyDescent="0.2">
      <c r="A2009" s="5">
        <v>1948</v>
      </c>
      <c r="B2009" s="138">
        <f>'Cap Outlay Deprec 26'!C8</f>
        <v>73646034</v>
      </c>
      <c r="D2009" s="2" t="str">
        <f t="shared" si="30"/>
        <v>Error?</v>
      </c>
    </row>
    <row r="2010" spans="1:4" x14ac:dyDescent="0.2">
      <c r="A2010" s="5">
        <v>1949</v>
      </c>
      <c r="B2010" s="138">
        <f>'Cap Outlay Deprec 26'!C10</f>
        <v>6497234</v>
      </c>
      <c r="D2010" s="2" t="str">
        <f t="shared" si="30"/>
        <v>Error?</v>
      </c>
    </row>
    <row r="2011" spans="1:4" x14ac:dyDescent="0.2">
      <c r="A2011" s="5">
        <v>1950</v>
      </c>
      <c r="B2011" s="138">
        <f>'Cap Outlay Deprec 26'!C12</f>
        <v>8587604</v>
      </c>
      <c r="D2011" s="2" t="str">
        <f t="shared" si="30"/>
        <v>Error?</v>
      </c>
    </row>
    <row r="2012" spans="1:4" x14ac:dyDescent="0.2">
      <c r="A2012" s="5">
        <v>1951</v>
      </c>
      <c r="B2012" s="138">
        <f>'Cap Outlay Deprec 26'!C13</f>
        <v>712646</v>
      </c>
      <c r="D2012" s="2" t="str">
        <f t="shared" si="30"/>
        <v>Error?</v>
      </c>
    </row>
    <row r="2013" spans="1:4" x14ac:dyDescent="0.2">
      <c r="A2013" s="5">
        <v>1952</v>
      </c>
      <c r="B2013" s="138">
        <f>'Cap Outlay Deprec 26'!C16</f>
        <v>93634221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3932021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936291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4868312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4190703</v>
      </c>
      <c r="C2026" s="2" t="s">
        <v>573</v>
      </c>
      <c r="D2026" s="2" t="str">
        <f t="shared" si="30"/>
        <v>Error?</v>
      </c>
    </row>
    <row r="2027" spans="1:4" x14ac:dyDescent="0.2">
      <c r="A2027" s="5">
        <v>1966</v>
      </c>
      <c r="B2027" s="138">
        <f>'Cap Outlay Deprec 26'!F8</f>
        <v>77578055</v>
      </c>
      <c r="C2027" s="2" t="s">
        <v>573</v>
      </c>
      <c r="D2027" s="2" t="str">
        <f t="shared" si="30"/>
        <v>Error?</v>
      </c>
    </row>
    <row r="2028" spans="1:4" x14ac:dyDescent="0.2">
      <c r="A2028" s="5">
        <v>1967</v>
      </c>
      <c r="B2028" s="138">
        <f>'Cap Outlay Deprec 26'!F10</f>
        <v>6497234</v>
      </c>
      <c r="C2028" s="2" t="s">
        <v>573</v>
      </c>
      <c r="D2028" s="2" t="str">
        <f t="shared" si="30"/>
        <v>Error?</v>
      </c>
    </row>
    <row r="2029" spans="1:4" x14ac:dyDescent="0.2">
      <c r="A2029" s="5">
        <v>1968</v>
      </c>
      <c r="B2029" s="138">
        <f>'Cap Outlay Deprec 26'!F12</f>
        <v>9523895</v>
      </c>
      <c r="C2029" s="2" t="s">
        <v>573</v>
      </c>
      <c r="D2029" s="2" t="str">
        <f t="shared" si="30"/>
        <v>Error?</v>
      </c>
    </row>
    <row r="2030" spans="1:4" x14ac:dyDescent="0.2">
      <c r="A2030" s="5">
        <v>1969</v>
      </c>
      <c r="B2030" s="138">
        <f>'Cap Outlay Deprec 26'!F13</f>
        <v>712646</v>
      </c>
      <c r="C2030" s="2" t="s">
        <v>573</v>
      </c>
      <c r="D2030" s="2" t="str">
        <f t="shared" si="30"/>
        <v>Error?</v>
      </c>
    </row>
    <row r="2031" spans="1:4" x14ac:dyDescent="0.2">
      <c r="A2031" s="5">
        <v>1970</v>
      </c>
      <c r="B2031" s="138">
        <f>'Cap Outlay Deprec 26'!F16</f>
        <v>98502533</v>
      </c>
      <c r="C2031" s="2" t="s">
        <v>573</v>
      </c>
      <c r="D2031" s="2" t="str">
        <f t="shared" si="30"/>
        <v>Error?</v>
      </c>
    </row>
    <row r="2032" spans="1:4" x14ac:dyDescent="0.2">
      <c r="A2032" s="10">
        <v>1971</v>
      </c>
      <c r="D2032" s="2" t="str">
        <f t="shared" si="30"/>
        <v>OK</v>
      </c>
    </row>
    <row r="2033" spans="1:4" x14ac:dyDescent="0.2">
      <c r="A2033" s="5">
        <v>1972</v>
      </c>
      <c r="B2033" s="138">
        <f>'Cap Outlay Deprec 26'!H8</f>
        <v>20671696</v>
      </c>
      <c r="D2033" s="2" t="str">
        <f t="shared" si="30"/>
        <v>Error?</v>
      </c>
    </row>
    <row r="2034" spans="1:4" x14ac:dyDescent="0.2">
      <c r="A2034" s="5">
        <v>1973</v>
      </c>
      <c r="B2034" s="138">
        <f>'Cap Outlay Deprec 26'!H10</f>
        <v>2060597</v>
      </c>
      <c r="D2034" s="2" t="str">
        <f t="shared" si="30"/>
        <v>Error?</v>
      </c>
    </row>
    <row r="2035" spans="1:4" x14ac:dyDescent="0.2">
      <c r="A2035" s="5">
        <v>1974</v>
      </c>
      <c r="B2035" s="138">
        <f>'Cap Outlay Deprec 26'!H12</f>
        <v>6160661</v>
      </c>
      <c r="D2035" s="2" t="str">
        <f t="shared" si="30"/>
        <v>Error?</v>
      </c>
    </row>
    <row r="2036" spans="1:4" x14ac:dyDescent="0.2">
      <c r="A2036" s="5">
        <v>1975</v>
      </c>
      <c r="B2036" s="138">
        <f>'Cap Outlay Deprec 26'!H13</f>
        <v>578171</v>
      </c>
      <c r="D2036" s="2" t="str">
        <f t="shared" si="30"/>
        <v>Error?</v>
      </c>
    </row>
    <row r="2037" spans="1:4" x14ac:dyDescent="0.2">
      <c r="A2037" s="5">
        <v>1976</v>
      </c>
      <c r="B2037" s="138">
        <f>'Cap Outlay Deprec 26'!H16</f>
        <v>29471125</v>
      </c>
      <c r="C2037" s="2" t="s">
        <v>573</v>
      </c>
      <c r="D2037" s="2" t="str">
        <f t="shared" si="30"/>
        <v>Error?</v>
      </c>
    </row>
    <row r="2038" spans="1:4" x14ac:dyDescent="0.2">
      <c r="A2038" s="10">
        <v>1977</v>
      </c>
      <c r="D2038" s="2" t="str">
        <f t="shared" si="30"/>
        <v>OK</v>
      </c>
    </row>
    <row r="2039" spans="1:4" x14ac:dyDescent="0.2">
      <c r="A2039" s="5">
        <v>1978</v>
      </c>
      <c r="B2039" s="138">
        <f>'Cap Outlay Deprec 26'!I8</f>
        <v>1521473</v>
      </c>
      <c r="D2039" s="2" t="str">
        <f t="shared" si="30"/>
        <v>Error?</v>
      </c>
    </row>
    <row r="2040" spans="1:4" x14ac:dyDescent="0.2">
      <c r="A2040" s="5">
        <v>1979</v>
      </c>
      <c r="B2040" s="138">
        <f>'Cap Outlay Deprec 26'!I10</f>
        <v>308336</v>
      </c>
      <c r="D2040" s="2" t="str">
        <f t="shared" si="30"/>
        <v>Error?</v>
      </c>
    </row>
    <row r="2041" spans="1:4" x14ac:dyDescent="0.2">
      <c r="A2041" s="5">
        <v>1980</v>
      </c>
      <c r="B2041" s="138">
        <f>'Cap Outlay Deprec 26'!I12</f>
        <v>514786</v>
      </c>
      <c r="D2041" s="2" t="str">
        <f t="shared" si="30"/>
        <v>Error?</v>
      </c>
    </row>
    <row r="2042" spans="1:4" x14ac:dyDescent="0.2">
      <c r="A2042" s="5">
        <v>1981</v>
      </c>
      <c r="B2042" s="138">
        <f>'Cap Outlay Deprec 26'!I13</f>
        <v>6069</v>
      </c>
      <c r="D2042" s="2" t="str">
        <f t="shared" si="30"/>
        <v>Error?</v>
      </c>
    </row>
    <row r="2043" spans="1:4" x14ac:dyDescent="0.2">
      <c r="A2043" s="5">
        <v>1982</v>
      </c>
      <c r="B2043" s="138">
        <f>'Cap Outlay Deprec 26'!I16</f>
        <v>2350664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22193169</v>
      </c>
      <c r="C2051" s="2" t="s">
        <v>573</v>
      </c>
      <c r="D2051" s="2" t="str">
        <f t="shared" si="31"/>
        <v>Error?</v>
      </c>
    </row>
    <row r="2052" spans="1:4" x14ac:dyDescent="0.2">
      <c r="A2052" s="5">
        <v>1991</v>
      </c>
      <c r="B2052" s="138">
        <f>'Cap Outlay Deprec 26'!K10</f>
        <v>2368933</v>
      </c>
      <c r="C2052" s="2" t="s">
        <v>573</v>
      </c>
      <c r="D2052" s="2" t="str">
        <f t="shared" si="31"/>
        <v>Error?</v>
      </c>
    </row>
    <row r="2053" spans="1:4" x14ac:dyDescent="0.2">
      <c r="A2053" s="5">
        <v>1992</v>
      </c>
      <c r="B2053" s="138">
        <f>'Cap Outlay Deprec 26'!K12</f>
        <v>6675447</v>
      </c>
      <c r="C2053" s="2" t="s">
        <v>573</v>
      </c>
      <c r="D2053" s="2" t="str">
        <f t="shared" si="31"/>
        <v>Error?</v>
      </c>
    </row>
    <row r="2054" spans="1:4" x14ac:dyDescent="0.2">
      <c r="A2054" s="5">
        <v>1993</v>
      </c>
      <c r="B2054" s="138">
        <f>'Cap Outlay Deprec 26'!K13</f>
        <v>584240</v>
      </c>
      <c r="C2054" s="2" t="s">
        <v>573</v>
      </c>
      <c r="D2054" s="2" t="str">
        <f t="shared" si="31"/>
        <v>Error?</v>
      </c>
    </row>
    <row r="2055" spans="1:4" x14ac:dyDescent="0.2">
      <c r="A2055" s="5">
        <v>1994</v>
      </c>
      <c r="B2055" s="138">
        <f>'Cap Outlay Deprec 26'!K16</f>
        <v>31821789</v>
      </c>
      <c r="C2055" s="2" t="s">
        <v>573</v>
      </c>
      <c r="D2055" s="2" t="str">
        <f t="shared" si="31"/>
        <v>Error?</v>
      </c>
    </row>
    <row r="2056" spans="1:4" x14ac:dyDescent="0.2">
      <c r="A2056" s="5">
        <v>1995</v>
      </c>
      <c r="B2056" s="138">
        <f>'Cap Outlay Deprec 26'!L5</f>
        <v>4190703</v>
      </c>
      <c r="C2056" s="2" t="s">
        <v>573</v>
      </c>
      <c r="D2056" s="2" t="str">
        <f t="shared" si="31"/>
        <v>Error?</v>
      </c>
    </row>
    <row r="2057" spans="1:4" x14ac:dyDescent="0.2">
      <c r="A2057" s="5">
        <v>1996</v>
      </c>
      <c r="B2057" s="138">
        <f>'Cap Outlay Deprec 26'!L8</f>
        <v>55384886</v>
      </c>
      <c r="C2057" s="2" t="s">
        <v>573</v>
      </c>
      <c r="D2057" s="2" t="str">
        <f t="shared" si="31"/>
        <v>Error?</v>
      </c>
    </row>
    <row r="2058" spans="1:4" x14ac:dyDescent="0.2">
      <c r="A2058" s="5">
        <v>1997</v>
      </c>
      <c r="B2058" s="138">
        <f>'Cap Outlay Deprec 26'!L10</f>
        <v>4128301</v>
      </c>
      <c r="C2058" s="2" t="s">
        <v>573</v>
      </c>
      <c r="D2058" s="2" t="str">
        <f t="shared" si="31"/>
        <v>Error?</v>
      </c>
    </row>
    <row r="2059" spans="1:4" x14ac:dyDescent="0.2">
      <c r="A2059" s="5">
        <v>1998</v>
      </c>
      <c r="B2059" s="138">
        <f>'Cap Outlay Deprec 26'!L12</f>
        <v>2848448</v>
      </c>
      <c r="C2059" s="2" t="s">
        <v>573</v>
      </c>
      <c r="D2059" s="2" t="str">
        <f t="shared" si="31"/>
        <v>Error?</v>
      </c>
    </row>
    <row r="2060" spans="1:4" x14ac:dyDescent="0.2">
      <c r="A2060" s="5">
        <v>1999</v>
      </c>
      <c r="B2060" s="138">
        <f>'Cap Outlay Deprec 26'!L13</f>
        <v>128406</v>
      </c>
      <c r="C2060" s="2" t="s">
        <v>573</v>
      </c>
      <c r="D2060" s="2" t="str">
        <f t="shared" si="31"/>
        <v>Error?</v>
      </c>
    </row>
    <row r="2061" spans="1:4" x14ac:dyDescent="0.2">
      <c r="A2061" s="5">
        <v>2000</v>
      </c>
      <c r="B2061" s="138">
        <f>'Cap Outlay Deprec 26'!L16</f>
        <v>66680744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2444612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2492271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90224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16344504</v>
      </c>
      <c r="C2551" s="2" t="s">
        <v>573</v>
      </c>
      <c r="D2551" s="2" t="str">
        <f t="shared" si="38"/>
        <v>Error?</v>
      </c>
    </row>
    <row r="2552" spans="1:4" x14ac:dyDescent="0.2">
      <c r="A2552" s="10">
        <v>2491</v>
      </c>
      <c r="D2552" s="2" t="str">
        <f t="shared" si="38"/>
        <v>OK</v>
      </c>
    </row>
    <row r="2553" spans="1:4" x14ac:dyDescent="0.2">
      <c r="A2553" s="5">
        <v>2492</v>
      </c>
      <c r="B2553" s="138">
        <f>'Acct Summary 7-8'!C6</f>
        <v>3392407</v>
      </c>
      <c r="C2553" s="2" t="s">
        <v>573</v>
      </c>
      <c r="D2553" s="2" t="str">
        <f t="shared" si="38"/>
        <v>Error?</v>
      </c>
    </row>
    <row r="2554" spans="1:4" x14ac:dyDescent="0.2">
      <c r="A2554" s="5">
        <v>2493</v>
      </c>
      <c r="B2554" s="138">
        <f>'Acct Summary 7-8'!C7</f>
        <v>1076146</v>
      </c>
      <c r="C2554" s="2" t="s">
        <v>573</v>
      </c>
      <c r="D2554" s="2" t="str">
        <f t="shared" si="38"/>
        <v>Error?</v>
      </c>
    </row>
    <row r="2555" spans="1:4" x14ac:dyDescent="0.2">
      <c r="A2555" s="5">
        <v>2494</v>
      </c>
      <c r="B2555" s="138">
        <f>'Acct Summary 7-8'!C8</f>
        <v>20813057</v>
      </c>
      <c r="C2555" s="2" t="s">
        <v>573</v>
      </c>
      <c r="D2555" s="2" t="str">
        <f t="shared" si="38"/>
        <v>Error?</v>
      </c>
    </row>
    <row r="2556" spans="1:4" x14ac:dyDescent="0.2">
      <c r="A2556" s="5">
        <v>2495</v>
      </c>
      <c r="B2556" s="138">
        <f>'Acct Summary 7-8'!C12</f>
        <v>12536752</v>
      </c>
      <c r="C2556" s="2" t="s">
        <v>573</v>
      </c>
      <c r="D2556" s="2" t="str">
        <f t="shared" si="38"/>
        <v>Error?</v>
      </c>
    </row>
    <row r="2557" spans="1:4" x14ac:dyDescent="0.2">
      <c r="A2557" s="5">
        <v>2496</v>
      </c>
      <c r="B2557" s="138">
        <f>'Acct Summary 7-8'!C13</f>
        <v>7209526</v>
      </c>
      <c r="C2557" s="2" t="s">
        <v>573</v>
      </c>
      <c r="D2557" s="2" t="str">
        <f t="shared" si="38"/>
        <v>Error?</v>
      </c>
    </row>
    <row r="2558" spans="1:4" x14ac:dyDescent="0.2">
      <c r="A2558" s="5">
        <v>2497</v>
      </c>
      <c r="B2558" s="138">
        <f>'Acct Summary 7-8'!C14</f>
        <v>78183</v>
      </c>
      <c r="C2558" s="2" t="s">
        <v>573</v>
      </c>
      <c r="D2558" s="2" t="str">
        <f t="shared" si="38"/>
        <v>Error?</v>
      </c>
    </row>
    <row r="2559" spans="1:4" x14ac:dyDescent="0.2">
      <c r="A2559" s="5">
        <v>2498</v>
      </c>
      <c r="B2559" s="138">
        <f>'Acct Summary 7-8'!C15</f>
        <v>2492271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22316732</v>
      </c>
      <c r="C2561" s="2" t="s">
        <v>573</v>
      </c>
      <c r="D2561" s="2" t="str">
        <f t="shared" si="39"/>
        <v>Error?</v>
      </c>
    </row>
    <row r="2562" spans="1:4" x14ac:dyDescent="0.2">
      <c r="A2562" s="5">
        <v>2501</v>
      </c>
      <c r="B2562" s="138">
        <f>'Acct Summary 7-8'!C20</f>
        <v>-1503675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4258343</v>
      </c>
      <c r="C2564" s="2" t="s">
        <v>573</v>
      </c>
      <c r="D2564" s="2" t="str">
        <f t="shared" si="39"/>
        <v>Error?</v>
      </c>
    </row>
    <row r="2565" spans="1:4" x14ac:dyDescent="0.2">
      <c r="A2565" s="10">
        <v>2504</v>
      </c>
      <c r="D2565" s="2" t="str">
        <f t="shared" si="39"/>
        <v>OK</v>
      </c>
    </row>
    <row r="2566" spans="1:4" x14ac:dyDescent="0.2">
      <c r="A2566" s="5">
        <v>2505</v>
      </c>
      <c r="B2566" s="138">
        <f>'Acct Summary 7-8'!D6</f>
        <v>1400000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5658343</v>
      </c>
      <c r="C2568" s="2" t="s">
        <v>573</v>
      </c>
      <c r="D2568" s="2" t="str">
        <f t="shared" si="39"/>
        <v>Error?</v>
      </c>
    </row>
    <row r="2569" spans="1:4" x14ac:dyDescent="0.2">
      <c r="A2569" s="5">
        <v>2508</v>
      </c>
      <c r="B2569" s="138">
        <f>'Acct Summary 7-8'!D13</f>
        <v>3148272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90224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3238496</v>
      </c>
      <c r="C2573" s="2" t="s">
        <v>573</v>
      </c>
      <c r="D2573" s="2" t="str">
        <f t="shared" si="39"/>
        <v>Error?</v>
      </c>
    </row>
    <row r="2574" spans="1:4" x14ac:dyDescent="0.2">
      <c r="A2574" s="5">
        <v>2513</v>
      </c>
      <c r="B2574" s="138">
        <f>'Acct Summary 7-8'!D20</f>
        <v>2419847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372024</v>
      </c>
      <c r="C2591" s="2" t="s">
        <v>573</v>
      </c>
      <c r="D2591" s="2" t="str">
        <f t="shared" si="39"/>
        <v>Error?</v>
      </c>
    </row>
    <row r="2592" spans="1:4" x14ac:dyDescent="0.2">
      <c r="A2592" s="10">
        <v>2531</v>
      </c>
      <c r="D2592" s="2" t="str">
        <f t="shared" si="39"/>
        <v>OK</v>
      </c>
    </row>
    <row r="2593" spans="1:4" x14ac:dyDescent="0.2">
      <c r="A2593" s="5">
        <v>2532</v>
      </c>
      <c r="B2593" s="138">
        <f>'Acct Summary 7-8'!F6</f>
        <v>1201972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1573996</v>
      </c>
      <c r="C2595" s="2" t="s">
        <v>573</v>
      </c>
      <c r="D2595" s="2" t="str">
        <f t="shared" si="39"/>
        <v>Error?</v>
      </c>
    </row>
    <row r="2596" spans="1:4" x14ac:dyDescent="0.2">
      <c r="A2596" s="5">
        <v>2535</v>
      </c>
      <c r="B2596" s="138">
        <f>'Acct Summary 7-8'!F13</f>
        <v>2143550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2143550</v>
      </c>
      <c r="C2600" s="2" t="s">
        <v>573</v>
      </c>
      <c r="D2600" s="2" t="str">
        <f t="shared" si="39"/>
        <v>Error?</v>
      </c>
    </row>
    <row r="2601" spans="1:4" x14ac:dyDescent="0.2">
      <c r="A2601" s="5">
        <v>2540</v>
      </c>
      <c r="B2601" s="138">
        <f>'Acct Summary 7-8'!F20</f>
        <v>-569554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800342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800342</v>
      </c>
      <c r="C2606" s="2" t="s">
        <v>573</v>
      </c>
      <c r="D2606" s="2" t="str">
        <f t="shared" si="39"/>
        <v>Error?</v>
      </c>
    </row>
    <row r="2607" spans="1:4" x14ac:dyDescent="0.2">
      <c r="A2607" s="5">
        <v>2546</v>
      </c>
      <c r="B2607" s="138">
        <f>'Acct Summary 7-8'!G12</f>
        <v>220793</v>
      </c>
      <c r="C2607" s="2" t="s">
        <v>573</v>
      </c>
      <c r="D2607" s="2" t="str">
        <f t="shared" si="39"/>
        <v>Error?</v>
      </c>
    </row>
    <row r="2608" spans="1:4" x14ac:dyDescent="0.2">
      <c r="A2608" s="5">
        <v>2547</v>
      </c>
      <c r="B2608" s="138">
        <f>'Acct Summary 7-8'!G13</f>
        <v>488783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767227</v>
      </c>
      <c r="C2612" s="2" t="s">
        <v>573</v>
      </c>
      <c r="D2612" s="2" t="str">
        <f t="shared" si="39"/>
        <v>Error?</v>
      </c>
    </row>
    <row r="2613" spans="1:4" x14ac:dyDescent="0.2">
      <c r="A2613" s="5">
        <v>2552</v>
      </c>
      <c r="B2613" s="138">
        <f>'Acct Summary 7-8'!G20</f>
        <v>33115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2969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2969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4297319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4297319</v>
      </c>
      <c r="C2661" s="2" t="s">
        <v>573</v>
      </c>
      <c r="D2661" s="2" t="str">
        <f t="shared" si="40"/>
        <v>Error?</v>
      </c>
    </row>
    <row r="2662" spans="1:4" x14ac:dyDescent="0.2">
      <c r="A2662" s="5">
        <v>2601</v>
      </c>
      <c r="B2662" s="138">
        <f>'Acct Summary 7-8'!H20</f>
        <v>-4297319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47659</v>
      </c>
      <c r="C2789" s="2" t="s">
        <v>573</v>
      </c>
      <c r="D2789" s="2" t="str">
        <f t="shared" si="42"/>
        <v>Error?</v>
      </c>
    </row>
    <row r="2790" spans="1:4" x14ac:dyDescent="0.2">
      <c r="A2790" s="5">
        <v>2729</v>
      </c>
      <c r="B2790" s="138">
        <f>'Expenditures 15-22'!E102</f>
        <v>47659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3545376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394172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3545376</v>
      </c>
      <c r="D2912" s="2" t="str">
        <f t="shared" si="44"/>
        <v>Error?</v>
      </c>
    </row>
    <row r="2913" spans="1:4" x14ac:dyDescent="0.2">
      <c r="A2913" s="5">
        <v>2852</v>
      </c>
      <c r="B2913" s="138">
        <f>'Assets-Liab 5-6'!I41</f>
        <v>3545376</v>
      </c>
      <c r="C2913" s="2" t="s">
        <v>573</v>
      </c>
      <c r="D2913" s="2" t="str">
        <f t="shared" si="44"/>
        <v>Error?</v>
      </c>
    </row>
    <row r="2914" spans="1:4" x14ac:dyDescent="0.2">
      <c r="A2914" s="5">
        <v>2853</v>
      </c>
      <c r="B2914" s="138">
        <f>'Assets-Liab 5-6'!L33</f>
        <v>394172</v>
      </c>
      <c r="D2914" s="2" t="str">
        <f t="shared" si="44"/>
        <v>Error?</v>
      </c>
    </row>
    <row r="2915" spans="1:4" x14ac:dyDescent="0.2">
      <c r="A2915" s="10">
        <v>2854</v>
      </c>
      <c r="D2915" s="2" t="str">
        <f t="shared" si="44"/>
        <v>OK</v>
      </c>
    </row>
    <row r="2916" spans="1:4" x14ac:dyDescent="0.2">
      <c r="A2916" s="5">
        <v>2855</v>
      </c>
      <c r="B2916" s="138">
        <f>'Assets-Liab 5-6'!L34</f>
        <v>394172</v>
      </c>
      <c r="C2916" s="2" t="s">
        <v>573</v>
      </c>
      <c r="D2916" s="2" t="str">
        <f t="shared" si="44"/>
        <v>Error?</v>
      </c>
    </row>
    <row r="2917" spans="1:4" x14ac:dyDescent="0.2">
      <c r="A2917" s="5">
        <v>2856</v>
      </c>
      <c r="B2917" s="138">
        <f>'Assets-Liab 5-6'!L41</f>
        <v>394172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47659</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3567</v>
      </c>
      <c r="D2955" s="2" t="str">
        <f t="shared" si="45"/>
        <v>Error?</v>
      </c>
    </row>
    <row r="2956" spans="1:4" x14ac:dyDescent="0.2">
      <c r="A2956" s="5">
        <v>2895</v>
      </c>
      <c r="B2956" s="138">
        <f>'Expenditures 15-22'!H79</f>
        <v>2092504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348541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51226</v>
      </c>
      <c r="C2973" s="2" t="s">
        <v>573</v>
      </c>
      <c r="D2973" s="2" t="str">
        <f t="shared" si="45"/>
        <v>Error?</v>
      </c>
    </row>
    <row r="2974" spans="1:4" x14ac:dyDescent="0.2">
      <c r="A2974" s="5">
        <v>2913</v>
      </c>
      <c r="B2974" s="138">
        <f>'Expenditures 15-22'!K79</f>
        <v>2092504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348541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77659</v>
      </c>
      <c r="C2986" s="2" t="s">
        <v>573</v>
      </c>
      <c r="D2986" s="2" t="str">
        <f t="shared" si="45"/>
        <v>Error?</v>
      </c>
    </row>
    <row r="2987" spans="1:4" x14ac:dyDescent="0.2">
      <c r="A2987" s="5">
        <v>2926</v>
      </c>
      <c r="B2987" s="138">
        <f>'Expenditures 15-22'!K135</f>
        <v>12565</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409967</v>
      </c>
      <c r="C3225" s="2" t="s">
        <v>573</v>
      </c>
      <c r="D3225" s="2" t="str">
        <f t="shared" si="49"/>
        <v>Error?</v>
      </c>
    </row>
    <row r="3226" spans="1:4" x14ac:dyDescent="0.2">
      <c r="A3226" s="5">
        <v>3165</v>
      </c>
      <c r="B3226" s="138">
        <f>'Acct Summary 7-8'!I8</f>
        <v>409967</v>
      </c>
      <c r="C3226" s="2" t="s">
        <v>573</v>
      </c>
      <c r="D3226" s="2" t="str">
        <f t="shared" si="49"/>
        <v>Error?</v>
      </c>
    </row>
    <row r="3227" spans="1:4" x14ac:dyDescent="0.2">
      <c r="A3227" s="5">
        <v>3166</v>
      </c>
      <c r="B3227" s="138">
        <f>'Acct Summary 7-8'!I20</f>
        <v>409967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1500000</v>
      </c>
      <c r="C3231" s="2" t="s">
        <v>573</v>
      </c>
      <c r="D3231" s="2" t="str">
        <f t="shared" si="49"/>
        <v>Error?</v>
      </c>
    </row>
    <row r="3232" spans="1:4" x14ac:dyDescent="0.2">
      <c r="A3232" s="5">
        <v>3171</v>
      </c>
      <c r="B3232" s="138">
        <f>'Acct Summary 7-8'!C77</f>
        <v>-1500000</v>
      </c>
      <c r="C3232" s="2" t="s">
        <v>573</v>
      </c>
      <c r="D3232" s="2" t="str">
        <f t="shared" si="49"/>
        <v>Error?</v>
      </c>
    </row>
    <row r="3233" spans="1:4" x14ac:dyDescent="0.2">
      <c r="A3233" s="5">
        <v>3172</v>
      </c>
      <c r="B3233" s="138">
        <f>'Acct Summary 7-8'!C78</f>
        <v>-3003675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4500000</v>
      </c>
      <c r="C3237" s="2" t="s">
        <v>573</v>
      </c>
      <c r="D3237" s="2" t="str">
        <f t="shared" si="49"/>
        <v>Error?</v>
      </c>
    </row>
    <row r="3238" spans="1:4" x14ac:dyDescent="0.2">
      <c r="A3238" s="5">
        <v>3177</v>
      </c>
      <c r="B3238" s="138">
        <f>'Acct Summary 7-8'!D77</f>
        <v>-3000000</v>
      </c>
      <c r="C3238" s="2" t="s">
        <v>573</v>
      </c>
      <c r="D3238" s="2" t="str">
        <f t="shared" si="49"/>
        <v>Error?</v>
      </c>
    </row>
    <row r="3239" spans="1:4" x14ac:dyDescent="0.2">
      <c r="A3239" s="5">
        <v>3178</v>
      </c>
      <c r="B3239" s="138">
        <f>'Acct Summary 7-8'!D78</f>
        <v>-580153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-569554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33115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2969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4500000</v>
      </c>
      <c r="C3299" s="2" t="s">
        <v>573</v>
      </c>
      <c r="D3299" s="2" t="str">
        <f t="shared" si="50"/>
        <v>Error?</v>
      </c>
    </row>
    <row r="3300" spans="1:4" x14ac:dyDescent="0.2">
      <c r="A3300" s="5">
        <v>3239</v>
      </c>
      <c r="B3300" s="138">
        <f>'Acct Summary 7-8'!H78</f>
        <v>202681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409967</v>
      </c>
      <c r="C3320" s="2" t="s">
        <v>573</v>
      </c>
      <c r="D3320" s="2" t="str">
        <f t="shared" si="50"/>
        <v>Error?</v>
      </c>
    </row>
    <row r="3321" spans="1:4" x14ac:dyDescent="0.2">
      <c r="A3321" s="5">
        <v>3260</v>
      </c>
      <c r="B3321" s="138">
        <f>'Acct Summary 7-8'!I79</f>
        <v>3135409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3545376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1088729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179059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1072599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410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2345214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112615</v>
      </c>
      <c r="D3387" s="2" t="str">
        <f t="shared" si="51"/>
        <v>Error?</v>
      </c>
    </row>
    <row r="3388" spans="1:4" x14ac:dyDescent="0.2">
      <c r="A3388" s="5">
        <v>3327</v>
      </c>
      <c r="B3388" s="138">
        <f>'Expenditures 15-22'!D217</f>
        <v>50375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112615</v>
      </c>
      <c r="C3390" s="2" t="s">
        <v>573</v>
      </c>
      <c r="D3390" s="2" t="str">
        <f t="shared" si="51"/>
        <v>Error?</v>
      </c>
    </row>
    <row r="3391" spans="1:4" x14ac:dyDescent="0.2">
      <c r="A3391" s="5">
        <v>3330</v>
      </c>
      <c r="B3391" s="138">
        <f>'Expenditures 15-22'!K217</f>
        <v>50375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27829261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1972898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264053</v>
      </c>
      <c r="D3417" s="2" t="str">
        <f t="shared" si="52"/>
        <v>Error?</v>
      </c>
    </row>
    <row r="3418" spans="1:4" x14ac:dyDescent="0.2">
      <c r="A3418" s="10">
        <v>3357</v>
      </c>
      <c r="D3418" s="2" t="str">
        <f t="shared" si="52"/>
        <v>OK</v>
      </c>
    </row>
    <row r="3419" spans="1:4" x14ac:dyDescent="0.2">
      <c r="A3419" s="5">
        <v>3358</v>
      </c>
      <c r="B3419" s="138">
        <f>'Assets-Liab 5-6'!F4</f>
        <v>1953577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937808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203113</v>
      </c>
      <c r="D3425" s="2" t="str">
        <f t="shared" si="52"/>
        <v>Error?</v>
      </c>
    </row>
    <row r="3426" spans="1:4" x14ac:dyDescent="0.2">
      <c r="A3426" s="10">
        <v>3365</v>
      </c>
      <c r="D3426" s="2" t="str">
        <f t="shared" si="52"/>
        <v>OK</v>
      </c>
    </row>
    <row r="3427" spans="1:4" x14ac:dyDescent="0.2">
      <c r="A3427" s="5">
        <v>3366</v>
      </c>
      <c r="B3427" s="138">
        <f>'Assets-Liab 5-6'!I4</f>
        <v>3545376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394172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357539</v>
      </c>
      <c r="C3446" s="2" t="s">
        <v>573</v>
      </c>
      <c r="D3446" s="2" t="str">
        <f t="shared" si="52"/>
        <v>Error?</v>
      </c>
    </row>
    <row r="3447" spans="1:4" x14ac:dyDescent="0.2">
      <c r="A3447" s="5">
        <v>3386</v>
      </c>
      <c r="B3447" s="138">
        <f>'Tax Sched 23'!D16</f>
        <v>164910</v>
      </c>
      <c r="C3447" s="2" t="s">
        <v>573</v>
      </c>
      <c r="D3447" s="2" t="str">
        <f t="shared" si="52"/>
        <v>Error?</v>
      </c>
    </row>
    <row r="3448" spans="1:4" x14ac:dyDescent="0.2">
      <c r="A3448" s="5">
        <v>3387</v>
      </c>
      <c r="B3448" s="138">
        <f>'Tax Sched 23'!C16</f>
        <v>192629</v>
      </c>
      <c r="D3448" s="2" t="str">
        <f t="shared" si="52"/>
        <v>Error?</v>
      </c>
    </row>
    <row r="3449" spans="1:4" x14ac:dyDescent="0.2">
      <c r="A3449" s="5">
        <v>3388</v>
      </c>
      <c r="B3449" s="138">
        <f>'Tax Sched 23'!F16</f>
        <v>199325</v>
      </c>
      <c r="C3449" s="2" t="s">
        <v>573</v>
      </c>
      <c r="D3449" s="2" t="str">
        <f t="shared" si="52"/>
        <v>Error?</v>
      </c>
    </row>
    <row r="3450" spans="1:4" x14ac:dyDescent="0.2">
      <c r="A3450" s="5">
        <v>3389</v>
      </c>
      <c r="B3450" s="138">
        <f>'Tax Sched 23'!E16</f>
        <v>391954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57651</v>
      </c>
      <c r="D3721" s="2" t="str">
        <f t="shared" si="57"/>
        <v>Error?</v>
      </c>
    </row>
    <row r="3722" spans="1:4" x14ac:dyDescent="0.2">
      <c r="A3722" s="5">
        <v>3661</v>
      </c>
      <c r="B3722" s="138">
        <f>'Expenditures 15-22'!D285</f>
        <v>57651</v>
      </c>
      <c r="C3722" s="2" t="s">
        <v>573</v>
      </c>
      <c r="D3722" s="2" t="str">
        <f t="shared" si="57"/>
        <v>Error?</v>
      </c>
    </row>
    <row r="3723" spans="1:4" x14ac:dyDescent="0.2">
      <c r="A3723" s="5">
        <v>3662</v>
      </c>
      <c r="B3723" s="138">
        <f>'Expenditures 15-22'!K283</f>
        <v>57651</v>
      </c>
      <c r="C3723" s="2" t="s">
        <v>573</v>
      </c>
      <c r="D3723" s="2" t="str">
        <f t="shared" si="57"/>
        <v>Error?</v>
      </c>
    </row>
    <row r="3724" spans="1:4" x14ac:dyDescent="0.2">
      <c r="A3724" s="5">
        <v>3663</v>
      </c>
      <c r="B3724" s="138">
        <f>'Expenditures 15-22'!K285</f>
        <v>57651</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368976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52296</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27172</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25124</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25997</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51121</v>
      </c>
      <c r="D4111" s="2" t="str">
        <f t="shared" si="63"/>
        <v>Error?</v>
      </c>
    </row>
    <row r="4112" spans="1:4" x14ac:dyDescent="0.2">
      <c r="A4112" s="10">
        <v>4051</v>
      </c>
      <c r="D4112" s="2" t="str">
        <f t="shared" si="63"/>
        <v>OK</v>
      </c>
    </row>
    <row r="4113" spans="1:4" x14ac:dyDescent="0.2">
      <c r="A4113" s="5">
        <v>4052</v>
      </c>
      <c r="B4113" s="138">
        <f>'Acct Summary 7-8'!C9</f>
        <v>8575638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29388695</v>
      </c>
      <c r="C4122" s="2" t="s">
        <v>573</v>
      </c>
      <c r="D4122" s="2" t="str">
        <f t="shared" si="63"/>
        <v>Error?</v>
      </c>
    </row>
    <row r="4123" spans="1:4" x14ac:dyDescent="0.2">
      <c r="A4123" s="5">
        <v>4062</v>
      </c>
      <c r="B4123" s="138">
        <f>'Acct Summary 7-8'!D10</f>
        <v>5658343</v>
      </c>
      <c r="C4123" s="2" t="s">
        <v>573</v>
      </c>
      <c r="D4123" s="2" t="str">
        <f t="shared" si="63"/>
        <v>Error?</v>
      </c>
    </row>
    <row r="4124" spans="1:4" x14ac:dyDescent="0.2">
      <c r="A4124" s="5">
        <v>4063</v>
      </c>
      <c r="B4124" s="138">
        <f>'Acct Summary 7-8'!E10</f>
        <v>2969</v>
      </c>
      <c r="C4124" s="2" t="s">
        <v>573</v>
      </c>
      <c r="D4124" s="2" t="str">
        <f t="shared" si="63"/>
        <v>Error?</v>
      </c>
    </row>
    <row r="4125" spans="1:4" x14ac:dyDescent="0.2">
      <c r="A4125" s="5">
        <v>4064</v>
      </c>
      <c r="B4125" s="138">
        <f>'Acct Summary 7-8'!F10</f>
        <v>1573996</v>
      </c>
      <c r="C4125" s="2" t="s">
        <v>573</v>
      </c>
      <c r="D4125" s="2" t="str">
        <f t="shared" si="63"/>
        <v>Error?</v>
      </c>
    </row>
    <row r="4126" spans="1:4" x14ac:dyDescent="0.2">
      <c r="A4126" s="5">
        <v>4065</v>
      </c>
      <c r="B4126" s="138">
        <f>'Acct Summary 7-8'!G10</f>
        <v>800342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409967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8575638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30892370</v>
      </c>
      <c r="C4136" s="2" t="s">
        <v>573</v>
      </c>
      <c r="D4136" s="2" t="str">
        <f t="shared" si="63"/>
        <v>Error?</v>
      </c>
    </row>
    <row r="4137" spans="1:4" x14ac:dyDescent="0.2">
      <c r="A4137" s="5">
        <v>4076</v>
      </c>
      <c r="B4137" s="138">
        <f>'Acct Summary 7-8'!D19</f>
        <v>3238496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2143550</v>
      </c>
      <c r="C4139" s="2" t="s">
        <v>573</v>
      </c>
      <c r="D4139" s="2" t="str">
        <f t="shared" si="63"/>
        <v>Error?</v>
      </c>
    </row>
    <row r="4140" spans="1:4" x14ac:dyDescent="0.2">
      <c r="A4140" s="5">
        <v>4079</v>
      </c>
      <c r="B4140" s="138">
        <f>'Acct Summary 7-8'!G19</f>
        <v>767227</v>
      </c>
      <c r="C4140" s="2" t="s">
        <v>573</v>
      </c>
      <c r="D4140" s="2" t="str">
        <f t="shared" si="63"/>
        <v>Error?</v>
      </c>
    </row>
    <row r="4141" spans="1:4" x14ac:dyDescent="0.2">
      <c r="A4141" s="5">
        <v>4080</v>
      </c>
      <c r="B4141" s="138">
        <f>'Acct Summary 7-8'!H19</f>
        <v>4297319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-264053</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77659</v>
      </c>
      <c r="D4199" s="2" t="str">
        <f t="shared" si="64"/>
        <v>Error?</v>
      </c>
    </row>
    <row r="4200" spans="1:4" x14ac:dyDescent="0.2">
      <c r="A4200" s="5">
        <v>4139</v>
      </c>
      <c r="B4200" s="138">
        <f>'Expenditures 15-22'!E135</f>
        <v>12565</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90224</v>
      </c>
      <c r="C4202" s="2" t="s">
        <v>573</v>
      </c>
      <c r="D4202" s="2" t="str">
        <f t="shared" si="64"/>
        <v>Error?</v>
      </c>
    </row>
    <row r="4203" spans="1:4" x14ac:dyDescent="0.2">
      <c r="A4203" s="5">
        <v>4142</v>
      </c>
      <c r="B4203" s="138">
        <f>'Expenditures 15-22'!E139</f>
        <v>90224</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1743.059</v>
      </c>
      <c r="C4265" s="2" t="s">
        <v>573</v>
      </c>
      <c r="D4265" s="2" t="str">
        <f t="shared" si="65"/>
        <v>Error?</v>
      </c>
      <c r="E4265" s="128"/>
    </row>
    <row r="4266" spans="1:5" x14ac:dyDescent="0.2">
      <c r="A4266" s="12">
        <v>4205</v>
      </c>
      <c r="B4266" s="138">
        <f>('FP Info 3'!F10)*100000</f>
        <v>500.42699999999996</v>
      </c>
      <c r="C4266" s="2" t="s">
        <v>573</v>
      </c>
      <c r="D4266" s="2" t="str">
        <f t="shared" si="65"/>
        <v>Error?</v>
      </c>
      <c r="E4266" s="128"/>
    </row>
    <row r="4267" spans="1:5" x14ac:dyDescent="0.2">
      <c r="A4267" s="12">
        <v>4206</v>
      </c>
      <c r="B4267" s="138">
        <f>('FP Info 3'!H10)*100000</f>
        <v>52.853999999999999</v>
      </c>
      <c r="C4267" s="2" t="s">
        <v>573</v>
      </c>
      <c r="D4267" s="2" t="str">
        <f t="shared" si="65"/>
        <v>Error?</v>
      </c>
      <c r="E4267" s="128"/>
    </row>
    <row r="4268" spans="1:5" x14ac:dyDescent="0.2">
      <c r="A4268" s="12">
        <v>4207</v>
      </c>
      <c r="B4268" s="138">
        <f>('FP Info 3'!J10)*100000</f>
        <v>2296</v>
      </c>
      <c r="C4268" s="2" t="s">
        <v>573</v>
      </c>
      <c r="D4268" s="2" t="str">
        <f t="shared" si="65"/>
        <v>Error?</v>
      </c>
    </row>
    <row r="4269" spans="1:5" x14ac:dyDescent="0.2">
      <c r="A4269" s="12">
        <v>4208</v>
      </c>
      <c r="B4269" s="138">
        <f>'FP Info 3'!J16</f>
        <v>35301112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137544</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83308</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20710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183448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7292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22093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42.171999999999997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9695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55828</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871338778</v>
      </c>
      <c r="D4995" s="2" t="str">
        <f t="shared" si="77"/>
        <v>Error?</v>
      </c>
    </row>
    <row r="4996" spans="1:4" x14ac:dyDescent="0.2">
      <c r="A4996" s="12">
        <v>4935</v>
      </c>
      <c r="B4996" s="138">
        <f>'FP Info 3'!H31</f>
        <v>60122375.682000004</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1500000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14590374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14590374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243513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243513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64436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64436</v>
      </c>
      <c r="C5087" s="2" t="s">
        <v>573</v>
      </c>
      <c r="D5087" s="2" t="str">
        <f t="shared" si="78"/>
        <v>Error?</v>
      </c>
    </row>
    <row r="5088" spans="1:4" x14ac:dyDescent="0.2">
      <c r="A5088" s="5">
        <v>5027</v>
      </c>
      <c r="B5088" s="138">
        <f>'Revenues 9-14'!C65</f>
        <v>492793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492793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509975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509975</v>
      </c>
      <c r="C5096" s="2" t="s">
        <v>573</v>
      </c>
      <c r="D5096" s="2" t="str">
        <f t="shared" si="78"/>
        <v>Error?</v>
      </c>
    </row>
    <row r="5097" spans="1:4" x14ac:dyDescent="0.2">
      <c r="A5097" s="5">
        <v>5036</v>
      </c>
      <c r="B5097" s="138">
        <f>'Revenues 9-14'!C77</f>
        <v>37985</v>
      </c>
      <c r="D5097" s="2" t="str">
        <f t="shared" si="78"/>
        <v>Error?</v>
      </c>
    </row>
    <row r="5098" spans="1:4" x14ac:dyDescent="0.2">
      <c r="A5098" s="5">
        <v>5037</v>
      </c>
      <c r="B5098" s="138">
        <f>'Revenues 9-14'!C78</f>
        <v>4887</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398377</v>
      </c>
      <c r="D5101" s="2" t="str">
        <f t="shared" si="78"/>
        <v>Error?</v>
      </c>
    </row>
    <row r="5102" spans="1:4" x14ac:dyDescent="0.2">
      <c r="A5102" s="5">
        <v>5041</v>
      </c>
      <c r="B5102" s="138">
        <f>'Revenues 9-14'!C82</f>
        <v>441249</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2164</v>
      </c>
      <c r="D5119" s="2" t="str">
        <f t="shared" ref="D5119:D5182" si="79">IF(ISBLANK(B5119),"OK",IF(A5119-B5119=0,"OK","Error?"))</f>
        <v>Error?</v>
      </c>
    </row>
    <row r="5120" spans="1:4" x14ac:dyDescent="0.2">
      <c r="A5120" s="5">
        <v>5059</v>
      </c>
      <c r="B5120" s="138">
        <f>'Revenues 9-14'!C108</f>
        <v>2164</v>
      </c>
      <c r="C5120" s="2" t="s">
        <v>573</v>
      </c>
      <c r="D5120" s="2" t="str">
        <f t="shared" si="79"/>
        <v>Error?</v>
      </c>
    </row>
    <row r="5121" spans="1:4" x14ac:dyDescent="0.2">
      <c r="A5121" s="5">
        <v>5060</v>
      </c>
      <c r="B5121" s="138">
        <f>'Revenues 9-14'!C109</f>
        <v>16344504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2973898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3029726</v>
      </c>
      <c r="C5132" s="2" t="s">
        <v>573</v>
      </c>
      <c r="D5132" s="2" t="str">
        <f t="shared" si="79"/>
        <v>Error?</v>
      </c>
    </row>
    <row r="5133" spans="1:4" x14ac:dyDescent="0.2">
      <c r="A5133" s="5">
        <v>5072</v>
      </c>
      <c r="B5133" s="138">
        <f>'Revenues 9-14'!C125</f>
        <v>231055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17751</v>
      </c>
      <c r="D5137" s="2" t="str">
        <f t="shared" si="79"/>
        <v>Error?</v>
      </c>
    </row>
    <row r="5138" spans="1:4" x14ac:dyDescent="0.2">
      <c r="A5138" s="10">
        <v>5077</v>
      </c>
      <c r="D5138" s="2" t="str">
        <f t="shared" si="79"/>
        <v>OK</v>
      </c>
    </row>
    <row r="5139" spans="1:4" x14ac:dyDescent="0.2">
      <c r="A5139" s="5">
        <v>5078</v>
      </c>
      <c r="B5139" s="138">
        <f>'Revenues 9-14'!C129</f>
        <v>1726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250532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44825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44825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4271</v>
      </c>
      <c r="D5167" s="2" t="str">
        <f t="shared" si="79"/>
        <v>Error?</v>
      </c>
    </row>
    <row r="5168" spans="1:4" x14ac:dyDescent="0.2">
      <c r="A5168" s="5">
        <v>5107</v>
      </c>
      <c r="B5168" s="138">
        <f>'Revenues 9-14'!C148</f>
        <v>53358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362681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3392407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238070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24136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262206</v>
      </c>
      <c r="C5246" s="2" t="s">
        <v>573</v>
      </c>
      <c r="D5246" s="2" t="str">
        <f t="shared" si="80"/>
        <v>Error?</v>
      </c>
    </row>
    <row r="5247" spans="1:4" x14ac:dyDescent="0.2">
      <c r="A5247" s="5">
        <v>5186</v>
      </c>
      <c r="B5247" s="138">
        <f>'Revenues 9-14'!C200</f>
        <v>163639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7292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163639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383162</v>
      </c>
      <c r="D5278" s="2" t="str">
        <f t="shared" si="81"/>
        <v>Error?</v>
      </c>
    </row>
    <row r="5279" spans="1:4" x14ac:dyDescent="0.2">
      <c r="A5279" s="5">
        <v>5218</v>
      </c>
      <c r="B5279" s="138">
        <f>'Revenues 9-14'!C214</f>
        <v>12000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395162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21596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21596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1076146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1076146</v>
      </c>
      <c r="C5326" s="2" t="s">
        <v>573</v>
      </c>
      <c r="D5326" s="2" t="str">
        <f t="shared" si="82"/>
        <v>Error?</v>
      </c>
    </row>
    <row r="5327" spans="1:5" x14ac:dyDescent="0.2">
      <c r="A5327" s="5">
        <v>5266</v>
      </c>
      <c r="B5327" s="138">
        <f>'Revenues 9-14'!C268</f>
        <v>20813057</v>
      </c>
      <c r="C5327" s="2" t="s">
        <v>573</v>
      </c>
      <c r="D5327" s="2" t="str">
        <f t="shared" si="82"/>
        <v>Error?</v>
      </c>
    </row>
    <row r="5328" spans="1:5" x14ac:dyDescent="0.2">
      <c r="A5328" s="5">
        <v>5267</v>
      </c>
      <c r="B5328" s="138">
        <f>'Revenues 9-14'!D5</f>
        <v>4075156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4075156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55346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55346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999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26408</v>
      </c>
      <c r="D5354" s="2" t="str">
        <f t="shared" si="82"/>
        <v>Error?</v>
      </c>
    </row>
    <row r="5355" spans="1:4" x14ac:dyDescent="0.2">
      <c r="A5355" s="5">
        <v>5294</v>
      </c>
      <c r="B5355" s="138">
        <f>'Revenues 9-14'!D108</f>
        <v>127841</v>
      </c>
      <c r="C5355" s="2" t="s">
        <v>573</v>
      </c>
      <c r="D5355" s="2" t="str">
        <f t="shared" si="82"/>
        <v>Error?</v>
      </c>
    </row>
    <row r="5356" spans="1:4" x14ac:dyDescent="0.2">
      <c r="A5356" s="5">
        <v>5295</v>
      </c>
      <c r="B5356" s="138">
        <f>'Revenues 9-14'!D109</f>
        <v>4258343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1400000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1400000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5658343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2969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2969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2969</v>
      </c>
      <c r="C5552" s="2" t="s">
        <v>573</v>
      </c>
      <c r="D5552" s="2" t="str">
        <f t="shared" si="85"/>
        <v>Error?</v>
      </c>
    </row>
    <row r="5553" spans="1:4" x14ac:dyDescent="0.2">
      <c r="A5553" s="5">
        <v>5492</v>
      </c>
      <c r="B5553" s="138">
        <f>'Revenues 9-14'!F5</f>
        <v>344855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344855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27169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27169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372024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202796</v>
      </c>
      <c r="D5615" s="2" t="str">
        <f t="shared" si="86"/>
        <v>Error?</v>
      </c>
    </row>
    <row r="5616" spans="1:4" x14ac:dyDescent="0.2">
      <c r="A5616" s="10">
        <v>5555</v>
      </c>
      <c r="D5616" s="2" t="str">
        <f t="shared" si="86"/>
        <v>OK</v>
      </c>
    </row>
    <row r="5617" spans="1:5" x14ac:dyDescent="0.2">
      <c r="A5617" s="5">
        <v>5556</v>
      </c>
      <c r="B5617" s="138">
        <f>'Revenues 9-14'!F153</f>
        <v>999176</v>
      </c>
      <c r="D5617" s="2" t="str">
        <f t="shared" si="86"/>
        <v>Error?</v>
      </c>
    </row>
    <row r="5618" spans="1:5" x14ac:dyDescent="0.2">
      <c r="A5618" s="5">
        <v>5557</v>
      </c>
      <c r="B5618" s="138">
        <f>'Revenues 9-14'!F155</f>
        <v>1201972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1201972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1201972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1573996</v>
      </c>
      <c r="C5720" s="2" t="s">
        <v>573</v>
      </c>
      <c r="D5720" s="2" t="str">
        <f t="shared" si="88"/>
        <v>Error?</v>
      </c>
    </row>
    <row r="5721" spans="1:4" x14ac:dyDescent="0.2">
      <c r="A5721" s="5">
        <v>5660</v>
      </c>
      <c r="B5721" s="138">
        <f>'Revenues 9-14'!G5</f>
        <v>345501</v>
      </c>
      <c r="D5721" s="2" t="str">
        <f t="shared" si="88"/>
        <v>Error?</v>
      </c>
    </row>
    <row r="5722" spans="1:4" x14ac:dyDescent="0.2">
      <c r="A5722" s="5">
        <v>5661</v>
      </c>
      <c r="B5722" s="138">
        <f>'Revenues 9-14'!G7</f>
        <v>0</v>
      </c>
      <c r="D5722" s="2" t="str">
        <f t="shared" si="88"/>
        <v>Error?</v>
      </c>
    </row>
    <row r="5723" spans="1:4" x14ac:dyDescent="0.2">
      <c r="A5723" s="5">
        <v>5662</v>
      </c>
      <c r="B5723" s="138">
        <f>'Revenues 9-14'!G8</f>
        <v>357539</v>
      </c>
      <c r="D5723" s="2" t="str">
        <f t="shared" si="88"/>
        <v>Error?</v>
      </c>
    </row>
    <row r="5724" spans="1:4" x14ac:dyDescent="0.2">
      <c r="A5724" s="5">
        <v>5663</v>
      </c>
      <c r="B5724" s="138">
        <f>'Revenues 9-14'!G11</f>
        <v>52296</v>
      </c>
      <c r="D5724" s="2" t="str">
        <f t="shared" si="88"/>
        <v>Error?</v>
      </c>
    </row>
    <row r="5725" spans="1:4" x14ac:dyDescent="0.2">
      <c r="A5725" s="5">
        <v>5664</v>
      </c>
      <c r="B5725" s="138">
        <f>'Revenues 9-14'!G12</f>
        <v>755336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37970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37970</v>
      </c>
      <c r="C5730" s="2" t="s">
        <v>573</v>
      </c>
      <c r="D5730" s="2" t="str">
        <f t="shared" si="88"/>
        <v>Error?</v>
      </c>
    </row>
    <row r="5731" spans="1:4" x14ac:dyDescent="0.2">
      <c r="A5731" s="5">
        <v>5670</v>
      </c>
      <c r="B5731" s="138">
        <f>'Revenues 9-14'!G65</f>
        <v>7036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800342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352571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352571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57396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57396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409967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800342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409967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57651</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37201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4500000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-3003675</v>
      </c>
      <c r="D6267" s="2" t="str">
        <f t="shared" si="96"/>
        <v>Error?</v>
      </c>
      <c r="E6267" s="2" t="s">
        <v>190</v>
      </c>
    </row>
    <row r="6268" spans="1:5" x14ac:dyDescent="0.2">
      <c r="A6268">
        <v>6207</v>
      </c>
      <c r="B6268" s="138">
        <f>'Acct Summary 7-8'!D82</f>
        <v>-580153</v>
      </c>
      <c r="D6268" s="2" t="str">
        <f t="shared" si="96"/>
        <v>Error?</v>
      </c>
      <c r="E6268" s="2" t="s">
        <v>190</v>
      </c>
    </row>
    <row r="6269" spans="1:5" x14ac:dyDescent="0.2">
      <c r="A6269">
        <v>6208</v>
      </c>
      <c r="B6269" s="138">
        <f>'Acct Summary 7-8'!E82</f>
        <v>2969</v>
      </c>
      <c r="D6269" s="2" t="str">
        <f t="shared" si="96"/>
        <v>Error?</v>
      </c>
      <c r="E6269" s="2" t="s">
        <v>190</v>
      </c>
    </row>
    <row r="6270" spans="1:5" x14ac:dyDescent="0.2">
      <c r="A6270">
        <v>6209</v>
      </c>
      <c r="B6270" s="138">
        <f>'Acct Summary 7-8'!F82</f>
        <v>-569554</v>
      </c>
      <c r="D6270" s="2" t="str">
        <f t="shared" si="96"/>
        <v>Error?</v>
      </c>
      <c r="E6270" s="2" t="s">
        <v>190</v>
      </c>
    </row>
    <row r="6271" spans="1:5" x14ac:dyDescent="0.2">
      <c r="A6271">
        <v>6210</v>
      </c>
      <c r="B6271" s="138">
        <f>'Acct Summary 7-8'!G82</f>
        <v>33115</v>
      </c>
      <c r="D6271" s="2" t="str">
        <f t="shared" ref="D6271:D6334" si="97">IF(ISBLANK(B6271),"OK",IF(A6271-B6271=0,"OK","Error?"))</f>
        <v>Error?</v>
      </c>
      <c r="E6271" s="2" t="s">
        <v>190</v>
      </c>
    </row>
    <row r="6272" spans="1:5" x14ac:dyDescent="0.2">
      <c r="A6272">
        <v>6211</v>
      </c>
      <c r="B6272" s="138">
        <f>'Acct Summary 7-8'!H82</f>
        <v>202681</v>
      </c>
      <c r="D6272" s="2" t="str">
        <f t="shared" si="97"/>
        <v>Error?</v>
      </c>
      <c r="E6272" s="2" t="s">
        <v>190</v>
      </c>
    </row>
    <row r="6273" spans="1:5" x14ac:dyDescent="0.2">
      <c r="A6273">
        <v>6212</v>
      </c>
      <c r="B6273" s="138">
        <f>'Acct Summary 7-8'!I82</f>
        <v>409967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-0.10793225878330007</v>
      </c>
      <c r="D6276" s="2" t="str">
        <f t="shared" si="97"/>
        <v>Error?</v>
      </c>
      <c r="E6276" s="2" t="s">
        <v>190</v>
      </c>
    </row>
    <row r="6277" spans="1:5" x14ac:dyDescent="0.2">
      <c r="A6277">
        <v>6216</v>
      </c>
      <c r="B6277" s="138">
        <f>'Acct Summary 7-8'!D83</f>
        <v>-0.29406132501528209</v>
      </c>
      <c r="D6277" s="2" t="str">
        <f t="shared" si="97"/>
        <v>Error?</v>
      </c>
      <c r="E6277" s="2" t="s">
        <v>190</v>
      </c>
    </row>
    <row r="6278" spans="1:5" x14ac:dyDescent="0.2">
      <c r="A6278">
        <v>6217</v>
      </c>
      <c r="B6278" s="138">
        <f>'Acct Summary 7-8'!E83</f>
        <v>1.1243954812102115E-2</v>
      </c>
      <c r="D6278" s="2" t="str">
        <f t="shared" si="97"/>
        <v>Error?</v>
      </c>
      <c r="E6278" s="2" t="s">
        <v>190</v>
      </c>
    </row>
    <row r="6279" spans="1:5" x14ac:dyDescent="0.2">
      <c r="A6279">
        <v>6218</v>
      </c>
      <c r="B6279" s="138">
        <f>'Acct Summary 7-8'!F83</f>
        <v>-0.29154417768022456</v>
      </c>
      <c r="D6279" s="2" t="str">
        <f t="shared" si="97"/>
        <v>Error?</v>
      </c>
      <c r="E6279" s="2" t="s">
        <v>190</v>
      </c>
    </row>
    <row r="6280" spans="1:5" x14ac:dyDescent="0.2">
      <c r="A6280">
        <v>6219</v>
      </c>
      <c r="B6280" s="138">
        <f>'Acct Summary 7-8'!G83</f>
        <v>3.5311065804514354E-2</v>
      </c>
      <c r="D6280" s="2" t="str">
        <f t="shared" si="97"/>
        <v>Error?</v>
      </c>
      <c r="E6280" s="2" t="s">
        <v>190</v>
      </c>
    </row>
    <row r="6281" spans="1:5" x14ac:dyDescent="0.2">
      <c r="A6281">
        <v>6220</v>
      </c>
      <c r="B6281" s="138">
        <f>'Acct Summary 7-8'!H83</f>
        <v>0.99787310511882543</v>
      </c>
      <c r="D6281" s="2" t="str">
        <f t="shared" si="97"/>
        <v>Error?</v>
      </c>
      <c r="E6281" s="2" t="s">
        <v>190</v>
      </c>
    </row>
    <row r="6282" spans="1:5" x14ac:dyDescent="0.2">
      <c r="A6282">
        <v>6221</v>
      </c>
      <c r="B6282" s="138">
        <f>'Acct Summary 7-8'!I83</f>
        <v>0.11563427969276037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100434</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175567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2154</v>
      </c>
      <c r="D7079" s="2" t="str">
        <f t="shared" si="109"/>
        <v>Error?</v>
      </c>
    </row>
    <row r="7080" spans="1:4" x14ac:dyDescent="0.2">
      <c r="A7080">
        <v>7019</v>
      </c>
      <c r="B7080" s="138">
        <f>'Expenditures 15-22'!K226</f>
        <v>2154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153505</v>
      </c>
      <c r="D7263" s="2" t="str">
        <f t="shared" si="112"/>
        <v>Error?</v>
      </c>
    </row>
    <row r="7264" spans="1:4" x14ac:dyDescent="0.2">
      <c r="A7264">
        <f t="shared" si="113"/>
        <v>7203</v>
      </c>
      <c r="B7264" s="138">
        <f>'Expenditures 15-22'!D17</f>
        <v>17769</v>
      </c>
      <c r="D7264" s="2" t="str">
        <f t="shared" si="112"/>
        <v>Error?</v>
      </c>
    </row>
    <row r="7265" spans="1:5" x14ac:dyDescent="0.2">
      <c r="A7265">
        <f t="shared" si="113"/>
        <v>7204</v>
      </c>
      <c r="B7265" s="138">
        <f>'Expenditures 15-22'!E17</f>
        <v>1436</v>
      </c>
      <c r="D7265" s="2" t="str">
        <f t="shared" si="112"/>
        <v>Error?</v>
      </c>
    </row>
    <row r="7266" spans="1:5" x14ac:dyDescent="0.2">
      <c r="A7266">
        <f t="shared" si="113"/>
        <v>7205</v>
      </c>
      <c r="B7266" s="138">
        <f>'Expenditures 15-22'!F17</f>
        <v>2857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2350664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3392903</v>
      </c>
      <c r="D7797" s="2" t="str">
        <f t="shared" si="127"/>
        <v>Error?</v>
      </c>
      <c r="E7797" s="4" t="s">
        <v>1901</v>
      </c>
    </row>
    <row r="7798" spans="1:5" x14ac:dyDescent="0.2">
      <c r="A7798">
        <v>7737</v>
      </c>
      <c r="B7798" s="138">
        <f>'Contracts Paid in CY 29'!F141</f>
        <v>800000</v>
      </c>
      <c r="D7798" s="2" t="str">
        <f t="shared" si="127"/>
        <v>Error?</v>
      </c>
      <c r="E7798" s="4" t="s">
        <v>1901</v>
      </c>
    </row>
    <row r="7799" spans="1:5" x14ac:dyDescent="0.2">
      <c r="A7799">
        <v>7738</v>
      </c>
      <c r="B7799" s="138">
        <f>'Contracts Paid in CY 29'!G141</f>
        <v>2592903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Grant CHSD 124</v>
      </c>
      <c r="B7" s="2384"/>
      <c r="C7" s="2384"/>
      <c r="D7" s="2421"/>
      <c r="E7" s="2422">
        <f>COVER!A13</f>
        <v>34049124016</v>
      </c>
      <c r="F7" s="2423"/>
      <c r="G7" s="2390" t="str">
        <f>COVER!T23</f>
        <v>066-0033289</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EVOY, KAMSCHULTE, JACOBS &amp; CO. LLP</v>
      </c>
      <c r="H9" s="2397"/>
      <c r="I9" s="2397"/>
      <c r="J9" s="2397"/>
      <c r="K9" s="2397"/>
      <c r="L9" s="2398"/>
    </row>
    <row r="10" spans="1:29" ht="13.5" customHeight="1" x14ac:dyDescent="0.2">
      <c r="A10" s="2380" t="str">
        <f>COVER!A38</f>
        <v>Dr. Christine Sefcik</v>
      </c>
      <c r="B10" s="2381"/>
      <c r="C10" s="2381"/>
      <c r="D10" s="2381"/>
      <c r="E10" s="2381"/>
      <c r="F10" s="2382"/>
      <c r="G10" s="2396" t="str">
        <f>COVER!T17</f>
        <v>2122 Yeoman Street</v>
      </c>
      <c r="H10" s="2409"/>
      <c r="I10" s="2409"/>
      <c r="J10" s="2409"/>
      <c r="K10" s="2409"/>
      <c r="L10" s="2410"/>
    </row>
    <row r="11" spans="1:29" ht="13.5" customHeight="1" x14ac:dyDescent="0.2">
      <c r="A11" s="1184" t="s">
        <v>1519</v>
      </c>
      <c r="B11" s="1185"/>
      <c r="C11" s="1186"/>
      <c r="D11" s="1191"/>
      <c r="E11" s="1186"/>
      <c r="F11" s="1190"/>
      <c r="G11" s="2396" t="str">
        <f>COVER!T19</f>
        <v>Waukegan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jaceto@ekjllp.com</v>
      </c>
      <c r="J13" s="2418"/>
      <c r="K13" s="2418"/>
      <c r="L13" s="2419"/>
    </row>
    <row r="14" spans="1:29" ht="13.5" customHeight="1" x14ac:dyDescent="0.2">
      <c r="A14" s="2396" t="str">
        <f>COVER!A19</f>
        <v>285 East Grand Avenue</v>
      </c>
      <c r="B14" s="2409"/>
      <c r="C14" s="2409"/>
      <c r="D14" s="2409"/>
      <c r="E14" s="2409"/>
      <c r="F14" s="2410"/>
      <c r="G14" s="1195" t="s">
        <v>1185</v>
      </c>
      <c r="H14" s="1193"/>
      <c r="I14" s="1193"/>
      <c r="J14" s="1193"/>
      <c r="K14" s="1193"/>
      <c r="L14" s="1194"/>
    </row>
    <row r="15" spans="1:29" ht="13.5" customHeight="1" x14ac:dyDescent="0.2">
      <c r="A15" s="2396" t="str">
        <f>COVER!A21</f>
        <v>Fox Lake</v>
      </c>
      <c r="B15" s="2409"/>
      <c r="C15" s="2409"/>
      <c r="D15" s="2409"/>
      <c r="E15" s="2409"/>
      <c r="F15" s="2410"/>
      <c r="G15" s="2406" t="str">
        <f>COVER!T15</f>
        <v>John D. Aceto. Jr., CPA</v>
      </c>
      <c r="H15" s="2407"/>
      <c r="I15" s="2407"/>
      <c r="J15" s="2407"/>
      <c r="K15" s="2407"/>
      <c r="L15" s="2408"/>
    </row>
    <row r="16" spans="1:29" ht="12.2" customHeight="1" x14ac:dyDescent="0.2">
      <c r="A16" s="2386">
        <f>COVER!A25</f>
        <v>60020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847-662-8300</v>
      </c>
      <c r="H18" s="2384"/>
      <c r="I18" s="2384"/>
      <c r="J18" s="2384"/>
      <c r="K18" s="2383" t="str">
        <f>COVER!X21</f>
        <v>847-662-8305</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Grant CHSD 124</v>
      </c>
      <c r="B1" s="2420"/>
      <c r="C1" s="2420"/>
      <c r="D1" s="2420"/>
    </row>
    <row r="2" spans="1:11" s="1212" customFormat="1" ht="12.75" x14ac:dyDescent="0.2">
      <c r="A2" s="2425">
        <f>'Single Audit Cover'!E7</f>
        <v>34049124016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Grant CHSD 124</v>
      </c>
      <c r="B1" s="2428"/>
      <c r="C1" s="2428"/>
      <c r="D1" s="2428"/>
      <c r="E1" s="2428"/>
    </row>
    <row r="2" spans="1:5" x14ac:dyDescent="0.2">
      <c r="A2" s="2429">
        <f>'Single Audit Cover'!E7</f>
        <v>34049124016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1076146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37201</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-183448</v>
      </c>
    </row>
    <row r="19" spans="1:4" ht="13.5" thickBot="1" x14ac:dyDescent="0.25">
      <c r="A19" s="1262" t="s">
        <v>1235</v>
      </c>
      <c r="D19" s="1263">
        <f>SUM(D10:D17)</f>
        <v>929899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929899</v>
      </c>
    </row>
    <row r="33" spans="1:4" x14ac:dyDescent="0.2">
      <c r="D33" s="1266"/>
    </row>
    <row r="34" spans="1:4" x14ac:dyDescent="0.2">
      <c r="A34" s="317" t="s">
        <v>1232</v>
      </c>
    </row>
    <row r="35" spans="1:4" x14ac:dyDescent="0.2">
      <c r="A35" s="317" t="s">
        <v>1231</v>
      </c>
      <c r="B35" s="1255" t="s">
        <v>1230</v>
      </c>
      <c r="D35" s="1267">
        <v>929899</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929899</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6" sqref="I16:I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Grant CHSD 124</v>
      </c>
      <c r="C1" s="2432"/>
      <c r="D1" s="2432"/>
      <c r="E1" s="2432"/>
      <c r="F1" s="2432"/>
      <c r="G1" s="2432"/>
      <c r="H1" s="2432"/>
      <c r="I1" s="2432"/>
      <c r="J1" s="2432"/>
      <c r="K1" s="2432"/>
      <c r="L1" s="2432"/>
      <c r="M1" s="2432"/>
    </row>
    <row r="2" spans="2:14" ht="15" x14ac:dyDescent="0.2">
      <c r="B2" s="2433">
        <f>'Single Audit Cover'!E7</f>
        <v>34049124016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2090</v>
      </c>
      <c r="C11" s="1335"/>
      <c r="D11" s="1336"/>
      <c r="E11" s="1337"/>
      <c r="F11" s="1337"/>
      <c r="G11" s="1337"/>
      <c r="H11" s="1337"/>
      <c r="I11" s="1337"/>
      <c r="J11" s="1337"/>
      <c r="K11" s="1337"/>
      <c r="L11" s="1337">
        <f>+G11+I11+K11</f>
        <v>0</v>
      </c>
      <c r="M11" s="1337"/>
    </row>
    <row r="12" spans="2:14" ht="20.100000000000001" customHeight="1" x14ac:dyDescent="0.2">
      <c r="B12" s="1334" t="s">
        <v>2091</v>
      </c>
      <c r="C12" s="1338"/>
      <c r="D12" s="1339"/>
      <c r="E12" s="1340"/>
      <c r="F12" s="1340"/>
      <c r="G12" s="1340"/>
      <c r="H12" s="1340"/>
      <c r="I12" s="1340"/>
      <c r="J12" s="1340"/>
      <c r="K12" s="1340"/>
      <c r="L12" s="1337">
        <f t="shared" ref="L12:L27" si="0">+G12+I12+K12</f>
        <v>0</v>
      </c>
      <c r="M12" s="1340"/>
    </row>
    <row r="13" spans="2:14" ht="20.100000000000001" customHeight="1" x14ac:dyDescent="0.2">
      <c r="B13" s="1334" t="s">
        <v>2092</v>
      </c>
      <c r="C13" s="1338"/>
      <c r="D13" s="1339"/>
      <c r="E13" s="1340"/>
      <c r="F13" s="1340"/>
      <c r="G13" s="1340"/>
      <c r="H13" s="1340"/>
      <c r="I13" s="1340"/>
      <c r="J13" s="1340"/>
      <c r="K13" s="1340"/>
      <c r="L13" s="1337">
        <f t="shared" si="0"/>
        <v>0</v>
      </c>
      <c r="M13" s="1340"/>
    </row>
    <row r="14" spans="2:14" ht="20.100000000000001" customHeight="1" x14ac:dyDescent="0.2">
      <c r="B14" s="1334" t="s">
        <v>2093</v>
      </c>
      <c r="C14" s="1338">
        <v>10.555</v>
      </c>
      <c r="D14" s="1339" t="s">
        <v>2100</v>
      </c>
      <c r="E14" s="1340">
        <v>200900</v>
      </c>
      <c r="F14" s="1340">
        <v>46489</v>
      </c>
      <c r="G14" s="1340">
        <v>200900</v>
      </c>
      <c r="H14" s="1340"/>
      <c r="I14" s="1340">
        <v>46489</v>
      </c>
      <c r="J14" s="1340"/>
      <c r="K14" s="1340"/>
      <c r="L14" s="1337">
        <f t="shared" si="0"/>
        <v>247389</v>
      </c>
      <c r="M14" s="1340" t="s">
        <v>2104</v>
      </c>
    </row>
    <row r="15" spans="2:14" ht="20.100000000000001" customHeight="1" x14ac:dyDescent="0.2">
      <c r="B15" s="1334" t="s">
        <v>2093</v>
      </c>
      <c r="C15" s="1338">
        <v>10.555</v>
      </c>
      <c r="D15" s="1339" t="s">
        <v>2101</v>
      </c>
      <c r="E15" s="1340"/>
      <c r="F15" s="1340">
        <v>191581</v>
      </c>
      <c r="G15" s="1340"/>
      <c r="H15" s="1340"/>
      <c r="I15" s="1340">
        <v>191581</v>
      </c>
      <c r="J15" s="1340"/>
      <c r="K15" s="1340"/>
      <c r="L15" s="1337">
        <f t="shared" si="0"/>
        <v>191581</v>
      </c>
      <c r="M15" s="1340" t="s">
        <v>2104</v>
      </c>
    </row>
    <row r="16" spans="2:14" ht="20.100000000000001" customHeight="1" x14ac:dyDescent="0.2">
      <c r="B16" s="1334" t="s">
        <v>2094</v>
      </c>
      <c r="C16" s="1338">
        <v>10.553000000000001</v>
      </c>
      <c r="D16" s="1339" t="s">
        <v>2102</v>
      </c>
      <c r="E16" s="1340">
        <v>25412</v>
      </c>
      <c r="F16" s="1340">
        <v>4193</v>
      </c>
      <c r="G16" s="1340">
        <v>25412</v>
      </c>
      <c r="H16" s="1340"/>
      <c r="I16" s="1340">
        <v>4193</v>
      </c>
      <c r="J16" s="1340"/>
      <c r="K16" s="1340"/>
      <c r="L16" s="1337">
        <f t="shared" si="0"/>
        <v>29605</v>
      </c>
      <c r="M16" s="1340" t="s">
        <v>2104</v>
      </c>
    </row>
    <row r="17" spans="2:14" ht="20.100000000000001" customHeight="1" x14ac:dyDescent="0.2">
      <c r="B17" s="1334" t="s">
        <v>2094</v>
      </c>
      <c r="C17" s="1338">
        <v>10.553000000000001</v>
      </c>
      <c r="D17" s="1339" t="s">
        <v>2103</v>
      </c>
      <c r="E17" s="1340"/>
      <c r="F17" s="1340">
        <v>19943</v>
      </c>
      <c r="G17" s="1340"/>
      <c r="H17" s="1340"/>
      <c r="I17" s="1340">
        <v>19943</v>
      </c>
      <c r="J17" s="1340"/>
      <c r="K17" s="1340"/>
      <c r="L17" s="1337">
        <f t="shared" si="0"/>
        <v>19943</v>
      </c>
      <c r="M17" s="1340" t="s">
        <v>2104</v>
      </c>
    </row>
    <row r="18" spans="2:14" ht="20.100000000000001" customHeight="1" x14ac:dyDescent="0.2">
      <c r="B18" s="1334" t="s">
        <v>2095</v>
      </c>
      <c r="C18" s="1338">
        <v>10.555</v>
      </c>
      <c r="D18" s="1339" t="s">
        <v>2101</v>
      </c>
      <c r="E18" s="1340"/>
      <c r="F18" s="1340">
        <v>19585</v>
      </c>
      <c r="G18" s="1340"/>
      <c r="H18" s="1340"/>
      <c r="I18" s="1340">
        <v>19585</v>
      </c>
      <c r="J18" s="1340"/>
      <c r="K18" s="1340"/>
      <c r="L18" s="1337">
        <f t="shared" si="0"/>
        <v>19585</v>
      </c>
      <c r="M18" s="1340" t="s">
        <v>2104</v>
      </c>
    </row>
    <row r="19" spans="2:14" ht="20.100000000000001" customHeight="1" x14ac:dyDescent="0.2">
      <c r="B19" s="1334" t="s">
        <v>2096</v>
      </c>
      <c r="C19" s="1338">
        <v>10.555</v>
      </c>
      <c r="D19" s="1339" t="s">
        <v>2101</v>
      </c>
      <c r="E19" s="1340"/>
      <c r="F19" s="1340">
        <v>17616</v>
      </c>
      <c r="G19" s="1340"/>
      <c r="H19" s="1340"/>
      <c r="I19" s="1340">
        <v>17616</v>
      </c>
      <c r="J19" s="1340"/>
      <c r="K19" s="1340"/>
      <c r="L19" s="1337">
        <f t="shared" si="0"/>
        <v>17616</v>
      </c>
      <c r="M19" s="1340" t="s">
        <v>2104</v>
      </c>
    </row>
    <row r="20" spans="2:14" ht="20.100000000000001" customHeight="1" x14ac:dyDescent="0.2">
      <c r="B20" s="1334" t="s">
        <v>2097</v>
      </c>
      <c r="C20" s="1338"/>
      <c r="D20" s="1339"/>
      <c r="E20" s="1340">
        <v>226312</v>
      </c>
      <c r="F20" s="1340">
        <v>299407</v>
      </c>
      <c r="G20" s="1340">
        <v>226312</v>
      </c>
      <c r="H20" s="1340"/>
      <c r="I20" s="1340">
        <v>299407</v>
      </c>
      <c r="J20" s="1340"/>
      <c r="K20" s="1340"/>
      <c r="L20" s="1337">
        <f t="shared" si="0"/>
        <v>525719</v>
      </c>
      <c r="M20" s="1340"/>
    </row>
    <row r="21" spans="2:14" ht="20.100000000000001" customHeight="1" x14ac:dyDescent="0.2">
      <c r="B21" s="1334" t="s">
        <v>2098</v>
      </c>
      <c r="C21" s="1338"/>
      <c r="D21" s="1339"/>
      <c r="E21" s="1340">
        <v>226312</v>
      </c>
      <c r="F21" s="1340">
        <v>299407</v>
      </c>
      <c r="G21" s="1340">
        <v>226312</v>
      </c>
      <c r="H21" s="1340"/>
      <c r="I21" s="1340">
        <v>299407</v>
      </c>
      <c r="J21" s="1340"/>
      <c r="K21" s="1340"/>
      <c r="L21" s="1337">
        <f t="shared" si="0"/>
        <v>525719</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2099</v>
      </c>
      <c r="C23" s="1338"/>
      <c r="D23" s="1339"/>
      <c r="E23" s="1340"/>
      <c r="F23" s="1340"/>
      <c r="G23" s="1340"/>
      <c r="H23" s="1340"/>
      <c r="I23" s="1340"/>
      <c r="J23" s="1340"/>
      <c r="K23" s="1340"/>
      <c r="L23" s="1337">
        <f t="shared" si="0"/>
        <v>0</v>
      </c>
      <c r="M23" s="1340"/>
    </row>
    <row r="24" spans="2:14" ht="20.100000000000001" customHeight="1" x14ac:dyDescent="0.2">
      <c r="B24" s="1334" t="s">
        <v>2105</v>
      </c>
      <c r="C24" s="1338"/>
      <c r="D24" s="1339"/>
      <c r="E24" s="1340"/>
      <c r="F24" s="1340"/>
      <c r="G24" s="1340"/>
      <c r="H24" s="1340"/>
      <c r="I24" s="1340"/>
      <c r="J24" s="1340"/>
      <c r="K24" s="1340"/>
      <c r="L24" s="1337">
        <f t="shared" si="0"/>
        <v>0</v>
      </c>
      <c r="M24" s="1340"/>
    </row>
    <row r="25" spans="2:14" ht="20.100000000000001" customHeight="1" x14ac:dyDescent="0.2">
      <c r="B25" s="1334" t="s">
        <v>2106</v>
      </c>
      <c r="C25" s="1338" t="s">
        <v>2107</v>
      </c>
      <c r="D25" s="1339" t="s">
        <v>2108</v>
      </c>
      <c r="E25" s="1340">
        <v>153243</v>
      </c>
      <c r="F25" s="1340">
        <v>26068</v>
      </c>
      <c r="G25" s="1340">
        <v>179311</v>
      </c>
      <c r="H25" s="1340"/>
      <c r="I25" s="1340"/>
      <c r="J25" s="1340"/>
      <c r="K25" s="1340"/>
      <c r="L25" s="1337">
        <f t="shared" si="0"/>
        <v>179311</v>
      </c>
      <c r="M25" s="1340">
        <v>180311</v>
      </c>
    </row>
    <row r="26" spans="2:14" ht="20.100000000000001" customHeight="1" x14ac:dyDescent="0.2">
      <c r="B26" s="1334" t="s">
        <v>2106</v>
      </c>
      <c r="C26" s="1338" t="s">
        <v>2107</v>
      </c>
      <c r="D26" s="1339" t="s">
        <v>2109</v>
      </c>
      <c r="E26" s="1340"/>
      <c r="F26" s="1340">
        <v>137571</v>
      </c>
      <c r="G26" s="1340"/>
      <c r="H26" s="1340"/>
      <c r="I26" s="1340">
        <v>184499</v>
      </c>
      <c r="J26" s="1340"/>
      <c r="K26" s="1340"/>
      <c r="L26" s="1337">
        <f t="shared" si="0"/>
        <v>184499</v>
      </c>
      <c r="M26" s="1340">
        <v>184499</v>
      </c>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Grant CHSD 124</v>
      </c>
      <c r="C1" s="2432"/>
      <c r="D1" s="2432"/>
      <c r="E1" s="2432"/>
      <c r="F1" s="2432"/>
      <c r="G1" s="2432"/>
      <c r="H1" s="2432"/>
      <c r="I1" s="2432"/>
      <c r="J1" s="2432"/>
      <c r="K1" s="2432"/>
      <c r="L1" s="2432"/>
      <c r="M1" s="2432"/>
    </row>
    <row r="2" spans="2:14" ht="15" x14ac:dyDescent="0.2">
      <c r="B2" s="2433">
        <f>'Single Audit Cover'!E7</f>
        <v>34049124016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2110</v>
      </c>
      <c r="C11" s="1335"/>
      <c r="D11" s="1336"/>
      <c r="E11" s="1337"/>
      <c r="F11" s="1337"/>
      <c r="G11" s="1337"/>
      <c r="H11" s="1337"/>
      <c r="I11" s="1337"/>
      <c r="J11" s="1337"/>
      <c r="K11" s="1337"/>
      <c r="L11" s="1337">
        <f>+G11+I11+K11</f>
        <v>0</v>
      </c>
      <c r="M11" s="1337"/>
    </row>
    <row r="12" spans="2:14" ht="20.100000000000001" customHeight="1" x14ac:dyDescent="0.2">
      <c r="B12" s="1334"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t="s">
        <v>2111</v>
      </c>
      <c r="C13" s="1338" t="s">
        <v>2113</v>
      </c>
      <c r="D13" s="1339" t="s">
        <v>2115</v>
      </c>
      <c r="E13" s="1340">
        <v>38330</v>
      </c>
      <c r="F13" s="1340">
        <v>3028</v>
      </c>
      <c r="G13" s="1340">
        <v>41358</v>
      </c>
      <c r="H13" s="1340"/>
      <c r="I13" s="1340"/>
      <c r="J13" s="1340"/>
      <c r="K13" s="1340"/>
      <c r="L13" s="1337">
        <f t="shared" si="0"/>
        <v>41358</v>
      </c>
      <c r="M13" s="1340">
        <v>41358</v>
      </c>
    </row>
    <row r="14" spans="2:14" ht="20.100000000000001" customHeight="1" x14ac:dyDescent="0.2">
      <c r="B14" s="1334" t="s">
        <v>2111</v>
      </c>
      <c r="C14" s="1338" t="s">
        <v>2113</v>
      </c>
      <c r="D14" s="1339" t="s">
        <v>2116</v>
      </c>
      <c r="E14" s="1340"/>
      <c r="F14" s="1340">
        <v>19065</v>
      </c>
      <c r="G14" s="1340"/>
      <c r="H14" s="1340"/>
      <c r="I14" s="1340">
        <v>37274</v>
      </c>
      <c r="J14" s="1340"/>
      <c r="K14" s="1340"/>
      <c r="L14" s="1337">
        <f t="shared" si="0"/>
        <v>37274</v>
      </c>
      <c r="M14" s="1340">
        <v>37274</v>
      </c>
    </row>
    <row r="15" spans="2:14" ht="20.100000000000001" customHeight="1" x14ac:dyDescent="0.2">
      <c r="B15" s="1334" t="s">
        <v>2112</v>
      </c>
      <c r="C15" s="1338" t="s">
        <v>2114</v>
      </c>
      <c r="D15" s="1339" t="s">
        <v>2118</v>
      </c>
      <c r="E15" s="1340">
        <v>9000</v>
      </c>
      <c r="F15" s="1340">
        <v>1000</v>
      </c>
      <c r="G15" s="1340">
        <v>10000</v>
      </c>
      <c r="H15" s="1340"/>
      <c r="I15" s="1340"/>
      <c r="J15" s="1340"/>
      <c r="K15" s="1340"/>
      <c r="L15" s="1337">
        <f t="shared" si="0"/>
        <v>10000</v>
      </c>
      <c r="M15" s="1340">
        <v>10000</v>
      </c>
    </row>
    <row r="16" spans="2:14" ht="20.100000000000001" customHeight="1" x14ac:dyDescent="0.2">
      <c r="B16" s="1334" t="s">
        <v>2112</v>
      </c>
      <c r="C16" s="1338" t="s">
        <v>2114</v>
      </c>
      <c r="D16" s="1339" t="s">
        <v>2117</v>
      </c>
      <c r="E16" s="1340"/>
      <c r="F16" s="1340">
        <v>6292</v>
      </c>
      <c r="G16" s="1340"/>
      <c r="H16" s="1340"/>
      <c r="I16" s="1340">
        <v>20419</v>
      </c>
      <c r="J16" s="1340"/>
      <c r="K16" s="1340"/>
      <c r="L16" s="1337">
        <f t="shared" si="0"/>
        <v>20419</v>
      </c>
      <c r="M16" s="1340">
        <v>20419</v>
      </c>
    </row>
    <row r="17" spans="2:14" ht="20.100000000000001" customHeight="1" x14ac:dyDescent="0.2">
      <c r="B17" s="1334" t="s">
        <v>2125</v>
      </c>
      <c r="C17" s="1338"/>
      <c r="D17" s="1339"/>
      <c r="E17" s="1340"/>
      <c r="F17" s="1340"/>
      <c r="G17" s="1340"/>
      <c r="H17" s="1340"/>
      <c r="I17" s="1340"/>
      <c r="J17" s="1340"/>
      <c r="K17" s="1340"/>
      <c r="L17" s="1337">
        <f t="shared" si="0"/>
        <v>0</v>
      </c>
      <c r="M17" s="1340"/>
    </row>
    <row r="18" spans="2:14" ht="20.100000000000001" customHeight="1" x14ac:dyDescent="0.2">
      <c r="B18" s="1334" t="s">
        <v>2092</v>
      </c>
      <c r="C18" s="1338"/>
      <c r="D18" s="1339"/>
      <c r="E18" s="1340"/>
      <c r="F18" s="1340"/>
      <c r="G18" s="1340"/>
      <c r="H18" s="1340"/>
      <c r="I18" s="1340"/>
      <c r="J18" s="1340"/>
      <c r="K18" s="1340"/>
      <c r="L18" s="1337">
        <f t="shared" si="0"/>
        <v>0</v>
      </c>
      <c r="M18" s="1340"/>
    </row>
    <row r="19" spans="2:14" ht="20.100000000000001" customHeight="1" x14ac:dyDescent="0.2">
      <c r="B19" s="1334" t="s">
        <v>2119</v>
      </c>
      <c r="C19" s="1338" t="s">
        <v>2121</v>
      </c>
      <c r="D19" s="1339" t="s">
        <v>2122</v>
      </c>
      <c r="E19" s="1340">
        <v>107998</v>
      </c>
      <c r="F19" s="1340">
        <v>12000</v>
      </c>
      <c r="G19" s="1340">
        <v>119998</v>
      </c>
      <c r="H19" s="1340"/>
      <c r="I19" s="1340"/>
      <c r="J19" s="1340"/>
      <c r="K19" s="1340"/>
      <c r="L19" s="1337">
        <f t="shared" si="0"/>
        <v>119998</v>
      </c>
      <c r="M19" s="1340" t="s">
        <v>2104</v>
      </c>
    </row>
    <row r="20" spans="2:14" ht="20.100000000000001" customHeight="1" x14ac:dyDescent="0.2">
      <c r="B20" s="1334" t="s">
        <v>2120</v>
      </c>
      <c r="C20" s="1338" t="s">
        <v>2121</v>
      </c>
      <c r="D20" s="1339" t="s">
        <v>2123</v>
      </c>
      <c r="E20" s="1340">
        <v>43335</v>
      </c>
      <c r="F20" s="1340">
        <v>168985</v>
      </c>
      <c r="G20" s="1340">
        <v>212320</v>
      </c>
      <c r="H20" s="1340"/>
      <c r="I20" s="1340"/>
      <c r="J20" s="1340"/>
      <c r="K20" s="1340"/>
      <c r="L20" s="1337">
        <f t="shared" si="0"/>
        <v>212320</v>
      </c>
      <c r="M20" s="1340">
        <v>233177</v>
      </c>
    </row>
    <row r="21" spans="2:14" ht="20.100000000000001" customHeight="1" x14ac:dyDescent="0.2">
      <c r="B21" s="1334" t="s">
        <v>2120</v>
      </c>
      <c r="C21" s="1338" t="s">
        <v>2121</v>
      </c>
      <c r="D21" s="1339" t="s">
        <v>2124</v>
      </c>
      <c r="E21" s="1340"/>
      <c r="F21" s="1340">
        <v>214177</v>
      </c>
      <c r="G21" s="1340"/>
      <c r="H21" s="1340"/>
      <c r="I21" s="1340">
        <v>214177</v>
      </c>
      <c r="J21" s="1340"/>
      <c r="K21" s="1340"/>
      <c r="L21" s="1337">
        <f t="shared" si="0"/>
        <v>214177</v>
      </c>
      <c r="M21" s="1340">
        <v>220077</v>
      </c>
    </row>
    <row r="22" spans="2:14" ht="20.100000000000001" customHeight="1" x14ac:dyDescent="0.2">
      <c r="B22" s="1334" t="s">
        <v>2126</v>
      </c>
      <c r="C22" s="1338"/>
      <c r="D22" s="1339"/>
      <c r="E22" s="1340">
        <v>151333</v>
      </c>
      <c r="F22" s="1340">
        <v>395162</v>
      </c>
      <c r="G22" s="1340">
        <v>332318</v>
      </c>
      <c r="H22" s="1340"/>
      <c r="I22" s="1340">
        <v>214177</v>
      </c>
      <c r="J22" s="1340"/>
      <c r="K22" s="1340"/>
      <c r="L22" s="1337">
        <f t="shared" si="0"/>
        <v>546495</v>
      </c>
      <c r="M22" s="1340"/>
    </row>
    <row r="23" spans="2:14" ht="20.100000000000001" customHeight="1" x14ac:dyDescent="0.2">
      <c r="B23" s="1334" t="s">
        <v>2127</v>
      </c>
      <c r="C23" s="1338"/>
      <c r="D23" s="1339"/>
      <c r="E23" s="1340">
        <v>351906</v>
      </c>
      <c r="F23" s="1340">
        <v>588186</v>
      </c>
      <c r="G23" s="1340">
        <v>562987</v>
      </c>
      <c r="H23" s="1340"/>
      <c r="I23" s="1340">
        <v>456369</v>
      </c>
      <c r="J23" s="1340"/>
      <c r="K23" s="1340"/>
      <c r="L23" s="1337">
        <f t="shared" si="0"/>
        <v>1019356</v>
      </c>
      <c r="M23" s="1340"/>
    </row>
    <row r="24" spans="2:14" ht="20.100000000000001" customHeight="1" x14ac:dyDescent="0.2">
      <c r="B24" s="1334" t="s">
        <v>2128</v>
      </c>
      <c r="C24" s="1338"/>
      <c r="D24" s="1339"/>
      <c r="E24" s="1340"/>
      <c r="F24" s="1340"/>
      <c r="G24" s="1340"/>
      <c r="H24" s="1340"/>
      <c r="I24" s="1340"/>
      <c r="J24" s="1340"/>
      <c r="K24" s="1340"/>
      <c r="L24" s="1337">
        <f t="shared" si="0"/>
        <v>0</v>
      </c>
      <c r="M24" s="1340"/>
    </row>
    <row r="25" spans="2:14" ht="20.100000000000001" customHeight="1" x14ac:dyDescent="0.2">
      <c r="B25" s="1334" t="s">
        <v>2129</v>
      </c>
      <c r="C25" s="1338" t="s">
        <v>2130</v>
      </c>
      <c r="D25" s="1339" t="s">
        <v>2131</v>
      </c>
      <c r="E25" s="1340"/>
      <c r="F25" s="1340">
        <v>21596</v>
      </c>
      <c r="G25" s="1340"/>
      <c r="H25" s="1340"/>
      <c r="I25" s="1340">
        <v>21596</v>
      </c>
      <c r="J25" s="1340"/>
      <c r="K25" s="1340"/>
      <c r="L25" s="1337">
        <f t="shared" si="0"/>
        <v>21596</v>
      </c>
      <c r="M25" s="1340">
        <v>21596</v>
      </c>
    </row>
    <row r="26" spans="2:14" ht="20.100000000000001" customHeight="1" x14ac:dyDescent="0.2">
      <c r="B26" s="1334" t="s">
        <v>2132</v>
      </c>
      <c r="C26" s="1338"/>
      <c r="D26" s="1339"/>
      <c r="E26" s="1340"/>
      <c r="F26" s="1340">
        <v>21596</v>
      </c>
      <c r="G26" s="1340"/>
      <c r="H26" s="1340"/>
      <c r="I26" s="1340">
        <v>21596</v>
      </c>
      <c r="J26" s="1340"/>
      <c r="K26" s="1340"/>
      <c r="L26" s="1337">
        <f t="shared" si="0"/>
        <v>21596</v>
      </c>
      <c r="M26" s="1340"/>
    </row>
    <row r="27" spans="2:14" ht="20.100000000000001" customHeight="1" x14ac:dyDescent="0.2">
      <c r="B27" s="1334" t="s">
        <v>2133</v>
      </c>
      <c r="C27" s="1338"/>
      <c r="D27" s="1339"/>
      <c r="E27" s="1340">
        <v>351906</v>
      </c>
      <c r="F27" s="1340">
        <v>609782</v>
      </c>
      <c r="G27" s="1340">
        <v>562987</v>
      </c>
      <c r="H27" s="1340"/>
      <c r="I27" s="1340">
        <v>477965</v>
      </c>
      <c r="J27" s="1340"/>
      <c r="K27" s="1340"/>
      <c r="L27" s="1337">
        <f t="shared" si="0"/>
        <v>1040952</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33604</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2077</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15" sqref="C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Grant CHSD 124</v>
      </c>
      <c r="C1" s="2432"/>
      <c r="D1" s="2432"/>
      <c r="E1" s="2432"/>
      <c r="F1" s="2432"/>
      <c r="G1" s="2432"/>
      <c r="H1" s="2432"/>
      <c r="I1" s="2432"/>
      <c r="J1" s="2432"/>
      <c r="K1" s="2432"/>
      <c r="L1" s="2432"/>
      <c r="M1" s="2432"/>
    </row>
    <row r="2" spans="2:14" ht="15" x14ac:dyDescent="0.2">
      <c r="B2" s="2433">
        <f>'Single Audit Cover'!E7</f>
        <v>34049124016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2134</v>
      </c>
      <c r="C11" s="1335"/>
      <c r="D11" s="1336"/>
      <c r="E11" s="1337"/>
      <c r="F11" s="1337"/>
      <c r="G11" s="1337"/>
      <c r="H11" s="1337"/>
      <c r="I11" s="1337"/>
      <c r="J11" s="1337"/>
      <c r="K11" s="1337"/>
      <c r="L11" s="1337">
        <f>+G11+I11+K11</f>
        <v>0</v>
      </c>
      <c r="M11" s="1337"/>
    </row>
    <row r="12" spans="2:14" ht="20.100000000000001" customHeight="1" x14ac:dyDescent="0.2">
      <c r="B12" s="1334" t="s">
        <v>2135</v>
      </c>
      <c r="C12" s="1338"/>
      <c r="D12" s="1339"/>
      <c r="E12" s="1340"/>
      <c r="F12" s="1340"/>
      <c r="G12" s="1340"/>
      <c r="H12" s="1340"/>
      <c r="I12" s="1340"/>
      <c r="J12" s="1340"/>
      <c r="K12" s="1340"/>
      <c r="L12" s="1337">
        <f t="shared" ref="L12:L27" si="0">+G12+I12+K12</f>
        <v>0</v>
      </c>
      <c r="M12" s="1340"/>
    </row>
    <row r="13" spans="2:14" ht="20.100000000000001" customHeight="1" x14ac:dyDescent="0.2">
      <c r="B13" s="1334" t="s">
        <v>2136</v>
      </c>
      <c r="C13" s="1338">
        <v>93.778000000000006</v>
      </c>
      <c r="D13" s="1339" t="s">
        <v>2139</v>
      </c>
      <c r="E13" s="1340">
        <v>14667</v>
      </c>
      <c r="F13" s="1340"/>
      <c r="G13" s="1340">
        <v>15278</v>
      </c>
      <c r="H13" s="1340"/>
      <c r="I13" s="1340"/>
      <c r="J13" s="1340"/>
      <c r="K13" s="1340"/>
      <c r="L13" s="1337">
        <f t="shared" si="0"/>
        <v>15278</v>
      </c>
      <c r="M13" s="1340" t="s">
        <v>2104</v>
      </c>
    </row>
    <row r="14" spans="2:14" ht="20.100000000000001" customHeight="1" x14ac:dyDescent="0.2">
      <c r="B14" s="1334" t="s">
        <v>2136</v>
      </c>
      <c r="C14" s="1338">
        <v>93.778000000000006</v>
      </c>
      <c r="D14" s="1339" t="s">
        <v>2140</v>
      </c>
      <c r="E14" s="1340"/>
      <c r="F14" s="1340">
        <v>20710</v>
      </c>
      <c r="G14" s="1340"/>
      <c r="H14" s="1340"/>
      <c r="I14" s="1340">
        <v>24814</v>
      </c>
      <c r="J14" s="1340"/>
      <c r="K14" s="1340"/>
      <c r="L14" s="1337">
        <f t="shared" si="0"/>
        <v>24814</v>
      </c>
      <c r="M14" s="1340" t="s">
        <v>2104</v>
      </c>
    </row>
    <row r="15" spans="2:14" ht="20.100000000000001" customHeight="1" x14ac:dyDescent="0.2">
      <c r="B15" s="1334" t="s">
        <v>2137</v>
      </c>
      <c r="C15" s="1338"/>
      <c r="D15" s="1339"/>
      <c r="E15" s="1340">
        <v>14667</v>
      </c>
      <c r="F15" s="1340">
        <v>20710</v>
      </c>
      <c r="G15" s="1340">
        <v>15278</v>
      </c>
      <c r="H15" s="1340"/>
      <c r="I15" s="1340">
        <v>24814</v>
      </c>
      <c r="J15" s="1340"/>
      <c r="K15" s="1340"/>
      <c r="L15" s="1337">
        <f t="shared" si="0"/>
        <v>40092</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2138</v>
      </c>
      <c r="C17" s="1338"/>
      <c r="D17" s="1339"/>
      <c r="E17" s="1340">
        <v>592885</v>
      </c>
      <c r="F17" s="1340">
        <v>929899</v>
      </c>
      <c r="G17" s="1340">
        <v>804577</v>
      </c>
      <c r="H17" s="1340"/>
      <c r="I17" s="1340">
        <v>802186</v>
      </c>
      <c r="J17" s="1340"/>
      <c r="K17" s="1340"/>
      <c r="L17" s="1337">
        <f t="shared" si="0"/>
        <v>1606763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2141</v>
      </c>
      <c r="C21" s="1338">
        <v>10.555</v>
      </c>
      <c r="D21" s="1339" t="s">
        <v>2142</v>
      </c>
      <c r="E21" s="1340">
        <v>0</v>
      </c>
      <c r="F21" s="1340">
        <v>0</v>
      </c>
      <c r="G21" s="1340">
        <v>0</v>
      </c>
      <c r="H21" s="1340"/>
      <c r="I21" s="1340">
        <v>37201</v>
      </c>
      <c r="J21" s="1340"/>
      <c r="K21" s="1340"/>
      <c r="L21" s="1337">
        <f t="shared" si="0"/>
        <v>37201</v>
      </c>
      <c r="M21" s="1340"/>
    </row>
    <row r="22" spans="2:14" ht="20.100000000000001" customHeight="1" x14ac:dyDescent="0.2">
      <c r="B22" s="1334" t="s">
        <v>2143</v>
      </c>
      <c r="C22" s="1338" t="s">
        <v>2104</v>
      </c>
      <c r="D22" s="1339" t="s">
        <v>2104</v>
      </c>
      <c r="E22" s="1340">
        <v>0</v>
      </c>
      <c r="F22" s="1340">
        <v>0</v>
      </c>
      <c r="G22" s="1340">
        <v>0</v>
      </c>
      <c r="H22" s="1340"/>
      <c r="I22" s="1340">
        <v>0</v>
      </c>
      <c r="J22" s="1340"/>
      <c r="K22" s="1340"/>
      <c r="L22" s="1337">
        <f t="shared" si="0"/>
        <v>0</v>
      </c>
      <c r="M22" s="1340"/>
    </row>
    <row r="23" spans="2:14" ht="20.100000000000001" customHeight="1" x14ac:dyDescent="0.2">
      <c r="B23" s="1334" t="s">
        <v>2144</v>
      </c>
      <c r="C23" s="1338" t="s">
        <v>2104</v>
      </c>
      <c r="D23" s="1339" t="s">
        <v>2104</v>
      </c>
      <c r="E23" s="1340">
        <v>0</v>
      </c>
      <c r="F23" s="1340">
        <v>0</v>
      </c>
      <c r="G23" s="1340">
        <v>0</v>
      </c>
      <c r="H23" s="1340"/>
      <c r="I23" s="1340">
        <v>0</v>
      </c>
      <c r="J23" s="1340"/>
      <c r="K23" s="1340"/>
      <c r="L23" s="1337">
        <f t="shared" si="0"/>
        <v>0</v>
      </c>
      <c r="M23" s="1340"/>
    </row>
    <row r="24" spans="2:14" ht="20.100000000000001" customHeight="1" x14ac:dyDescent="0.2">
      <c r="B24" s="1334" t="s">
        <v>2145</v>
      </c>
      <c r="C24" s="1338" t="s">
        <v>2104</v>
      </c>
      <c r="D24" s="1339" t="s">
        <v>2104</v>
      </c>
      <c r="E24" s="1340">
        <v>0</v>
      </c>
      <c r="F24" s="1340">
        <v>0</v>
      </c>
      <c r="G24" s="1340">
        <v>0</v>
      </c>
      <c r="H24" s="1340"/>
      <c r="I24" s="1340">
        <v>0</v>
      </c>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Grant CHSD 124</v>
      </c>
      <c r="B1" s="2437"/>
      <c r="C1" s="2437"/>
      <c r="D1" s="2437"/>
      <c r="E1" s="2437"/>
      <c r="F1" s="2437"/>
    </row>
    <row r="2" spans="1:7" ht="13.5" customHeight="1" x14ac:dyDescent="0.2">
      <c r="A2" s="2433">
        <f>'Single Audit Cover'!E7</f>
        <v>34049124016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2146</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2147</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2148</v>
      </c>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2149</v>
      </c>
      <c r="B32" s="2444"/>
      <c r="C32" s="2444"/>
      <c r="D32" s="2444"/>
      <c r="E32" s="2444"/>
      <c r="F32" s="2444"/>
    </row>
    <row r="33" spans="1:6" ht="13.5" customHeight="1" x14ac:dyDescent="0.2">
      <c r="A33" s="328" t="s">
        <v>1434</v>
      </c>
      <c r="B33" s="328"/>
      <c r="C33" s="1285">
        <v>19585</v>
      </c>
      <c r="D33" s="1903"/>
      <c r="E33" s="1283"/>
    </row>
    <row r="34" spans="1:6" ht="13.5" customHeight="1" x14ac:dyDescent="0.2">
      <c r="A34" s="328" t="s">
        <v>1835</v>
      </c>
      <c r="B34" s="328"/>
      <c r="C34" s="1286">
        <v>17616</v>
      </c>
      <c r="D34" s="1903" t="s">
        <v>1589</v>
      </c>
      <c r="E34" s="2445">
        <f>+C33+C34</f>
        <v>37201</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7" zoomScale="110" zoomScaleNormal="110" workbookViewId="0">
      <selection activeCell="G37" sqref="G37:I3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Grant CHSD 124</v>
      </c>
      <c r="C1" s="2453"/>
      <c r="D1" s="2453"/>
      <c r="E1" s="2453"/>
      <c r="F1" s="2453"/>
      <c r="G1" s="2453"/>
      <c r="H1" s="2453"/>
      <c r="I1" s="2453"/>
      <c r="J1" s="1406"/>
    </row>
    <row r="2" spans="2:10" s="317" customFormat="1" ht="12.75" customHeight="1" x14ac:dyDescent="0.2">
      <c r="B2" s="2454">
        <f>'Single Audit Cover'!E7</f>
        <v>34049124016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1164</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2150</v>
      </c>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v>10.555</v>
      </c>
      <c r="C38" s="2448" t="s">
        <v>1058</v>
      </c>
      <c r="D38" s="2449"/>
      <c r="E38" s="2449"/>
      <c r="F38" s="2450"/>
      <c r="G38" s="2463">
        <v>238070</v>
      </c>
      <c r="H38" s="2464"/>
      <c r="I38" s="2465"/>
    </row>
    <row r="39" spans="2:9" ht="16.5" customHeight="1" x14ac:dyDescent="0.2">
      <c r="B39" s="1428">
        <v>10.553000000000001</v>
      </c>
      <c r="C39" s="2448" t="s">
        <v>1059</v>
      </c>
      <c r="D39" s="2449"/>
      <c r="E39" s="2449"/>
      <c r="F39" s="2450"/>
      <c r="G39" s="2451">
        <v>24136</v>
      </c>
      <c r="H39" s="2451"/>
      <c r="I39" s="2451"/>
    </row>
    <row r="40" spans="2:9" ht="16.5" customHeight="1" x14ac:dyDescent="0.2">
      <c r="B40" s="1428">
        <v>10.555</v>
      </c>
      <c r="C40" s="2448" t="s">
        <v>2151</v>
      </c>
      <c r="D40" s="2449"/>
      <c r="E40" s="2449"/>
      <c r="F40" s="2450"/>
      <c r="G40" s="2451">
        <v>37201</v>
      </c>
      <c r="H40" s="2451"/>
      <c r="I40" s="2451"/>
    </row>
    <row r="41" spans="2:9" ht="16.5" customHeight="1" x14ac:dyDescent="0.2">
      <c r="B41" s="1428">
        <v>84.364999999999995</v>
      </c>
      <c r="C41" s="2448" t="s">
        <v>2152</v>
      </c>
      <c r="D41" s="2449"/>
      <c r="E41" s="2449"/>
      <c r="F41" s="2450"/>
      <c r="G41" s="2451">
        <v>21596</v>
      </c>
      <c r="H41" s="2451"/>
      <c r="I41" s="2451"/>
    </row>
    <row r="42" spans="2:9" ht="16.5" customHeight="1" x14ac:dyDescent="0.2">
      <c r="B42" s="1428">
        <v>93.778000000000006</v>
      </c>
      <c r="C42" s="2448" t="s">
        <v>2153</v>
      </c>
      <c r="D42" s="2449"/>
      <c r="E42" s="2449"/>
      <c r="F42" s="2450"/>
      <c r="G42" s="2451">
        <v>24814</v>
      </c>
      <c r="H42" s="2451"/>
      <c r="I42" s="2451"/>
    </row>
    <row r="43" spans="2:9" ht="16.5" customHeight="1" x14ac:dyDescent="0.2">
      <c r="B43" s="1428"/>
      <c r="C43" s="2466" t="s">
        <v>1593</v>
      </c>
      <c r="D43" s="2467"/>
      <c r="E43" s="2467"/>
      <c r="F43" s="2468"/>
      <c r="G43" s="2469">
        <f>SUM(G38:I42)</f>
        <v>345817</v>
      </c>
      <c r="H43" s="2469"/>
      <c r="I43" s="2469"/>
    </row>
    <row r="44" spans="2:9" ht="12.75" customHeight="1" x14ac:dyDescent="0.2"/>
    <row r="45" spans="2:9" ht="12.75" customHeight="1" x14ac:dyDescent="0.2">
      <c r="B45" s="1419" t="s">
        <v>1838</v>
      </c>
      <c r="D45" s="2470">
        <v>802186</v>
      </c>
      <c r="E45" s="2471"/>
    </row>
    <row r="46" spans="2:9" ht="5.25" customHeight="1" x14ac:dyDescent="0.2">
      <c r="B46" s="1429"/>
      <c r="D46" s="1430"/>
      <c r="E46" s="1431"/>
    </row>
    <row r="47" spans="2:9" ht="12.75" customHeight="1" x14ac:dyDescent="0.2">
      <c r="B47" s="1297" t="s">
        <v>1594</v>
      </c>
      <c r="C47" s="1297"/>
      <c r="D47" s="1432">
        <f>+G43/D45</f>
        <v>0.43109328759165583</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Grant CHSD 124</v>
      </c>
      <c r="C1" s="2452"/>
      <c r="D1" s="2452"/>
      <c r="E1" s="2452"/>
      <c r="F1" s="2452"/>
      <c r="G1" s="2452"/>
      <c r="H1" s="2452"/>
      <c r="I1" s="2452"/>
      <c r="J1" s="2452"/>
      <c r="K1" s="2452"/>
      <c r="L1" s="1371"/>
      <c r="M1" s="1371"/>
    </row>
    <row r="2" spans="1:13" ht="12" customHeight="1" x14ac:dyDescent="0.2">
      <c r="B2" s="2454">
        <f>'Single Audit Cover'!E7</f>
        <v>34049124016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2148</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Grant CHSD 124</v>
      </c>
      <c r="C1" s="2479"/>
      <c r="D1" s="2479"/>
      <c r="E1" s="2479"/>
      <c r="F1" s="2479"/>
      <c r="G1" s="2479"/>
      <c r="H1" s="2479"/>
      <c r="I1" s="2479"/>
      <c r="J1" s="2479"/>
      <c r="K1" s="2479"/>
      <c r="L1" s="1449"/>
    </row>
    <row r="2" spans="1:12" ht="12.75" customHeight="1" x14ac:dyDescent="0.2">
      <c r="B2" s="2480">
        <f>'Single Audit Cover'!E7</f>
        <v>34049124016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2148</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Grant CHSD 124</v>
      </c>
      <c r="C1" s="2452"/>
      <c r="D1" s="2452"/>
      <c r="E1" s="1469"/>
    </row>
    <row r="2" spans="2:5" s="1279" customFormat="1" ht="12.75" customHeight="1" x14ac:dyDescent="0.2">
      <c r="B2" s="2454">
        <f>'Single Audit Cover'!E7</f>
        <v>34049124016</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2148</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H36" sqref="H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871338778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1.7430589999999999E-2</v>
      </c>
      <c r="E10" s="356" t="s">
        <v>1005</v>
      </c>
      <c r="F10" s="355">
        <v>5.0042699999999999E-3</v>
      </c>
      <c r="G10" s="356" t="s">
        <v>1005</v>
      </c>
      <c r="H10" s="355">
        <v>5.2853999999999998E-4</v>
      </c>
      <c r="I10" s="356" t="s">
        <v>1006</v>
      </c>
      <c r="J10" s="1732">
        <f>ROUND(D10+F10+H10,5)</f>
        <v>2.2960000000000001E-2</v>
      </c>
      <c r="K10" s="222"/>
      <c r="L10" s="355">
        <v>4.2171999999999999E-4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28455363</v>
      </c>
      <c r="E16" s="356"/>
      <c r="F16" s="1733">
        <f>SUM('Acct Summary 7-8'!C17,'Acct Summary 7-8'!D17,'Acct Summary 7-8'!F17)</f>
        <v>27698778</v>
      </c>
      <c r="G16" s="356"/>
      <c r="H16" s="1733">
        <f>SUM(D16-F16)</f>
        <v>756585</v>
      </c>
      <c r="I16" s="222"/>
      <c r="J16" s="1733">
        <f>SUM('Acct Summary 7-8'!C81,'Acct Summary 7-8'!D81,'Acct Summary 7-8'!F81,'Acct Summary 7-8'!I81)</f>
        <v>35301112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60122375.682000004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Grant CHSD 124</v>
      </c>
      <c r="E7" s="391"/>
      <c r="G7" s="252"/>
      <c r="H7" s="387"/>
      <c r="I7" s="387"/>
      <c r="J7" s="387"/>
      <c r="K7" s="387"/>
      <c r="L7" s="329"/>
      <c r="M7" s="329"/>
      <c r="N7" s="329"/>
      <c r="O7" s="329"/>
      <c r="P7" s="329"/>
    </row>
    <row r="8" spans="1:18" ht="12.75" x14ac:dyDescent="0.2">
      <c r="A8" s="329"/>
      <c r="B8" s="329"/>
      <c r="C8" s="389" t="s">
        <v>1125</v>
      </c>
      <c r="D8" s="392">
        <f>COVER!A13</f>
        <v>34049124016</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35301112</v>
      </c>
      <c r="I12" s="404"/>
      <c r="J12" s="404"/>
      <c r="K12" s="405">
        <f>TRUNC((H12/H13*100000),5)/100000</f>
        <v>1.4736204164000002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23955363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-4500000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27698778</v>
      </c>
      <c r="I17" s="404"/>
      <c r="J17" s="416"/>
      <c r="K17" s="405">
        <f>TRUNC((H17/H18*100000),5)/100000</f>
        <v>1.1562662607</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23955363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-4500000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8.7902558000000006</v>
      </c>
      <c r="K20" s="405">
        <f>IF(K17&lt;=1,"0",IF(AND(O16="2", J20 &gt; 2),TRUNC(((K12-0.1)/(K17-1)*100),5)/100,IF(AND(O16 = "1", J20 &gt; 2),TRUNC(((K12-0.1)/(K17-1)*100),5)/100,IF(AND(O16="1", J20 &gt;1),TRUNC(((K12-0.1)/(K17-1)*100),5)/100,""))))</f>
        <v>8.7902558000000006</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35301112</v>
      </c>
      <c r="I24" s="422"/>
      <c r="J24" s="422"/>
      <c r="K24" s="423">
        <f>TRUNC(((H24/H25*100000)/100000),2)</f>
        <v>458.8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76941.05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17005047.591449998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60122375.682000004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pane="bottomLeft" activeCell="C13" sqref="C13:K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27839481-10220</f>
        <v>27829261</v>
      </c>
      <c r="D4" s="466">
        <v>1972898</v>
      </c>
      <c r="E4" s="466">
        <v>264053</v>
      </c>
      <c r="F4" s="466">
        <v>1953577</v>
      </c>
      <c r="G4" s="466">
        <v>937808</v>
      </c>
      <c r="H4" s="466">
        <v>203113</v>
      </c>
      <c r="I4" s="466">
        <v>3545376</v>
      </c>
      <c r="J4" s="467"/>
      <c r="K4" s="466"/>
      <c r="L4" s="466">
        <v>394172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27829261</v>
      </c>
      <c r="D13" s="1737">
        <f t="shared" ref="D13:L13" si="0">SUM(D4:D12)</f>
        <v>1972898</v>
      </c>
      <c r="E13" s="1737">
        <f t="shared" si="0"/>
        <v>264053</v>
      </c>
      <c r="F13" s="1737">
        <f t="shared" si="0"/>
        <v>1953577</v>
      </c>
      <c r="G13" s="1737">
        <f t="shared" si="0"/>
        <v>937808</v>
      </c>
      <c r="H13" s="1737">
        <f t="shared" si="0"/>
        <v>203113</v>
      </c>
      <c r="I13" s="1737">
        <f t="shared" si="0"/>
        <v>3545376</v>
      </c>
      <c r="J13" s="1737">
        <f t="shared" si="0"/>
        <v>0</v>
      </c>
      <c r="K13" s="1737">
        <f t="shared" si="0"/>
        <v>0</v>
      </c>
      <c r="L13" s="1737">
        <f t="shared" si="0"/>
        <v>394172</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4190703</v>
      </c>
      <c r="N16" s="484"/>
    </row>
    <row r="17" spans="1:14" s="485" customFormat="1" ht="12.75" customHeight="1" x14ac:dyDescent="0.2">
      <c r="A17" s="482" t="s">
        <v>1403</v>
      </c>
      <c r="B17" s="483">
        <v>230</v>
      </c>
      <c r="C17" s="477"/>
      <c r="D17" s="477"/>
      <c r="E17" s="477"/>
      <c r="F17" s="477"/>
      <c r="G17" s="477"/>
      <c r="H17" s="477"/>
      <c r="I17" s="477"/>
      <c r="J17" s="477"/>
      <c r="K17" s="477"/>
      <c r="L17" s="477"/>
      <c r="M17" s="467">
        <v>77578055</v>
      </c>
      <c r="N17" s="484"/>
    </row>
    <row r="18" spans="1:14" s="485" customFormat="1" ht="12.75" customHeight="1" x14ac:dyDescent="0.2">
      <c r="A18" s="482" t="s">
        <v>1404</v>
      </c>
      <c r="B18" s="483">
        <v>240</v>
      </c>
      <c r="C18" s="477"/>
      <c r="D18" s="477"/>
      <c r="E18" s="477"/>
      <c r="F18" s="477"/>
      <c r="G18" s="477"/>
      <c r="H18" s="477"/>
      <c r="I18" s="477"/>
      <c r="J18" s="477"/>
      <c r="K18" s="477"/>
      <c r="L18" s="477"/>
      <c r="M18" s="467">
        <v>6497234</v>
      </c>
      <c r="N18" s="484"/>
    </row>
    <row r="19" spans="1:14" s="485" customFormat="1" ht="12.75" customHeight="1" x14ac:dyDescent="0.2">
      <c r="A19" s="482" t="s">
        <v>1405</v>
      </c>
      <c r="B19" s="483">
        <v>250</v>
      </c>
      <c r="C19" s="477"/>
      <c r="D19" s="477"/>
      <c r="E19" s="477"/>
      <c r="F19" s="477"/>
      <c r="G19" s="477"/>
      <c r="H19" s="477"/>
      <c r="I19" s="477"/>
      <c r="J19" s="477"/>
      <c r="K19" s="477"/>
      <c r="L19" s="477"/>
      <c r="M19" s="467">
        <f>9523895+712646</f>
        <v>10236541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264053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-264053</v>
      </c>
    </row>
    <row r="23" spans="1:14" ht="13.5" customHeight="1" thickBot="1" x14ac:dyDescent="0.25">
      <c r="A23" s="1736" t="s">
        <v>643</v>
      </c>
      <c r="B23" s="1741"/>
      <c r="C23" s="468"/>
      <c r="D23" s="468"/>
      <c r="E23" s="468"/>
      <c r="F23" s="468"/>
      <c r="G23" s="468"/>
      <c r="H23" s="468"/>
      <c r="I23" s="468"/>
      <c r="J23" s="468"/>
      <c r="K23" s="468"/>
      <c r="L23" s="468"/>
      <c r="M23" s="1688">
        <f>SUM(M15:M22)</f>
        <v>98502533</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394172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394172</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27839481-10220</f>
        <v>27829261</v>
      </c>
      <c r="D39" s="466">
        <v>1972898</v>
      </c>
      <c r="E39" s="466">
        <v>264053</v>
      </c>
      <c r="F39" s="466">
        <v>1953577</v>
      </c>
      <c r="G39" s="466">
        <v>937808</v>
      </c>
      <c r="H39" s="466">
        <v>203113</v>
      </c>
      <c r="I39" s="466">
        <v>3545376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98502533</v>
      </c>
      <c r="N40" s="497"/>
    </row>
    <row r="41" spans="1:14" ht="13.5" customHeight="1" thickBot="1" x14ac:dyDescent="0.25">
      <c r="A41" s="1736" t="s">
        <v>655</v>
      </c>
      <c r="B41" s="1706"/>
      <c r="C41" s="1688">
        <f>(SUM(C34,C37,C38,C39))</f>
        <v>27829261</v>
      </c>
      <c r="D41" s="1688">
        <f t="shared" ref="D41:L41" si="2">SUM(D34,D37,D38:D39)</f>
        <v>1972898</v>
      </c>
      <c r="E41" s="1688">
        <f t="shared" si="2"/>
        <v>264053</v>
      </c>
      <c r="F41" s="1688">
        <f t="shared" si="2"/>
        <v>1953577</v>
      </c>
      <c r="G41" s="1688">
        <f t="shared" si="2"/>
        <v>937808</v>
      </c>
      <c r="H41" s="1688">
        <f t="shared" si="2"/>
        <v>203113</v>
      </c>
      <c r="I41" s="1688">
        <f t="shared" si="2"/>
        <v>3545376</v>
      </c>
      <c r="J41" s="1688">
        <f t="shared" si="2"/>
        <v>0</v>
      </c>
      <c r="K41" s="1688">
        <f t="shared" si="2"/>
        <v>0</v>
      </c>
      <c r="L41" s="1688">
        <f t="shared" si="2"/>
        <v>394172</v>
      </c>
      <c r="M41" s="1688">
        <f>SUM(M40)</f>
        <v>98502533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16344504</v>
      </c>
      <c r="D4" s="1742">
        <f>'Revenues 9-14'!D109</f>
        <v>4258343</v>
      </c>
      <c r="E4" s="1742">
        <f>'Revenues 9-14'!E109</f>
        <v>2969</v>
      </c>
      <c r="F4" s="1742">
        <f>'Revenues 9-14'!F109</f>
        <v>372024</v>
      </c>
      <c r="G4" s="1742">
        <f>'Revenues 9-14'!G109</f>
        <v>800342</v>
      </c>
      <c r="H4" s="1742">
        <f>'Revenues 9-14'!H109</f>
        <v>0</v>
      </c>
      <c r="I4" s="1742">
        <f>'Revenues 9-14'!I109</f>
        <v>409967</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3392407</v>
      </c>
      <c r="D6" s="1743">
        <f>'Revenues 9-14'!D170</f>
        <v>1400000</v>
      </c>
      <c r="E6" s="1743">
        <f>'Revenues 9-14'!E170</f>
        <v>0</v>
      </c>
      <c r="F6" s="1743">
        <f>'Revenues 9-14'!F170</f>
        <v>1201972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1076146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20813057</v>
      </c>
      <c r="D8" s="1688">
        <f t="shared" ref="D8:K8" si="0">SUM(D4:D7)</f>
        <v>5658343</v>
      </c>
      <c r="E8" s="1688">
        <f t="shared" si="0"/>
        <v>2969</v>
      </c>
      <c r="F8" s="1688">
        <f t="shared" si="0"/>
        <v>1573996</v>
      </c>
      <c r="G8" s="1688">
        <f t="shared" si="0"/>
        <v>800342</v>
      </c>
      <c r="H8" s="1688">
        <f t="shared" si="0"/>
        <v>0</v>
      </c>
      <c r="I8" s="1688">
        <f t="shared" si="0"/>
        <v>409967</v>
      </c>
      <c r="J8" s="1688">
        <f t="shared" si="0"/>
        <v>0</v>
      </c>
      <c r="K8" s="1688">
        <f t="shared" si="0"/>
        <v>0</v>
      </c>
      <c r="L8" s="347"/>
    </row>
    <row r="9" spans="1:13" ht="15.75" thickTop="1" x14ac:dyDescent="0.2">
      <c r="A9" s="514" t="s">
        <v>1653</v>
      </c>
      <c r="B9" s="515">
        <v>3998</v>
      </c>
      <c r="C9" s="481">
        <v>8575638</v>
      </c>
      <c r="D9" s="516"/>
      <c r="E9" s="481"/>
      <c r="F9" s="481"/>
      <c r="G9" s="517"/>
      <c r="H9" s="481"/>
      <c r="I9" s="509" t="s">
        <v>1169</v>
      </c>
      <c r="J9" s="478"/>
      <c r="K9" s="481"/>
      <c r="L9" s="347"/>
    </row>
    <row r="10" spans="1:13" s="519" customFormat="1" ht="13.5" thickBot="1" x14ac:dyDescent="0.25">
      <c r="A10" s="1736" t="s">
        <v>1173</v>
      </c>
      <c r="B10" s="1709"/>
      <c r="C10" s="1688">
        <f>SUM(C8:C9)</f>
        <v>29388695</v>
      </c>
      <c r="D10" s="1688">
        <f t="shared" ref="D10:K10" si="1">SUM(D8:D9)</f>
        <v>5658343</v>
      </c>
      <c r="E10" s="1688">
        <f t="shared" si="1"/>
        <v>2969</v>
      </c>
      <c r="F10" s="1688">
        <f t="shared" si="1"/>
        <v>1573996</v>
      </c>
      <c r="G10" s="1688">
        <f t="shared" si="1"/>
        <v>800342</v>
      </c>
      <c r="H10" s="1688">
        <f t="shared" si="1"/>
        <v>0</v>
      </c>
      <c r="I10" s="1688">
        <f t="shared" si="1"/>
        <v>409967</v>
      </c>
      <c r="J10" s="1688">
        <f t="shared" si="1"/>
        <v>0</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12536752</v>
      </c>
      <c r="D12" s="520" t="s">
        <v>1169</v>
      </c>
      <c r="E12" s="468" t="s">
        <v>1169</v>
      </c>
      <c r="F12" s="468" t="s">
        <v>1169</v>
      </c>
      <c r="G12" s="1742">
        <f>'Expenditures 15-22'!K229</f>
        <v>220793</v>
      </c>
      <c r="H12" s="521"/>
      <c r="I12" s="468" t="s">
        <v>1169</v>
      </c>
      <c r="J12" s="468" t="s">
        <v>1169</v>
      </c>
      <c r="K12" s="521" t="s">
        <v>1169</v>
      </c>
      <c r="L12" s="347"/>
    </row>
    <row r="13" spans="1:13" ht="15.75" customHeight="1" x14ac:dyDescent="0.2">
      <c r="A13" s="1576" t="s">
        <v>457</v>
      </c>
      <c r="B13" s="1578">
        <v>2000</v>
      </c>
      <c r="C13" s="1743">
        <f>'Expenditures 15-22'!K74</f>
        <v>7209526</v>
      </c>
      <c r="D13" s="1743">
        <f>'Expenditures 15-22'!K129</f>
        <v>3148272</v>
      </c>
      <c r="E13" s="469" t="s">
        <v>1169</v>
      </c>
      <c r="F13" s="1743">
        <f>'Expenditures 15-22'!K184</f>
        <v>2143550</v>
      </c>
      <c r="G13" s="1743">
        <f>'Expenditures 15-22'!K279</f>
        <v>488783</v>
      </c>
      <c r="H13" s="1743">
        <f>'Expenditures 15-22'!K303</f>
        <v>4297319</v>
      </c>
      <c r="I13" s="468" t="s">
        <v>1169</v>
      </c>
      <c r="J13" s="1743">
        <f>'Expenditures 15-22'!K330</f>
        <v>0</v>
      </c>
      <c r="K13" s="1747">
        <f>'Expenditures 15-22'!K352</f>
        <v>0</v>
      </c>
      <c r="L13" s="347"/>
    </row>
    <row r="14" spans="1:13" ht="15.75" customHeight="1" x14ac:dyDescent="0.2">
      <c r="A14" s="1576" t="s">
        <v>449</v>
      </c>
      <c r="B14" s="1578">
        <v>3000</v>
      </c>
      <c r="C14" s="1743">
        <f>'Expenditures 15-22'!K75</f>
        <v>78183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2492271</v>
      </c>
      <c r="D15" s="1743">
        <f>'Expenditures 15-22'!K139</f>
        <v>90224</v>
      </c>
      <c r="E15" s="1743">
        <f>'Expenditures 15-22'!K160</f>
        <v>0</v>
      </c>
      <c r="F15" s="1743">
        <f>'Expenditures 15-22'!K196</f>
        <v>0</v>
      </c>
      <c r="G15" s="1743">
        <f>'Expenditures 15-22'!K285</f>
        <v>57651</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22316732</v>
      </c>
      <c r="D17" s="1688">
        <f t="shared" si="2"/>
        <v>3238496</v>
      </c>
      <c r="E17" s="1688">
        <f t="shared" si="2"/>
        <v>0</v>
      </c>
      <c r="F17" s="1688">
        <f t="shared" si="2"/>
        <v>2143550</v>
      </c>
      <c r="G17" s="1688">
        <f t="shared" si="2"/>
        <v>767227</v>
      </c>
      <c r="H17" s="1688">
        <f t="shared" si="2"/>
        <v>4297319</v>
      </c>
      <c r="I17" s="468"/>
      <c r="J17" s="1688">
        <f>SUM(J12:J16)</f>
        <v>0</v>
      </c>
      <c r="K17" s="1688">
        <f>SUM(K12:K16)</f>
        <v>0</v>
      </c>
      <c r="L17" s="347"/>
    </row>
    <row r="18" spans="1:12" ht="15" customHeight="1" thickTop="1" x14ac:dyDescent="0.2">
      <c r="A18" s="1744" t="s">
        <v>1654</v>
      </c>
      <c r="B18" s="1745">
        <v>4180</v>
      </c>
      <c r="C18" s="1742">
        <f t="shared" ref="C18:H18" si="3">C9</f>
        <v>8575638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30892370</v>
      </c>
      <c r="D19" s="1688">
        <f t="shared" si="4"/>
        <v>3238496</v>
      </c>
      <c r="E19" s="1688">
        <f t="shared" si="4"/>
        <v>0</v>
      </c>
      <c r="F19" s="1688">
        <f t="shared" si="4"/>
        <v>2143550</v>
      </c>
      <c r="G19" s="1688">
        <f t="shared" si="4"/>
        <v>767227</v>
      </c>
      <c r="H19" s="1688">
        <f t="shared" si="4"/>
        <v>4297319</v>
      </c>
      <c r="I19" s="468"/>
      <c r="J19" s="1688">
        <f>SUM(J17:J18)</f>
        <v>0</v>
      </c>
      <c r="K19" s="1688">
        <f>SUM(K17:K18)</f>
        <v>0</v>
      </c>
      <c r="L19" s="347"/>
    </row>
    <row r="20" spans="1:12" ht="16.5" thickTop="1" thickBot="1" x14ac:dyDescent="0.25">
      <c r="A20" s="2125" t="s">
        <v>1655</v>
      </c>
      <c r="B20" s="2126"/>
      <c r="C20" s="1746">
        <f>C8-C17</f>
        <v>-1503675</v>
      </c>
      <c r="D20" s="1746">
        <f t="shared" ref="D20:K20" si="5">D8-D17</f>
        <v>2419847</v>
      </c>
      <c r="E20" s="1746">
        <f t="shared" si="5"/>
        <v>2969</v>
      </c>
      <c r="F20" s="1746">
        <f t="shared" si="5"/>
        <v>-569554</v>
      </c>
      <c r="G20" s="1746">
        <f t="shared" si="5"/>
        <v>33115</v>
      </c>
      <c r="H20" s="1746">
        <f t="shared" si="5"/>
        <v>-4297319</v>
      </c>
      <c r="I20" s="1746">
        <f t="shared" si="5"/>
        <v>409967</v>
      </c>
      <c r="J20" s="1746">
        <f t="shared" si="5"/>
        <v>0</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1500000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0</v>
      </c>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4500000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1500000</v>
      </c>
      <c r="E44" s="1703">
        <f t="shared" si="6"/>
        <v>0</v>
      </c>
      <c r="F44" s="1703">
        <f t="shared" si="6"/>
        <v>0</v>
      </c>
      <c r="G44" s="1703">
        <f t="shared" si="6"/>
        <v>0</v>
      </c>
      <c r="H44" s="1703">
        <f t="shared" si="6"/>
        <v>4500000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1500000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v>4500000</v>
      </c>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1500000</v>
      </c>
      <c r="D76" s="1703">
        <f t="shared" si="7"/>
        <v>4500000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-1500000</v>
      </c>
      <c r="D77" s="1703">
        <f t="shared" si="8"/>
        <v>-3000000</v>
      </c>
      <c r="E77" s="1703">
        <f t="shared" si="8"/>
        <v>0</v>
      </c>
      <c r="F77" s="1703">
        <f t="shared" si="8"/>
        <v>0</v>
      </c>
      <c r="G77" s="1703">
        <f t="shared" si="8"/>
        <v>0</v>
      </c>
      <c r="H77" s="1703">
        <f t="shared" si="8"/>
        <v>4500000</v>
      </c>
      <c r="I77" s="1703">
        <f t="shared" si="8"/>
        <v>0</v>
      </c>
      <c r="J77" s="1703">
        <f t="shared" si="8"/>
        <v>0</v>
      </c>
      <c r="K77" s="1703">
        <f t="shared" si="8"/>
        <v>0</v>
      </c>
      <c r="L77" s="347"/>
    </row>
    <row r="78" spans="1:12" ht="21.75" customHeight="1" thickTop="1" thickBot="1" x14ac:dyDescent="0.25">
      <c r="A78" s="2121" t="s">
        <v>597</v>
      </c>
      <c r="B78" s="2122"/>
      <c r="C78" s="1702">
        <f t="shared" ref="C78:K78" si="9">C20+C77</f>
        <v>-3003675</v>
      </c>
      <c r="D78" s="1702">
        <f t="shared" si="9"/>
        <v>-580153</v>
      </c>
      <c r="E78" s="1702">
        <f t="shared" si="9"/>
        <v>2969</v>
      </c>
      <c r="F78" s="1702">
        <f t="shared" si="9"/>
        <v>-569554</v>
      </c>
      <c r="G78" s="1702">
        <f t="shared" si="9"/>
        <v>33115</v>
      </c>
      <c r="H78" s="1702">
        <f t="shared" si="9"/>
        <v>202681</v>
      </c>
      <c r="I78" s="1702">
        <f t="shared" si="9"/>
        <v>409967</v>
      </c>
      <c r="J78" s="1702">
        <f t="shared" si="9"/>
        <v>0</v>
      </c>
      <c r="K78" s="1702">
        <f t="shared" si="9"/>
        <v>0</v>
      </c>
      <c r="L78" s="533"/>
    </row>
    <row r="79" spans="1:12" ht="13.5" thickTop="1" x14ac:dyDescent="0.2">
      <c r="A79" s="1494" t="s">
        <v>1946</v>
      </c>
      <c r="B79" s="534"/>
      <c r="C79" s="478">
        <v>30832936</v>
      </c>
      <c r="D79" s="535">
        <v>2553051</v>
      </c>
      <c r="E79" s="535">
        <v>261084</v>
      </c>
      <c r="F79" s="535">
        <v>2523131</v>
      </c>
      <c r="G79" s="535">
        <v>904693</v>
      </c>
      <c r="H79" s="535">
        <v>432</v>
      </c>
      <c r="I79" s="535">
        <v>3135409</v>
      </c>
      <c r="J79" s="535"/>
      <c r="K79" s="535"/>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27829261</v>
      </c>
      <c r="D81" s="1688">
        <f>SUM(D78:D80)</f>
        <v>1972898</v>
      </c>
      <c r="E81" s="1688">
        <f t="shared" ref="E81:K81" si="10">SUM(E78:E80)</f>
        <v>264053</v>
      </c>
      <c r="F81" s="1688">
        <f t="shared" si="10"/>
        <v>1953577</v>
      </c>
      <c r="G81" s="1688">
        <f t="shared" si="10"/>
        <v>937808</v>
      </c>
      <c r="H81" s="1688">
        <f t="shared" si="10"/>
        <v>203113</v>
      </c>
      <c r="I81" s="1688">
        <f t="shared" si="10"/>
        <v>3545376</v>
      </c>
      <c r="J81" s="1688">
        <f t="shared" si="10"/>
        <v>0</v>
      </c>
      <c r="K81" s="1688">
        <f t="shared" si="10"/>
        <v>0</v>
      </c>
      <c r="L81" s="347"/>
    </row>
    <row r="82" spans="1:12" ht="0.75" customHeight="1" thickTop="1" thickBot="1" x14ac:dyDescent="0.25">
      <c r="A82" s="536" t="s">
        <v>343</v>
      </c>
      <c r="B82" s="537"/>
      <c r="C82" s="538">
        <f>(C81-C79)</f>
        <v>-3003675</v>
      </c>
      <c r="D82" s="538">
        <f t="shared" ref="D82:K82" si="11">(D81-D79)</f>
        <v>-580153</v>
      </c>
      <c r="E82" s="538">
        <f t="shared" si="11"/>
        <v>2969</v>
      </c>
      <c r="F82" s="538">
        <f t="shared" si="11"/>
        <v>-569554</v>
      </c>
      <c r="G82" s="538">
        <f t="shared" si="11"/>
        <v>33115</v>
      </c>
      <c r="H82" s="538">
        <f t="shared" si="11"/>
        <v>202681</v>
      </c>
      <c r="I82" s="538">
        <f t="shared" si="11"/>
        <v>409967</v>
      </c>
      <c r="J82" s="538">
        <f t="shared" si="11"/>
        <v>0</v>
      </c>
      <c r="K82" s="538">
        <f t="shared" si="11"/>
        <v>0</v>
      </c>
    </row>
    <row r="83" spans="1:12" ht="14.25" hidden="1" thickTop="1" thickBot="1" x14ac:dyDescent="0.25">
      <c r="A83" s="539" t="s">
        <v>344</v>
      </c>
      <c r="B83" s="464"/>
      <c r="C83" s="540">
        <f>C82/C81</f>
        <v>-0.10793225878330007</v>
      </c>
      <c r="D83" s="540">
        <f t="shared" ref="D83:K83" si="12">D82/D81</f>
        <v>-0.29406132501528209</v>
      </c>
      <c r="E83" s="540">
        <f t="shared" si="12"/>
        <v>1.1243954812102115E-2</v>
      </c>
      <c r="F83" s="540">
        <f t="shared" si="12"/>
        <v>-0.29154417768022456</v>
      </c>
      <c r="G83" s="540">
        <f t="shared" si="12"/>
        <v>3.5311065804514354E-2</v>
      </c>
      <c r="H83" s="540">
        <f t="shared" si="12"/>
        <v>0.99787310511882543</v>
      </c>
      <c r="I83" s="540">
        <f t="shared" si="12"/>
        <v>0.11563427969276037</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24" sqref="C2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14590374</v>
      </c>
      <c r="D5" s="481">
        <v>4075156</v>
      </c>
      <c r="E5" s="466"/>
      <c r="F5" s="548">
        <v>344855</v>
      </c>
      <c r="G5" s="466">
        <v>345501</v>
      </c>
      <c r="H5" s="466"/>
      <c r="I5" s="466">
        <v>352571</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357539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52296</v>
      </c>
      <c r="H11" s="466"/>
      <c r="I11" s="466"/>
      <c r="J11" s="467"/>
      <c r="K11" s="466"/>
      <c r="L11" s="552"/>
    </row>
    <row r="12" spans="1:12" ht="12.75" customHeight="1" thickBot="1" x14ac:dyDescent="0.25">
      <c r="A12" s="1705" t="s">
        <v>29</v>
      </c>
      <c r="B12" s="1706"/>
      <c r="C12" s="1707">
        <f t="shared" ref="C12:K12" si="0">SUM(C5:C11)</f>
        <v>14590374</v>
      </c>
      <c r="D12" s="1707">
        <f t="shared" si="0"/>
        <v>4075156</v>
      </c>
      <c r="E12" s="1707">
        <f t="shared" si="0"/>
        <v>0</v>
      </c>
      <c r="F12" s="1707">
        <f t="shared" si="0"/>
        <v>344855</v>
      </c>
      <c r="G12" s="1707">
        <f t="shared" si="0"/>
        <v>755336</v>
      </c>
      <c r="H12" s="1707">
        <f t="shared" si="0"/>
        <v>0</v>
      </c>
      <c r="I12" s="1707">
        <f t="shared" si="0"/>
        <v>352571</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243513</v>
      </c>
      <c r="D16" s="466"/>
      <c r="E16" s="466"/>
      <c r="F16" s="466"/>
      <c r="G16" s="466">
        <v>37970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243513</v>
      </c>
      <c r="D18" s="1710">
        <f t="shared" ref="D18:K18" si="1">SUM(D14:D17)</f>
        <v>0</v>
      </c>
      <c r="E18" s="1710">
        <f t="shared" si="1"/>
        <v>0</v>
      </c>
      <c r="F18" s="1710">
        <f t="shared" si="1"/>
        <v>0</v>
      </c>
      <c r="G18" s="1710">
        <f t="shared" si="1"/>
        <v>37970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64436</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64436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503013-10220</f>
        <v>492793</v>
      </c>
      <c r="D65" s="466">
        <v>55346</v>
      </c>
      <c r="E65" s="466">
        <v>2969</v>
      </c>
      <c r="F65" s="467">
        <v>27169</v>
      </c>
      <c r="G65" s="466">
        <v>7036</v>
      </c>
      <c r="H65" s="466"/>
      <c r="I65" s="466">
        <v>57396</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492793</v>
      </c>
      <c r="D67" s="1688">
        <f t="shared" ref="D67:K67" si="2">SUM(D65:D66)</f>
        <v>55346</v>
      </c>
      <c r="E67" s="1688">
        <f t="shared" si="2"/>
        <v>2969</v>
      </c>
      <c r="F67" s="1688">
        <f t="shared" si="2"/>
        <v>27169</v>
      </c>
      <c r="G67" s="1688">
        <f t="shared" si="2"/>
        <v>7036</v>
      </c>
      <c r="H67" s="1688">
        <f t="shared" si="2"/>
        <v>0</v>
      </c>
      <c r="I67" s="1688">
        <f t="shared" si="2"/>
        <v>57396</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509975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509975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37985</v>
      </c>
      <c r="D77" s="466"/>
      <c r="E77" s="468"/>
      <c r="F77" s="468"/>
      <c r="G77" s="468"/>
      <c r="H77" s="468"/>
      <c r="I77" s="468"/>
      <c r="J77" s="468"/>
      <c r="K77" s="468"/>
    </row>
    <row r="78" spans="1:11" ht="12.75" customHeight="1" x14ac:dyDescent="0.2">
      <c r="A78" s="463" t="s">
        <v>76</v>
      </c>
      <c r="B78" s="470">
        <v>1719</v>
      </c>
      <c r="C78" s="551">
        <v>4887</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364225+34152</f>
        <v>398377</v>
      </c>
      <c r="D81" s="466"/>
      <c r="E81" s="468"/>
      <c r="F81" s="468"/>
      <c r="G81" s="468"/>
      <c r="H81" s="468"/>
      <c r="I81" s="468"/>
      <c r="J81" s="468"/>
      <c r="K81" s="468"/>
    </row>
    <row r="82" spans="1:11" ht="12.75" customHeight="1" thickBot="1" x14ac:dyDescent="0.25">
      <c r="A82" s="1708" t="s">
        <v>241</v>
      </c>
      <c r="B82" s="1709"/>
      <c r="C82" s="1707">
        <f>SUM(C77:C81)</f>
        <v>441249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999</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v>100434</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2164</v>
      </c>
      <c r="D107" s="466">
        <v>26408</v>
      </c>
      <c r="E107" s="466"/>
      <c r="F107" s="466"/>
      <c r="G107" s="466"/>
      <c r="H107" s="466"/>
      <c r="I107" s="466"/>
      <c r="J107" s="467"/>
      <c r="K107" s="466"/>
    </row>
    <row r="108" spans="1:12" ht="12.75" customHeight="1" thickBot="1" x14ac:dyDescent="0.25">
      <c r="A108" s="1708" t="s">
        <v>487</v>
      </c>
      <c r="B108" s="1712"/>
      <c r="C108" s="1707">
        <f>SUM(C95:C107)</f>
        <v>2164</v>
      </c>
      <c r="D108" s="1707">
        <f t="shared" ref="D108:K108" si="3">SUM(D95:D107)</f>
        <v>127841</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16344504</v>
      </c>
      <c r="D109" s="1715">
        <f t="shared" si="4"/>
        <v>4258343</v>
      </c>
      <c r="E109" s="1715">
        <f t="shared" si="4"/>
        <v>2969</v>
      </c>
      <c r="F109" s="1715">
        <f t="shared" si="4"/>
        <v>372024</v>
      </c>
      <c r="G109" s="1715">
        <f t="shared" si="4"/>
        <v>800342</v>
      </c>
      <c r="H109" s="1715">
        <f t="shared" si="4"/>
        <v>0</v>
      </c>
      <c r="I109" s="1715">
        <f t="shared" si="4"/>
        <v>409967</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2973898</v>
      </c>
      <c r="D117" s="481">
        <v>1400000</v>
      </c>
      <c r="E117" s="466"/>
      <c r="F117" s="481"/>
      <c r="G117" s="481"/>
      <c r="H117" s="466"/>
      <c r="I117" s="468"/>
      <c r="J117" s="467"/>
      <c r="K117" s="466"/>
    </row>
    <row r="118" spans="1:11" ht="12.75" customHeight="1" x14ac:dyDescent="0.2">
      <c r="A118" s="463" t="s">
        <v>1796</v>
      </c>
      <c r="B118" s="562">
        <v>3002</v>
      </c>
      <c r="C118" s="551">
        <v>55828</v>
      </c>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3029726</v>
      </c>
      <c r="D122" s="1707">
        <f t="shared" si="5"/>
        <v>1400000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231055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17751</v>
      </c>
      <c r="D128" s="561"/>
      <c r="E128" s="468"/>
      <c r="F128" s="466"/>
      <c r="G128" s="468"/>
      <c r="H128" s="468"/>
      <c r="I128" s="468"/>
      <c r="J128" s="468"/>
      <c r="K128" s="468"/>
    </row>
    <row r="129" spans="1:11" ht="12.75" customHeight="1" x14ac:dyDescent="0.2">
      <c r="A129" s="463" t="s">
        <v>1447</v>
      </c>
      <c r="B129" s="562">
        <v>3130</v>
      </c>
      <c r="C129" s="466">
        <v>1726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250532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44825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44825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4271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53358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202796</v>
      </c>
      <c r="G152" s="467"/>
      <c r="H152" s="468"/>
      <c r="I152" s="468"/>
      <c r="J152" s="468"/>
      <c r="K152" s="468"/>
    </row>
    <row r="153" spans="1:11" ht="12.75" customHeight="1" x14ac:dyDescent="0.2">
      <c r="A153" s="463" t="s">
        <v>1057</v>
      </c>
      <c r="B153" s="562">
        <v>3510</v>
      </c>
      <c r="C153" s="551"/>
      <c r="D153" s="466"/>
      <c r="E153" s="561"/>
      <c r="F153" s="466">
        <v>999176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1201972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9695</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362681</v>
      </c>
      <c r="D169" s="1722">
        <f t="shared" si="6"/>
        <v>0</v>
      </c>
      <c r="E169" s="1722">
        <f t="shared" si="6"/>
        <v>0</v>
      </c>
      <c r="F169" s="1722">
        <f t="shared" si="6"/>
        <v>1201972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3392407</v>
      </c>
      <c r="D170" s="1715">
        <f t="shared" si="7"/>
        <v>1400000</v>
      </c>
      <c r="E170" s="1715">
        <f t="shared" si="7"/>
        <v>0</v>
      </c>
      <c r="F170" s="1715">
        <f t="shared" si="7"/>
        <v>1201972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238070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24136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262206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163639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163639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7292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7292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383162</v>
      </c>
      <c r="D213" s="466"/>
      <c r="E213" s="468"/>
      <c r="F213" s="466"/>
      <c r="G213" s="466"/>
      <c r="H213" s="468"/>
      <c r="I213" s="468"/>
      <c r="J213" s="468"/>
      <c r="K213" s="468"/>
    </row>
    <row r="214" spans="1:11" ht="12.75" customHeight="1" x14ac:dyDescent="0.2">
      <c r="A214" s="463" t="s">
        <v>1054</v>
      </c>
      <c r="B214" s="470">
        <v>4625</v>
      </c>
      <c r="C214" s="551">
        <v>12000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395162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21596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21596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22093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20710</v>
      </c>
      <c r="D263" s="576"/>
      <c r="E263" s="468"/>
      <c r="F263" s="576"/>
      <c r="G263" s="576"/>
      <c r="H263" s="468"/>
      <c r="I263" s="468"/>
      <c r="J263" s="468"/>
      <c r="K263" s="468"/>
    </row>
    <row r="264" spans="1:11" ht="12.75" customHeight="1" thickTop="1" thickBot="1" x14ac:dyDescent="0.25">
      <c r="A264" s="463" t="s">
        <v>377</v>
      </c>
      <c r="B264" s="470">
        <v>4992</v>
      </c>
      <c r="C264" s="575">
        <v>183448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1076146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1076146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20813057</v>
      </c>
      <c r="D268" s="1715">
        <f t="shared" si="12"/>
        <v>5658343</v>
      </c>
      <c r="E268" s="1715">
        <f t="shared" si="12"/>
        <v>2969</v>
      </c>
      <c r="F268" s="1715">
        <f t="shared" si="12"/>
        <v>1573996</v>
      </c>
      <c r="G268" s="1715">
        <f t="shared" si="12"/>
        <v>800342</v>
      </c>
      <c r="H268" s="1715">
        <f t="shared" si="12"/>
        <v>0</v>
      </c>
      <c r="I268" s="1715">
        <f t="shared" si="12"/>
        <v>409967</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3" sqref="C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6436691</v>
      </c>
      <c r="D5" s="466">
        <v>857672</v>
      </c>
      <c r="E5" s="466"/>
      <c r="F5" s="466">
        <v>421817</v>
      </c>
      <c r="G5" s="466">
        <v>32320</v>
      </c>
      <c r="H5" s="466">
        <v>3278</v>
      </c>
      <c r="I5" s="467"/>
      <c r="J5" s="467"/>
      <c r="K5" s="1671">
        <f>SUM(C5:J5)</f>
        <v>7751778</v>
      </c>
      <c r="L5" s="466">
        <v>8239580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1088729</v>
      </c>
      <c r="D8" s="466">
        <f>177147+1912</f>
        <v>179059</v>
      </c>
      <c r="E8" s="466">
        <f>44262+1028337</f>
        <v>1072599</v>
      </c>
      <c r="F8" s="466">
        <v>4417</v>
      </c>
      <c r="G8" s="466"/>
      <c r="H8" s="466">
        <v>410</v>
      </c>
      <c r="I8" s="467"/>
      <c r="J8" s="467"/>
      <c r="K8" s="1671">
        <f t="shared" si="0"/>
        <v>2345214</v>
      </c>
      <c r="L8" s="466">
        <v>2505106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541535</v>
      </c>
      <c r="D13" s="466">
        <v>70824</v>
      </c>
      <c r="E13" s="466">
        <v>1464</v>
      </c>
      <c r="F13" s="466">
        <v>41097</v>
      </c>
      <c r="G13" s="466">
        <v>41975</v>
      </c>
      <c r="H13" s="466"/>
      <c r="I13" s="467"/>
      <c r="J13" s="467"/>
      <c r="K13" s="1671">
        <f t="shared" si="0"/>
        <v>696895</v>
      </c>
      <c r="L13" s="466">
        <v>706199</v>
      </c>
    </row>
    <row r="14" spans="1:14" x14ac:dyDescent="0.2">
      <c r="A14" s="1504" t="s">
        <v>963</v>
      </c>
      <c r="B14" s="614">
        <v>1500</v>
      </c>
      <c r="C14" s="466">
        <v>1084726</v>
      </c>
      <c r="D14" s="466">
        <v>105038</v>
      </c>
      <c r="E14" s="466">
        <f>133577+3500</f>
        <v>137077</v>
      </c>
      <c r="F14" s="466">
        <f>72761+3500</f>
        <v>76261</v>
      </c>
      <c r="G14" s="466">
        <v>38963</v>
      </c>
      <c r="H14" s="466">
        <v>24273</v>
      </c>
      <c r="I14" s="467"/>
      <c r="J14" s="467"/>
      <c r="K14" s="1671">
        <f t="shared" si="0"/>
        <v>1466338</v>
      </c>
      <c r="L14" s="466">
        <v>1576006</v>
      </c>
    </row>
    <row r="15" spans="1:14" x14ac:dyDescent="0.2">
      <c r="A15" s="1504" t="s">
        <v>964</v>
      </c>
      <c r="B15" s="614">
        <v>1600</v>
      </c>
      <c r="C15" s="466">
        <v>90516</v>
      </c>
      <c r="D15" s="466">
        <v>10444</v>
      </c>
      <c r="E15" s="466"/>
      <c r="F15" s="466"/>
      <c r="G15" s="466"/>
      <c r="H15" s="466"/>
      <c r="I15" s="467"/>
      <c r="J15" s="467"/>
      <c r="K15" s="1671">
        <f t="shared" si="0"/>
        <v>100960</v>
      </c>
      <c r="L15" s="466">
        <v>81958</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153505</v>
      </c>
      <c r="D17" s="467">
        <v>17769</v>
      </c>
      <c r="E17" s="467">
        <v>1436</v>
      </c>
      <c r="F17" s="467">
        <v>2857</v>
      </c>
      <c r="G17" s="467"/>
      <c r="H17" s="467"/>
      <c r="I17" s="467"/>
      <c r="J17" s="467"/>
      <c r="K17" s="1671">
        <f t="shared" si="0"/>
        <v>175567</v>
      </c>
      <c r="L17" s="466">
        <v>189154</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9395702</v>
      </c>
      <c r="D33" s="1670">
        <f t="shared" ref="D33:L33" si="1">SUM(D5:D32)</f>
        <v>1240806</v>
      </c>
      <c r="E33" s="1670">
        <f t="shared" si="1"/>
        <v>1212576</v>
      </c>
      <c r="F33" s="1670">
        <f t="shared" si="1"/>
        <v>546449</v>
      </c>
      <c r="G33" s="1670">
        <f t="shared" si="1"/>
        <v>113258</v>
      </c>
      <c r="H33" s="1670">
        <f t="shared" si="1"/>
        <v>27961</v>
      </c>
      <c r="I33" s="1670">
        <f t="shared" si="1"/>
        <v>0</v>
      </c>
      <c r="J33" s="1670">
        <f t="shared" si="1"/>
        <v>0</v>
      </c>
      <c r="K33" s="1670">
        <f t="shared" si="1"/>
        <v>12536752</v>
      </c>
      <c r="L33" s="1670">
        <f t="shared" si="1"/>
        <v>13298003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245414</v>
      </c>
      <c r="D36" s="481">
        <v>32009</v>
      </c>
      <c r="E36" s="481"/>
      <c r="F36" s="481">
        <v>840</v>
      </c>
      <c r="G36" s="481"/>
      <c r="H36" s="481"/>
      <c r="I36" s="467"/>
      <c r="J36" s="467"/>
      <c r="K36" s="1671">
        <f t="shared" ref="K36:K41" si="2">SUM(C36:J36)</f>
        <v>278263</v>
      </c>
      <c r="L36" s="466">
        <v>283132</v>
      </c>
    </row>
    <row r="37" spans="1:14" x14ac:dyDescent="0.2">
      <c r="A37" s="1504" t="s">
        <v>1090</v>
      </c>
      <c r="B37" s="614">
        <v>2120</v>
      </c>
      <c r="C37" s="466">
        <v>836122</v>
      </c>
      <c r="D37" s="466">
        <v>93034</v>
      </c>
      <c r="E37" s="466">
        <v>2156</v>
      </c>
      <c r="F37" s="466">
        <v>11907</v>
      </c>
      <c r="G37" s="466"/>
      <c r="H37" s="466">
        <v>1061</v>
      </c>
      <c r="I37" s="467"/>
      <c r="J37" s="467"/>
      <c r="K37" s="1671">
        <f t="shared" si="2"/>
        <v>944280</v>
      </c>
      <c r="L37" s="466">
        <v>941253</v>
      </c>
    </row>
    <row r="38" spans="1:14" x14ac:dyDescent="0.2">
      <c r="A38" s="1504" t="s">
        <v>198</v>
      </c>
      <c r="B38" s="614">
        <v>2130</v>
      </c>
      <c r="C38" s="466">
        <v>76368</v>
      </c>
      <c r="D38" s="466">
        <v>25884</v>
      </c>
      <c r="E38" s="466">
        <v>9097</v>
      </c>
      <c r="F38" s="466">
        <v>1001</v>
      </c>
      <c r="G38" s="466"/>
      <c r="H38" s="466"/>
      <c r="I38" s="467"/>
      <c r="J38" s="467"/>
      <c r="K38" s="1671">
        <f t="shared" si="2"/>
        <v>112350</v>
      </c>
      <c r="L38" s="466">
        <v>116400</v>
      </c>
    </row>
    <row r="39" spans="1:14" x14ac:dyDescent="0.2">
      <c r="A39" s="1504" t="s">
        <v>199</v>
      </c>
      <c r="B39" s="614">
        <v>2140</v>
      </c>
      <c r="C39" s="466">
        <v>190918</v>
      </c>
      <c r="D39" s="466">
        <v>22229</v>
      </c>
      <c r="E39" s="466"/>
      <c r="F39" s="466"/>
      <c r="G39" s="466"/>
      <c r="H39" s="466"/>
      <c r="I39" s="467"/>
      <c r="J39" s="467"/>
      <c r="K39" s="1671">
        <f t="shared" si="2"/>
        <v>213147</v>
      </c>
      <c r="L39" s="466">
        <v>218797</v>
      </c>
    </row>
    <row r="40" spans="1:14" x14ac:dyDescent="0.2">
      <c r="A40" s="1504" t="s">
        <v>200</v>
      </c>
      <c r="B40" s="614">
        <v>2150</v>
      </c>
      <c r="C40" s="466"/>
      <c r="D40" s="466"/>
      <c r="E40" s="466"/>
      <c r="F40" s="466">
        <v>525</v>
      </c>
      <c r="G40" s="466"/>
      <c r="H40" s="466"/>
      <c r="I40" s="467"/>
      <c r="J40" s="467"/>
      <c r="K40" s="1671">
        <f t="shared" si="2"/>
        <v>525</v>
      </c>
      <c r="L40" s="466">
        <v>525</v>
      </c>
    </row>
    <row r="41" spans="1:14" x14ac:dyDescent="0.2">
      <c r="A41" s="1504" t="s">
        <v>1669</v>
      </c>
      <c r="B41" s="614">
        <v>2190</v>
      </c>
      <c r="C41" s="466"/>
      <c r="D41" s="466"/>
      <c r="E41" s="466">
        <v>24163</v>
      </c>
      <c r="F41" s="466">
        <v>15994</v>
      </c>
      <c r="G41" s="466"/>
      <c r="H41" s="466">
        <v>10142</v>
      </c>
      <c r="I41" s="467"/>
      <c r="J41" s="467"/>
      <c r="K41" s="1671">
        <f t="shared" si="2"/>
        <v>50299</v>
      </c>
      <c r="L41" s="466">
        <v>45000</v>
      </c>
    </row>
    <row r="42" spans="1:14" ht="12.75" customHeight="1" thickBot="1" x14ac:dyDescent="0.25">
      <c r="A42" s="1668" t="s">
        <v>560</v>
      </c>
      <c r="B42" s="1669" t="s">
        <v>716</v>
      </c>
      <c r="C42" s="1670">
        <f>SUM(C36:C41)</f>
        <v>1348822</v>
      </c>
      <c r="D42" s="1670">
        <f t="shared" ref="D42:L42" si="3">SUM(D36:D41)</f>
        <v>173156</v>
      </c>
      <c r="E42" s="1670">
        <f t="shared" si="3"/>
        <v>35416</v>
      </c>
      <c r="F42" s="1670">
        <f t="shared" si="3"/>
        <v>30267</v>
      </c>
      <c r="G42" s="1670">
        <f t="shared" si="3"/>
        <v>0</v>
      </c>
      <c r="H42" s="1670">
        <f t="shared" si="3"/>
        <v>11203</v>
      </c>
      <c r="I42" s="1670">
        <f t="shared" si="3"/>
        <v>0</v>
      </c>
      <c r="J42" s="1670">
        <f t="shared" si="3"/>
        <v>0</v>
      </c>
      <c r="K42" s="1670">
        <f t="shared" si="3"/>
        <v>1598864</v>
      </c>
      <c r="L42" s="1670">
        <f t="shared" si="3"/>
        <v>1605107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749932</v>
      </c>
      <c r="D44" s="481">
        <v>224209</v>
      </c>
      <c r="E44" s="481">
        <v>104479</v>
      </c>
      <c r="F44" s="481">
        <v>207446</v>
      </c>
      <c r="G44" s="481"/>
      <c r="H44" s="481">
        <v>7806</v>
      </c>
      <c r="I44" s="467"/>
      <c r="J44" s="467"/>
      <c r="K44" s="1672">
        <f>SUM(C44:J44)</f>
        <v>1293872</v>
      </c>
      <c r="L44" s="481">
        <v>1464462</v>
      </c>
    </row>
    <row r="45" spans="1:14" x14ac:dyDescent="0.2">
      <c r="A45" s="1504" t="s">
        <v>815</v>
      </c>
      <c r="B45" s="614">
        <v>2220</v>
      </c>
      <c r="C45" s="466">
        <v>156286</v>
      </c>
      <c r="D45" s="466">
        <v>22683</v>
      </c>
      <c r="E45" s="466"/>
      <c r="F45" s="466">
        <v>46442</v>
      </c>
      <c r="G45" s="466"/>
      <c r="H45" s="466"/>
      <c r="I45" s="467"/>
      <c r="J45" s="467"/>
      <c r="K45" s="1672">
        <f>SUM(C45:J45)</f>
        <v>225411</v>
      </c>
      <c r="L45" s="466">
        <v>243940</v>
      </c>
    </row>
    <row r="46" spans="1:14" x14ac:dyDescent="0.2">
      <c r="A46" s="1504" t="s">
        <v>816</v>
      </c>
      <c r="B46" s="614">
        <v>2230</v>
      </c>
      <c r="C46" s="466"/>
      <c r="D46" s="466"/>
      <c r="E46" s="466">
        <v>7676</v>
      </c>
      <c r="F46" s="466"/>
      <c r="G46" s="466"/>
      <c r="H46" s="466"/>
      <c r="I46" s="467"/>
      <c r="J46" s="467"/>
      <c r="K46" s="1672">
        <f>SUM(C46:J46)</f>
        <v>7676</v>
      </c>
      <c r="L46" s="466">
        <v>7676</v>
      </c>
    </row>
    <row r="47" spans="1:14" ht="12.75" customHeight="1" thickBot="1" x14ac:dyDescent="0.25">
      <c r="A47" s="1668" t="s">
        <v>561</v>
      </c>
      <c r="B47" s="1669" t="s">
        <v>32</v>
      </c>
      <c r="C47" s="1670">
        <f>SUM(C44:C46)</f>
        <v>906218</v>
      </c>
      <c r="D47" s="1670">
        <f t="shared" ref="D47:K47" si="4">SUM(D44:D46)</f>
        <v>246892</v>
      </c>
      <c r="E47" s="1670">
        <f t="shared" si="4"/>
        <v>112155</v>
      </c>
      <c r="F47" s="1670">
        <f t="shared" si="4"/>
        <v>253888</v>
      </c>
      <c r="G47" s="1670">
        <f t="shared" si="4"/>
        <v>0</v>
      </c>
      <c r="H47" s="1670">
        <f t="shared" si="4"/>
        <v>7806</v>
      </c>
      <c r="I47" s="1670">
        <f t="shared" si="4"/>
        <v>0</v>
      </c>
      <c r="J47" s="1670">
        <f t="shared" si="4"/>
        <v>0</v>
      </c>
      <c r="K47" s="1670">
        <f t="shared" si="4"/>
        <v>1526959</v>
      </c>
      <c r="L47" s="1670">
        <f>SUM(L44:L46)</f>
        <v>1716078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9399</v>
      </c>
      <c r="D49" s="481">
        <v>1212</v>
      </c>
      <c r="E49" s="481">
        <f>969540+12350</f>
        <v>981890</v>
      </c>
      <c r="F49" s="481">
        <v>11467</v>
      </c>
      <c r="G49" s="481"/>
      <c r="H49" s="481">
        <v>14241</v>
      </c>
      <c r="I49" s="467"/>
      <c r="J49" s="467"/>
      <c r="K49" s="1672">
        <f>SUM(C49:J49)</f>
        <v>1018209</v>
      </c>
      <c r="L49" s="481">
        <v>1256696</v>
      </c>
    </row>
    <row r="50" spans="1:14" x14ac:dyDescent="0.2">
      <c r="A50" s="1504" t="s">
        <v>818</v>
      </c>
      <c r="B50" s="614">
        <v>2320</v>
      </c>
      <c r="C50" s="466">
        <v>285666</v>
      </c>
      <c r="D50" s="466">
        <v>37426</v>
      </c>
      <c r="E50" s="466">
        <v>955</v>
      </c>
      <c r="F50" s="466">
        <v>657</v>
      </c>
      <c r="G50" s="466"/>
      <c r="H50" s="466">
        <v>5482</v>
      </c>
      <c r="I50" s="467"/>
      <c r="J50" s="467"/>
      <c r="K50" s="1672">
        <f>SUM(C50:J50)</f>
        <v>330186</v>
      </c>
      <c r="L50" s="466">
        <v>345241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295065</v>
      </c>
      <c r="D53" s="1670">
        <f t="shared" ref="D53:L53" si="5">SUM(D49:D52)</f>
        <v>38638</v>
      </c>
      <c r="E53" s="1670">
        <f t="shared" si="5"/>
        <v>982845</v>
      </c>
      <c r="F53" s="1670">
        <f t="shared" si="5"/>
        <v>12124</v>
      </c>
      <c r="G53" s="1670">
        <f t="shared" si="5"/>
        <v>0</v>
      </c>
      <c r="H53" s="1670">
        <f t="shared" si="5"/>
        <v>19723</v>
      </c>
      <c r="I53" s="1670">
        <f t="shared" si="5"/>
        <v>0</v>
      </c>
      <c r="J53" s="1670">
        <f t="shared" si="5"/>
        <v>0</v>
      </c>
      <c r="K53" s="1670">
        <f t="shared" si="5"/>
        <v>1348395</v>
      </c>
      <c r="L53" s="1670">
        <f t="shared" si="5"/>
        <v>1601937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485625</v>
      </c>
      <c r="D55" s="481">
        <v>147662</v>
      </c>
      <c r="E55" s="481">
        <v>1399</v>
      </c>
      <c r="F55" s="481">
        <v>20892</v>
      </c>
      <c r="G55" s="481"/>
      <c r="H55" s="481">
        <v>14963</v>
      </c>
      <c r="I55" s="467"/>
      <c r="J55" s="467"/>
      <c r="K55" s="1672">
        <f>SUM(C55:J55)</f>
        <v>670541</v>
      </c>
      <c r="L55" s="481">
        <v>688402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485625</v>
      </c>
      <c r="D57" s="1674">
        <f t="shared" ref="D57:K57" si="6">SUM(D55:D56)</f>
        <v>147662</v>
      </c>
      <c r="E57" s="1674">
        <f t="shared" si="6"/>
        <v>1399</v>
      </c>
      <c r="F57" s="1674">
        <f t="shared" si="6"/>
        <v>20892</v>
      </c>
      <c r="G57" s="1674">
        <f t="shared" si="6"/>
        <v>0</v>
      </c>
      <c r="H57" s="1674">
        <f t="shared" si="6"/>
        <v>14963</v>
      </c>
      <c r="I57" s="1674">
        <f t="shared" si="6"/>
        <v>0</v>
      </c>
      <c r="J57" s="1674">
        <f t="shared" si="6"/>
        <v>0</v>
      </c>
      <c r="K57" s="1674">
        <f t="shared" si="6"/>
        <v>670541</v>
      </c>
      <c r="L57" s="1670">
        <f>SUM(L55:L56)</f>
        <v>688402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127206</v>
      </c>
      <c r="D59" s="481">
        <v>69343</v>
      </c>
      <c r="E59" s="481">
        <v>56242</v>
      </c>
      <c r="F59" s="481">
        <v>7019</v>
      </c>
      <c r="G59" s="481"/>
      <c r="H59" s="481">
        <v>1850</v>
      </c>
      <c r="I59" s="467"/>
      <c r="J59" s="467"/>
      <c r="K59" s="1672">
        <f t="shared" ref="K59:K64" si="7">SUM(C59:J59)</f>
        <v>261660</v>
      </c>
      <c r="L59" s="481">
        <v>223462</v>
      </c>
      <c r="M59" s="609"/>
      <c r="N59" s="609"/>
    </row>
    <row r="60" spans="1:14" s="343" customFormat="1" x14ac:dyDescent="0.2">
      <c r="A60" s="1504" t="s">
        <v>463</v>
      </c>
      <c r="B60" s="614">
        <v>2520</v>
      </c>
      <c r="C60" s="466">
        <v>170339</v>
      </c>
      <c r="D60" s="466"/>
      <c r="E60" s="466"/>
      <c r="F60" s="466"/>
      <c r="G60" s="466"/>
      <c r="H60" s="466"/>
      <c r="I60" s="467"/>
      <c r="J60" s="467"/>
      <c r="K60" s="1672">
        <f t="shared" si="7"/>
        <v>170339</v>
      </c>
      <c r="L60" s="466">
        <v>156000</v>
      </c>
      <c r="M60" s="609"/>
      <c r="N60" s="609"/>
    </row>
    <row r="61" spans="1:14" s="343" customFormat="1" x14ac:dyDescent="0.2">
      <c r="A61" s="1504" t="s">
        <v>197</v>
      </c>
      <c r="B61" s="614">
        <v>2540</v>
      </c>
      <c r="C61" s="466">
        <v>30260</v>
      </c>
      <c r="D61" s="466"/>
      <c r="E61" s="466"/>
      <c r="F61" s="466"/>
      <c r="G61" s="466"/>
      <c r="H61" s="466"/>
      <c r="I61" s="467"/>
      <c r="J61" s="467"/>
      <c r="K61" s="1672">
        <f t="shared" si="7"/>
        <v>30260</v>
      </c>
      <c r="L61" s="466">
        <v>30000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316634</v>
      </c>
      <c r="D63" s="466">
        <v>79441</v>
      </c>
      <c r="E63" s="466">
        <f>2999+8</f>
        <v>3007</v>
      </c>
      <c r="F63" s="466">
        <v>368976</v>
      </c>
      <c r="G63" s="466"/>
      <c r="H63" s="466">
        <v>1724</v>
      </c>
      <c r="I63" s="467"/>
      <c r="J63" s="467"/>
      <c r="K63" s="1672">
        <f t="shared" si="7"/>
        <v>769782</v>
      </c>
      <c r="L63" s="466">
        <v>807900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644439</v>
      </c>
      <c r="D65" s="1670">
        <f t="shared" ref="D65:L65" si="8">SUM(D59:D64)</f>
        <v>148784</v>
      </c>
      <c r="E65" s="1670">
        <f t="shared" si="8"/>
        <v>59249</v>
      </c>
      <c r="F65" s="1670">
        <f t="shared" si="8"/>
        <v>375995</v>
      </c>
      <c r="G65" s="1670">
        <f t="shared" si="8"/>
        <v>0</v>
      </c>
      <c r="H65" s="1670">
        <f t="shared" si="8"/>
        <v>3574</v>
      </c>
      <c r="I65" s="1670">
        <f t="shared" si="8"/>
        <v>0</v>
      </c>
      <c r="J65" s="1670">
        <f t="shared" si="8"/>
        <v>0</v>
      </c>
      <c r="K65" s="1670">
        <f t="shared" si="8"/>
        <v>1232041</v>
      </c>
      <c r="L65" s="1670">
        <f t="shared" si="8"/>
        <v>1217362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v>11965</v>
      </c>
      <c r="F68" s="466"/>
      <c r="G68" s="466"/>
      <c r="H68" s="466"/>
      <c r="I68" s="467"/>
      <c r="J68" s="467"/>
      <c r="K68" s="1672">
        <f>SUM(C68:J68)</f>
        <v>11965</v>
      </c>
      <c r="L68" s="466">
        <v>11965</v>
      </c>
      <c r="M68" s="609"/>
      <c r="N68" s="609"/>
    </row>
    <row r="69" spans="1:14" s="343" customFormat="1" x14ac:dyDescent="0.2">
      <c r="A69" s="1504" t="s">
        <v>1061</v>
      </c>
      <c r="B69" s="614">
        <v>2630</v>
      </c>
      <c r="C69" s="466">
        <v>270847</v>
      </c>
      <c r="D69" s="466">
        <v>60961</v>
      </c>
      <c r="E69" s="466">
        <v>112552</v>
      </c>
      <c r="F69" s="466">
        <v>205854</v>
      </c>
      <c r="G69" s="466">
        <v>129585</v>
      </c>
      <c r="H69" s="466"/>
      <c r="I69" s="467"/>
      <c r="J69" s="467"/>
      <c r="K69" s="1672">
        <f>SUM(C69:J69)</f>
        <v>779799</v>
      </c>
      <c r="L69" s="466">
        <v>877007</v>
      </c>
      <c r="M69" s="609"/>
      <c r="N69" s="609"/>
    </row>
    <row r="70" spans="1:14" s="343" customFormat="1" x14ac:dyDescent="0.2">
      <c r="A70" s="1504" t="s">
        <v>403</v>
      </c>
      <c r="B70" s="614">
        <v>2640</v>
      </c>
      <c r="C70" s="466"/>
      <c r="D70" s="466"/>
      <c r="E70" s="466">
        <v>34889</v>
      </c>
      <c r="F70" s="466">
        <v>6073</v>
      </c>
      <c r="G70" s="466"/>
      <c r="H70" s="466"/>
      <c r="I70" s="467"/>
      <c r="J70" s="467"/>
      <c r="K70" s="1672">
        <f>SUM(C70:J70)</f>
        <v>40962</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v>52900</v>
      </c>
      <c r="M71" s="609"/>
      <c r="N71" s="609"/>
    </row>
    <row r="72" spans="1:14" s="343" customFormat="1" ht="12.75" customHeight="1" thickBot="1" x14ac:dyDescent="0.25">
      <c r="A72" s="1668" t="s">
        <v>37</v>
      </c>
      <c r="B72" s="1675" t="s">
        <v>36</v>
      </c>
      <c r="C72" s="1670">
        <f>SUM(C67:C71)</f>
        <v>270847</v>
      </c>
      <c r="D72" s="1670">
        <f t="shared" ref="D72:K72" si="9">SUM(D67:D71)</f>
        <v>60961</v>
      </c>
      <c r="E72" s="1670">
        <f t="shared" si="9"/>
        <v>159406</v>
      </c>
      <c r="F72" s="1670">
        <f t="shared" si="9"/>
        <v>211927</v>
      </c>
      <c r="G72" s="1670">
        <f t="shared" si="9"/>
        <v>129585</v>
      </c>
      <c r="H72" s="1670">
        <f t="shared" si="9"/>
        <v>0</v>
      </c>
      <c r="I72" s="1670">
        <f t="shared" si="9"/>
        <v>0</v>
      </c>
      <c r="J72" s="1670">
        <f t="shared" si="9"/>
        <v>0</v>
      </c>
      <c r="K72" s="1670">
        <f t="shared" si="9"/>
        <v>832726</v>
      </c>
      <c r="L72" s="1670">
        <f>SUM(L67:L71)</f>
        <v>941872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3951016</v>
      </c>
      <c r="D74" s="1677">
        <f t="shared" ref="D74:K74" si="10">SUM(D42,D47,D53,D57,D65,D72,D73)</f>
        <v>816093</v>
      </c>
      <c r="E74" s="1677">
        <f t="shared" si="10"/>
        <v>1350470</v>
      </c>
      <c r="F74" s="1677">
        <f t="shared" si="10"/>
        <v>905093</v>
      </c>
      <c r="G74" s="1677">
        <f t="shared" si="10"/>
        <v>129585</v>
      </c>
      <c r="H74" s="1677">
        <f t="shared" si="10"/>
        <v>57269</v>
      </c>
      <c r="I74" s="1677">
        <f t="shared" si="10"/>
        <v>0</v>
      </c>
      <c r="J74" s="1677">
        <f t="shared" si="10"/>
        <v>0</v>
      </c>
      <c r="K74" s="1677">
        <f t="shared" si="10"/>
        <v>7209526</v>
      </c>
      <c r="L74" s="1677">
        <f>SUM(L42,L47,L53,L57,L65,L72,L73)</f>
        <v>7770758</v>
      </c>
    </row>
    <row r="75" spans="1:14" s="259" customFormat="1" ht="15.75" customHeight="1" thickTop="1" thickBot="1" x14ac:dyDescent="0.25">
      <c r="A75" s="1610" t="s">
        <v>47</v>
      </c>
      <c r="B75" s="1611" t="s">
        <v>575</v>
      </c>
      <c r="C75" s="573"/>
      <c r="D75" s="573"/>
      <c r="E75" s="573">
        <v>77683</v>
      </c>
      <c r="F75" s="573">
        <v>500</v>
      </c>
      <c r="G75" s="573"/>
      <c r="H75" s="573"/>
      <c r="I75" s="531"/>
      <c r="J75" s="531"/>
      <c r="K75" s="1670">
        <f>SUM(C75:J75)</f>
        <v>78183</v>
      </c>
      <c r="L75" s="576">
        <v>91000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47659</v>
      </c>
      <c r="F78" s="616"/>
      <c r="G78" s="616"/>
      <c r="H78" s="634">
        <v>3567</v>
      </c>
      <c r="I78" s="477"/>
      <c r="J78" s="477"/>
      <c r="K78" s="1671">
        <f t="shared" ref="K78:K83" si="11">SUM(C78:J78)</f>
        <v>51226</v>
      </c>
      <c r="L78" s="481">
        <v>72800</v>
      </c>
    </row>
    <row r="79" spans="1:14" x14ac:dyDescent="0.2">
      <c r="A79" s="1504" t="s">
        <v>304</v>
      </c>
      <c r="B79" s="614">
        <v>4120</v>
      </c>
      <c r="C79" s="616"/>
      <c r="D79" s="616"/>
      <c r="E79" s="466"/>
      <c r="F79" s="616"/>
      <c r="G79" s="616"/>
      <c r="H79" s="466">
        <v>2092504</v>
      </c>
      <c r="I79" s="477"/>
      <c r="J79" s="477"/>
      <c r="K79" s="1671">
        <f t="shared" si="11"/>
        <v>2092504</v>
      </c>
      <c r="L79" s="466">
        <v>2000000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348541</v>
      </c>
      <c r="I81" s="477"/>
      <c r="J81" s="477"/>
      <c r="K81" s="1671">
        <f t="shared" si="11"/>
        <v>348541</v>
      </c>
      <c r="L81" s="466">
        <v>370000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47659</v>
      </c>
      <c r="F84" s="616"/>
      <c r="G84" s="616"/>
      <c r="H84" s="1670">
        <f>SUM(H78:H83)</f>
        <v>2444612</v>
      </c>
      <c r="I84" s="477"/>
      <c r="J84" s="477"/>
      <c r="K84" s="1670">
        <f>SUM(K78:K83)</f>
        <v>2492271</v>
      </c>
      <c r="L84" s="1670">
        <f>SUM(L78:L83)</f>
        <v>2442800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47659</v>
      </c>
      <c r="F102" s="616"/>
      <c r="G102" s="616"/>
      <c r="H102" s="1677">
        <f>SUM(H84,H92,H100,H101)</f>
        <v>2444612</v>
      </c>
      <c r="I102" s="477"/>
      <c r="J102" s="477"/>
      <c r="K102" s="1677">
        <f>SUM(K84,K92,K100,K101)</f>
        <v>2492271</v>
      </c>
      <c r="L102" s="1677">
        <f>SUM(L84,L92,L100,L101)</f>
        <v>2442800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13346718</v>
      </c>
      <c r="D114" s="1670">
        <f t="shared" ref="D114:K114" si="13">SUM(D33,D74,D75,D102,D112,D113)</f>
        <v>2056899</v>
      </c>
      <c r="E114" s="1670">
        <f t="shared" si="13"/>
        <v>2688388</v>
      </c>
      <c r="F114" s="1670">
        <f t="shared" si="13"/>
        <v>1452042</v>
      </c>
      <c r="G114" s="1670">
        <f t="shared" si="13"/>
        <v>242843</v>
      </c>
      <c r="H114" s="1670">
        <f>SUM(H33,H74,H75,H102,H112,H113)</f>
        <v>2529842</v>
      </c>
      <c r="I114" s="1670">
        <f t="shared" si="13"/>
        <v>0</v>
      </c>
      <c r="J114" s="1670">
        <f t="shared" si="13"/>
        <v>0</v>
      </c>
      <c r="K114" s="1670">
        <f t="shared" si="13"/>
        <v>22316732</v>
      </c>
      <c r="L114" s="1670">
        <f>SUM(L33,L74,L75,L102,L112,L113)</f>
        <v>23602561</v>
      </c>
    </row>
    <row r="115" spans="1:14" ht="13.5" thickTop="1" x14ac:dyDescent="0.2">
      <c r="A115" s="2155" t="s">
        <v>996</v>
      </c>
      <c r="B115" s="2156"/>
      <c r="C115" s="618"/>
      <c r="D115" s="618"/>
      <c r="E115" s="618"/>
      <c r="F115" s="618"/>
      <c r="G115" s="618"/>
      <c r="H115" s="618"/>
      <c r="I115" s="618"/>
      <c r="J115" s="618"/>
      <c r="K115" s="1684">
        <f>'Revenues 9-14'!C268-'Expenditures 15-22'!K114</f>
        <v>-1503675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996669</v>
      </c>
      <c r="D124" s="466">
        <v>194954</v>
      </c>
      <c r="E124" s="466">
        <f>624233+184248</f>
        <v>808481</v>
      </c>
      <c r="F124" s="466">
        <v>819694</v>
      </c>
      <c r="G124" s="466">
        <v>328150</v>
      </c>
      <c r="H124" s="466">
        <v>324</v>
      </c>
      <c r="I124" s="467"/>
      <c r="J124" s="467"/>
      <c r="K124" s="1670">
        <f>SUM(C124:J124)</f>
        <v>3148272</v>
      </c>
      <c r="L124" s="466">
        <v>3426290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996669</v>
      </c>
      <c r="D127" s="1670">
        <f t="shared" ref="D127:L127" si="14">SUM(D122:D126)</f>
        <v>194954</v>
      </c>
      <c r="E127" s="1670">
        <f t="shared" si="14"/>
        <v>808481</v>
      </c>
      <c r="F127" s="1670">
        <f t="shared" si="14"/>
        <v>819694</v>
      </c>
      <c r="G127" s="1670">
        <f t="shared" si="14"/>
        <v>328150</v>
      </c>
      <c r="H127" s="1670">
        <f t="shared" si="14"/>
        <v>324</v>
      </c>
      <c r="I127" s="1670">
        <f t="shared" si="14"/>
        <v>0</v>
      </c>
      <c r="J127" s="1670">
        <f t="shared" si="14"/>
        <v>0</v>
      </c>
      <c r="K127" s="1670">
        <f t="shared" si="14"/>
        <v>3148272</v>
      </c>
      <c r="L127" s="1670">
        <f t="shared" si="14"/>
        <v>3426290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996669</v>
      </c>
      <c r="D129" s="1677">
        <f t="shared" ref="D129:L129" si="15">SUM(D120,D127,D128)</f>
        <v>194954</v>
      </c>
      <c r="E129" s="1677">
        <f t="shared" si="15"/>
        <v>808481</v>
      </c>
      <c r="F129" s="1677">
        <f t="shared" si="15"/>
        <v>819694</v>
      </c>
      <c r="G129" s="1677">
        <f t="shared" si="15"/>
        <v>328150</v>
      </c>
      <c r="H129" s="1677">
        <f t="shared" si="15"/>
        <v>324</v>
      </c>
      <c r="I129" s="1677">
        <f t="shared" si="15"/>
        <v>0</v>
      </c>
      <c r="J129" s="1677">
        <f t="shared" si="15"/>
        <v>0</v>
      </c>
      <c r="K129" s="1677">
        <f t="shared" si="15"/>
        <v>3148272</v>
      </c>
      <c r="L129" s="1677">
        <f t="shared" si="15"/>
        <v>3426290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v>77659</v>
      </c>
      <c r="F134" s="616"/>
      <c r="G134" s="616"/>
      <c r="H134" s="481"/>
      <c r="I134" s="477"/>
      <c r="J134" s="616"/>
      <c r="K134" s="1672">
        <f>SUM(E134,H134)</f>
        <v>77659</v>
      </c>
      <c r="L134" s="481">
        <v>117200</v>
      </c>
    </row>
    <row r="135" spans="1:14" x14ac:dyDescent="0.2">
      <c r="A135" s="1504" t="s">
        <v>697</v>
      </c>
      <c r="B135" s="614">
        <v>4140</v>
      </c>
      <c r="C135" s="616"/>
      <c r="D135" s="616"/>
      <c r="E135" s="467">
        <v>12565</v>
      </c>
      <c r="F135" s="616"/>
      <c r="G135" s="616"/>
      <c r="H135" s="466"/>
      <c r="I135" s="477"/>
      <c r="J135" s="616"/>
      <c r="K135" s="1672">
        <f>SUM(E135,H135)</f>
        <v>12565</v>
      </c>
      <c r="L135" s="466">
        <v>13300</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90224</v>
      </c>
      <c r="F137" s="616"/>
      <c r="G137" s="616"/>
      <c r="H137" s="1670">
        <f>SUM(H133:H136)</f>
        <v>0</v>
      </c>
      <c r="I137" s="477"/>
      <c r="J137" s="616"/>
      <c r="K137" s="1670">
        <f>SUM(K133:K136)</f>
        <v>90224</v>
      </c>
      <c r="L137" s="1670">
        <f>SUM(L133:L136)</f>
        <v>130500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90224</v>
      </c>
      <c r="F139" s="616"/>
      <c r="G139" s="616"/>
      <c r="H139" s="1679">
        <f>SUM(H137:H138)</f>
        <v>0</v>
      </c>
      <c r="I139" s="477"/>
      <c r="J139" s="616"/>
      <c r="K139" s="1672">
        <f>SUM(K137,K138)</f>
        <v>90224</v>
      </c>
      <c r="L139" s="1679">
        <f>SUM(L137,L138)</f>
        <v>130500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996669</v>
      </c>
      <c r="D151" s="1670">
        <f t="shared" ref="D151:K151" si="16">SUM(D129,D130,D139,D149,D150)</f>
        <v>194954</v>
      </c>
      <c r="E151" s="1670">
        <f t="shared" si="16"/>
        <v>898705</v>
      </c>
      <c r="F151" s="1670">
        <f t="shared" si="16"/>
        <v>819694</v>
      </c>
      <c r="G151" s="1670">
        <f t="shared" si="16"/>
        <v>328150</v>
      </c>
      <c r="H151" s="1670">
        <f t="shared" si="16"/>
        <v>324</v>
      </c>
      <c r="I151" s="1670">
        <f t="shared" si="16"/>
        <v>0</v>
      </c>
      <c r="J151" s="1670">
        <f t="shared" si="16"/>
        <v>0</v>
      </c>
      <c r="K151" s="1670">
        <f t="shared" si="16"/>
        <v>3238496</v>
      </c>
      <c r="L151" s="1670">
        <f>SUM(L129,L130,L139,L149,L150)</f>
        <v>3556790</v>
      </c>
    </row>
    <row r="152" spans="1:14" ht="12.75" customHeight="1" thickTop="1" x14ac:dyDescent="0.2">
      <c r="A152" s="2175" t="s">
        <v>1178</v>
      </c>
      <c r="B152" s="2176"/>
      <c r="C152" s="618"/>
      <c r="D152" s="618"/>
      <c r="E152" s="618"/>
      <c r="F152" s="618"/>
      <c r="G152" s="618"/>
      <c r="H152" s="618"/>
      <c r="I152" s="618"/>
      <c r="J152" s="616"/>
      <c r="K152" s="1684">
        <f>'Revenues 9-14'!D268-'Expenditures 15-22'!K151</f>
        <v>2419847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v>2000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2000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2000</v>
      </c>
    </row>
    <row r="175" spans="1:14" ht="13.5" thickTop="1" x14ac:dyDescent="0.2">
      <c r="A175" s="2155" t="s">
        <v>996</v>
      </c>
      <c r="B175" s="2156"/>
      <c r="C175" s="616"/>
      <c r="D175" s="616"/>
      <c r="E175" s="616"/>
      <c r="F175" s="616"/>
      <c r="G175" s="616"/>
      <c r="H175" s="618"/>
      <c r="I175" s="616"/>
      <c r="J175" s="616"/>
      <c r="K175" s="1684">
        <f>'Revenues 9-14'!E268-'Expenditures 15-22'!K174</f>
        <v>2969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545444</v>
      </c>
      <c r="D182" s="466">
        <v>121441</v>
      </c>
      <c r="E182" s="466">
        <v>1387467</v>
      </c>
      <c r="F182" s="466">
        <v>89198</v>
      </c>
      <c r="G182" s="466"/>
      <c r="H182" s="466"/>
      <c r="I182" s="467"/>
      <c r="J182" s="467"/>
      <c r="K182" s="1671">
        <f>SUM(C182:J182)</f>
        <v>2143550</v>
      </c>
      <c r="L182" s="466">
        <v>2104000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545444</v>
      </c>
      <c r="D184" s="1677">
        <f t="shared" ref="D184:J184" si="17">SUM(D180,D182,D183)</f>
        <v>121441</v>
      </c>
      <c r="E184" s="1677">
        <f t="shared" si="17"/>
        <v>1387467</v>
      </c>
      <c r="F184" s="1677">
        <f t="shared" si="17"/>
        <v>89198</v>
      </c>
      <c r="G184" s="1677">
        <f t="shared" si="17"/>
        <v>0</v>
      </c>
      <c r="H184" s="1677">
        <f t="shared" si="17"/>
        <v>0</v>
      </c>
      <c r="I184" s="1677">
        <f t="shared" si="17"/>
        <v>0</v>
      </c>
      <c r="J184" s="1677">
        <f t="shared" si="17"/>
        <v>0</v>
      </c>
      <c r="K184" s="1677">
        <f>SUM(K180,K182,K183)</f>
        <v>2143550</v>
      </c>
      <c r="L184" s="1677">
        <f>SUM(L180, L182:L183)</f>
        <v>2104000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545444</v>
      </c>
      <c r="D210" s="1670">
        <f>SUM(D184,D185)</f>
        <v>121441</v>
      </c>
      <c r="E210" s="1670">
        <f>SUM(E184,E185,E196)</f>
        <v>1387467</v>
      </c>
      <c r="F210" s="1670">
        <f>SUM(F184,F185)</f>
        <v>89198</v>
      </c>
      <c r="G210" s="1670">
        <f>SUM(G184,G185)</f>
        <v>0</v>
      </c>
      <c r="H210" s="1670">
        <f>SUM(H184,H185,H196,H208,H209)</f>
        <v>0</v>
      </c>
      <c r="I210" s="1670">
        <f>SUM(I184,I185)</f>
        <v>0</v>
      </c>
      <c r="J210" s="1670">
        <f>SUM(J184,J185)</f>
        <v>0</v>
      </c>
      <c r="K210" s="1671">
        <f>SUM(K184,K185,K196,K208,K209)</f>
        <v>2143550</v>
      </c>
      <c r="L210" s="1670">
        <f>SUM(L184,L185,L196,L208,L209)</f>
        <v>2104000</v>
      </c>
    </row>
    <row r="211" spans="1:14" ht="13.5" thickTop="1" x14ac:dyDescent="0.2">
      <c r="A211" s="2155" t="s">
        <v>996</v>
      </c>
      <c r="B211" s="2156"/>
      <c r="C211" s="618"/>
      <c r="D211" s="618"/>
      <c r="E211" s="618"/>
      <c r="F211" s="618"/>
      <c r="G211" s="618"/>
      <c r="H211" s="618"/>
      <c r="I211" s="616"/>
      <c r="J211" s="616"/>
      <c r="K211" s="1684">
        <f>'Revenues 9-14'!F268-'Expenditures 15-22'!K210</f>
        <v>-569554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112615</v>
      </c>
      <c r="E215" s="616"/>
      <c r="F215" s="616"/>
      <c r="G215" s="616"/>
      <c r="H215" s="616"/>
      <c r="I215" s="616"/>
      <c r="J215" s="616"/>
      <c r="K215" s="1671">
        <f>D215</f>
        <v>112615</v>
      </c>
      <c r="L215" s="466">
        <v>132289</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50375</v>
      </c>
      <c r="E217" s="616"/>
      <c r="F217" s="616"/>
      <c r="G217" s="616"/>
      <c r="H217" s="616"/>
      <c r="I217" s="616"/>
      <c r="J217" s="616"/>
      <c r="K217" s="1671">
        <f t="shared" si="19"/>
        <v>50375</v>
      </c>
      <c r="L217" s="466">
        <v>57092</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7235</v>
      </c>
      <c r="E222" s="616"/>
      <c r="F222" s="616"/>
      <c r="G222" s="616"/>
      <c r="H222" s="616"/>
      <c r="I222" s="616"/>
      <c r="J222" s="616"/>
      <c r="K222" s="1671">
        <f t="shared" si="19"/>
        <v>7235</v>
      </c>
      <c r="L222" s="466">
        <v>7120</v>
      </c>
    </row>
    <row r="223" spans="1:14" x14ac:dyDescent="0.2">
      <c r="A223" s="1504" t="s">
        <v>963</v>
      </c>
      <c r="B223" s="614">
        <v>1500</v>
      </c>
      <c r="C223" s="616"/>
      <c r="D223" s="466">
        <v>47145</v>
      </c>
      <c r="E223" s="616"/>
      <c r="F223" s="616"/>
      <c r="G223" s="616"/>
      <c r="H223" s="616"/>
      <c r="I223" s="616"/>
      <c r="J223" s="616"/>
      <c r="K223" s="1671">
        <f t="shared" si="19"/>
        <v>47145</v>
      </c>
      <c r="L223" s="466">
        <v>50998</v>
      </c>
    </row>
    <row r="224" spans="1:14" x14ac:dyDescent="0.2">
      <c r="A224" s="1504" t="s">
        <v>964</v>
      </c>
      <c r="B224" s="614">
        <v>1600</v>
      </c>
      <c r="C224" s="616"/>
      <c r="D224" s="466">
        <v>1269</v>
      </c>
      <c r="E224" s="616"/>
      <c r="F224" s="616"/>
      <c r="G224" s="616"/>
      <c r="H224" s="616"/>
      <c r="I224" s="616"/>
      <c r="J224" s="616"/>
      <c r="K224" s="1671">
        <f t="shared" si="19"/>
        <v>1269</v>
      </c>
      <c r="L224" s="466">
        <v>1200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2154</v>
      </c>
      <c r="E226" s="616"/>
      <c r="F226" s="616"/>
      <c r="G226" s="616"/>
      <c r="H226" s="616"/>
      <c r="I226" s="616"/>
      <c r="J226" s="616"/>
      <c r="K226" s="1671">
        <f t="shared" si="19"/>
        <v>2154</v>
      </c>
      <c r="L226" s="466">
        <v>2421</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220793</v>
      </c>
      <c r="E229" s="616"/>
      <c r="F229" s="616"/>
      <c r="G229" s="616"/>
      <c r="H229" s="616"/>
      <c r="I229" s="616"/>
      <c r="J229" s="616"/>
      <c r="K229" s="1670">
        <f>SUM(K215:K228)</f>
        <v>220793</v>
      </c>
      <c r="L229" s="1670">
        <f>SUM(L215:L228)</f>
        <v>251120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10405</v>
      </c>
      <c r="E232" s="616"/>
      <c r="F232" s="616"/>
      <c r="G232" s="616"/>
      <c r="H232" s="616"/>
      <c r="I232" s="616"/>
      <c r="J232" s="616"/>
      <c r="K232" s="1671">
        <f t="shared" ref="K232:K237" si="20">D232</f>
        <v>10405</v>
      </c>
      <c r="L232" s="466">
        <v>12387</v>
      </c>
    </row>
    <row r="233" spans="1:12" x14ac:dyDescent="0.2">
      <c r="A233" s="1504" t="s">
        <v>1090</v>
      </c>
      <c r="B233" s="614">
        <v>2120</v>
      </c>
      <c r="C233" s="616"/>
      <c r="D233" s="466">
        <v>28076</v>
      </c>
      <c r="E233" s="616"/>
      <c r="F233" s="616"/>
      <c r="G233" s="616"/>
      <c r="H233" s="616"/>
      <c r="I233" s="616"/>
      <c r="J233" s="616"/>
      <c r="K233" s="1671">
        <f t="shared" si="20"/>
        <v>28076</v>
      </c>
      <c r="L233" s="466">
        <v>28300</v>
      </c>
    </row>
    <row r="234" spans="1:12" x14ac:dyDescent="0.2">
      <c r="A234" s="1504" t="s">
        <v>198</v>
      </c>
      <c r="B234" s="614">
        <v>2130</v>
      </c>
      <c r="C234" s="616"/>
      <c r="D234" s="466">
        <v>11650</v>
      </c>
      <c r="E234" s="616"/>
      <c r="F234" s="616"/>
      <c r="G234" s="616"/>
      <c r="H234" s="616"/>
      <c r="I234" s="616"/>
      <c r="J234" s="616"/>
      <c r="K234" s="1671">
        <f t="shared" si="20"/>
        <v>11650</v>
      </c>
      <c r="L234" s="466">
        <v>11215</v>
      </c>
    </row>
    <row r="235" spans="1:12" x14ac:dyDescent="0.2">
      <c r="A235" s="1504" t="s">
        <v>199</v>
      </c>
      <c r="B235" s="614">
        <v>2140</v>
      </c>
      <c r="C235" s="616"/>
      <c r="D235" s="466">
        <v>2367</v>
      </c>
      <c r="E235" s="616"/>
      <c r="F235" s="616"/>
      <c r="G235" s="616"/>
      <c r="H235" s="616"/>
      <c r="I235" s="616"/>
      <c r="J235" s="616"/>
      <c r="K235" s="1671">
        <f t="shared" si="20"/>
        <v>2367</v>
      </c>
      <c r="L235" s="466">
        <v>3540</v>
      </c>
    </row>
    <row r="236" spans="1:12" x14ac:dyDescent="0.2">
      <c r="A236" s="1504" t="s">
        <v>200</v>
      </c>
      <c r="B236" s="614">
        <v>2150</v>
      </c>
      <c r="C236" s="616"/>
      <c r="D236" s="466"/>
      <c r="E236" s="616"/>
      <c r="F236" s="616"/>
      <c r="G236" s="616"/>
      <c r="H236" s="616"/>
      <c r="I236" s="616"/>
      <c r="J236" s="616"/>
      <c r="K236" s="1671">
        <f t="shared" si="20"/>
        <v>0</v>
      </c>
      <c r="L236" s="466">
        <v>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52498</v>
      </c>
      <c r="E238" s="616"/>
      <c r="F238" s="616"/>
      <c r="G238" s="616"/>
      <c r="H238" s="616"/>
      <c r="I238" s="616"/>
      <c r="J238" s="616"/>
      <c r="K238" s="1670">
        <f>SUM(K232:K237)</f>
        <v>52498</v>
      </c>
      <c r="L238" s="1670">
        <f>SUM(L232:L237)</f>
        <v>55942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21134</v>
      </c>
      <c r="E240" s="616"/>
      <c r="F240" s="616"/>
      <c r="G240" s="616"/>
      <c r="H240" s="616"/>
      <c r="I240" s="616"/>
      <c r="J240" s="616"/>
      <c r="K240" s="1672">
        <f>D240</f>
        <v>21134</v>
      </c>
      <c r="L240" s="481">
        <v>19370</v>
      </c>
    </row>
    <row r="241" spans="1:12" x14ac:dyDescent="0.2">
      <c r="A241" s="1504" t="s">
        <v>815</v>
      </c>
      <c r="B241" s="614">
        <v>2220</v>
      </c>
      <c r="C241" s="616"/>
      <c r="D241" s="466">
        <v>8000</v>
      </c>
      <c r="E241" s="616"/>
      <c r="F241" s="616"/>
      <c r="G241" s="616"/>
      <c r="H241" s="616"/>
      <c r="I241" s="616"/>
      <c r="J241" s="616"/>
      <c r="K241" s="1672">
        <f>D241</f>
        <v>8000</v>
      </c>
      <c r="L241" s="466">
        <v>8908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29134</v>
      </c>
      <c r="E243" s="616"/>
      <c r="F243" s="616"/>
      <c r="G243" s="616"/>
      <c r="H243" s="616"/>
      <c r="I243" s="616"/>
      <c r="J243" s="616"/>
      <c r="K243" s="1670">
        <f>SUM(K240:K242)</f>
        <v>29134</v>
      </c>
      <c r="L243" s="1670">
        <f>SUM(L240:L242)</f>
        <v>28278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225</v>
      </c>
      <c r="E245" s="616"/>
      <c r="F245" s="616"/>
      <c r="G245" s="616"/>
      <c r="H245" s="616"/>
      <c r="I245" s="616"/>
      <c r="J245" s="616"/>
      <c r="K245" s="1672">
        <f>D245</f>
        <v>225</v>
      </c>
      <c r="L245" s="481">
        <v>275</v>
      </c>
    </row>
    <row r="246" spans="1:12" x14ac:dyDescent="0.2">
      <c r="A246" s="1504" t="s">
        <v>818</v>
      </c>
      <c r="B246" s="614">
        <v>2320</v>
      </c>
      <c r="C246" s="616"/>
      <c r="D246" s="466">
        <v>15623</v>
      </c>
      <c r="E246" s="616"/>
      <c r="F246" s="616"/>
      <c r="G246" s="616"/>
      <c r="H246" s="616"/>
      <c r="I246" s="616"/>
      <c r="J246" s="616"/>
      <c r="K246" s="1672">
        <f t="shared" ref="K246:K256" si="21">D246</f>
        <v>15623</v>
      </c>
      <c r="L246" s="466">
        <v>16995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15848</v>
      </c>
      <c r="E257" s="616"/>
      <c r="F257" s="616"/>
      <c r="G257" s="616"/>
      <c r="H257" s="616"/>
      <c r="I257" s="616"/>
      <c r="J257" s="616"/>
      <c r="K257" s="1670">
        <f>SUM(K245:K256)</f>
        <v>15848</v>
      </c>
      <c r="L257" s="1670">
        <f>SUM(L245:L256)</f>
        <v>17270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21249</v>
      </c>
      <c r="E259" s="616"/>
      <c r="F259" s="616"/>
      <c r="G259" s="616"/>
      <c r="H259" s="616"/>
      <c r="I259" s="616"/>
      <c r="J259" s="616"/>
      <c r="K259" s="1672">
        <f>D259</f>
        <v>21249</v>
      </c>
      <c r="L259" s="481">
        <v>13525</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21249</v>
      </c>
      <c r="E261" s="616"/>
      <c r="F261" s="616"/>
      <c r="G261" s="616"/>
      <c r="H261" s="616"/>
      <c r="I261" s="616"/>
      <c r="J261" s="616"/>
      <c r="K261" s="1670">
        <f>SUM(K259:K260)</f>
        <v>21249</v>
      </c>
      <c r="L261" s="1670">
        <f>SUM(L259:L260)</f>
        <v>13525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1385</v>
      </c>
      <c r="E263" s="616"/>
      <c r="F263" s="616"/>
      <c r="G263" s="616"/>
      <c r="H263" s="616"/>
      <c r="I263" s="616"/>
      <c r="J263" s="616"/>
      <c r="K263" s="1672">
        <f>D263</f>
        <v>1385</v>
      </c>
      <c r="L263" s="481">
        <v>1292</v>
      </c>
    </row>
    <row r="264" spans="1:14" x14ac:dyDescent="0.2">
      <c r="A264" s="1504" t="s">
        <v>463</v>
      </c>
      <c r="B264" s="685">
        <v>2520</v>
      </c>
      <c r="C264" s="616"/>
      <c r="D264" s="466">
        <v>23858</v>
      </c>
      <c r="E264" s="616"/>
      <c r="F264" s="616"/>
      <c r="G264" s="616"/>
      <c r="H264" s="616"/>
      <c r="I264" s="616"/>
      <c r="J264" s="616"/>
      <c r="K264" s="1672">
        <f t="shared" ref="K264:K269" si="22">D264</f>
        <v>23858</v>
      </c>
      <c r="L264" s="466">
        <v>18315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163476</v>
      </c>
      <c r="E266" s="616"/>
      <c r="F266" s="616"/>
      <c r="G266" s="616"/>
      <c r="H266" s="616"/>
      <c r="I266" s="616"/>
      <c r="J266" s="616"/>
      <c r="K266" s="1672">
        <f t="shared" si="22"/>
        <v>163476</v>
      </c>
      <c r="L266" s="466">
        <v>185590</v>
      </c>
    </row>
    <row r="267" spans="1:14" x14ac:dyDescent="0.2">
      <c r="A267" s="1504" t="s">
        <v>953</v>
      </c>
      <c r="B267" s="614">
        <v>2550</v>
      </c>
      <c r="C267" s="616"/>
      <c r="D267" s="466">
        <v>100398</v>
      </c>
      <c r="E267" s="616"/>
      <c r="F267" s="616"/>
      <c r="G267" s="616"/>
      <c r="H267" s="616"/>
      <c r="I267" s="616"/>
      <c r="J267" s="616"/>
      <c r="K267" s="1672">
        <f t="shared" si="22"/>
        <v>100398</v>
      </c>
      <c r="L267" s="466">
        <v>72125</v>
      </c>
    </row>
    <row r="268" spans="1:14" x14ac:dyDescent="0.2">
      <c r="A268" s="1504" t="s">
        <v>100</v>
      </c>
      <c r="B268" s="614">
        <v>2560</v>
      </c>
      <c r="C268" s="616"/>
      <c r="D268" s="466">
        <v>52060</v>
      </c>
      <c r="E268" s="616"/>
      <c r="F268" s="616"/>
      <c r="G268" s="616"/>
      <c r="H268" s="616"/>
      <c r="I268" s="616"/>
      <c r="J268" s="616"/>
      <c r="K268" s="1672">
        <f t="shared" si="22"/>
        <v>52060</v>
      </c>
      <c r="L268" s="466">
        <v>51000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341177</v>
      </c>
      <c r="E270" s="616"/>
      <c r="F270" s="616"/>
      <c r="G270" s="616"/>
      <c r="H270" s="616"/>
      <c r="I270" s="616"/>
      <c r="J270" s="616"/>
      <c r="K270" s="1670">
        <f>SUM(K263:K269)</f>
        <v>341177</v>
      </c>
      <c r="L270" s="1670">
        <f>SUM(L263:L269)</f>
        <v>328322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28877</v>
      </c>
      <c r="E274" s="616"/>
      <c r="F274" s="616"/>
      <c r="G274" s="616"/>
      <c r="H274" s="616"/>
      <c r="I274" s="616"/>
      <c r="J274" s="616"/>
      <c r="K274" s="1672">
        <f>D274</f>
        <v>28877</v>
      </c>
      <c r="L274" s="466">
        <v>38101</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28877</v>
      </c>
      <c r="E277" s="616"/>
      <c r="F277" s="616"/>
      <c r="G277" s="616"/>
      <c r="H277" s="616"/>
      <c r="I277" s="616"/>
      <c r="J277" s="616"/>
      <c r="K277" s="1670">
        <f>SUM(K272:K276)</f>
        <v>28877</v>
      </c>
      <c r="L277" s="1670">
        <f>SUM(L272:L276)</f>
        <v>38101</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488783</v>
      </c>
      <c r="E279" s="616"/>
      <c r="F279" s="616"/>
      <c r="G279" s="616"/>
      <c r="H279" s="616"/>
      <c r="I279" s="616"/>
      <c r="J279" s="616"/>
      <c r="K279" s="1677">
        <f>SUM(K238,K243,K257,K261,K270,K277,K278)</f>
        <v>488783</v>
      </c>
      <c r="L279" s="1677">
        <f>SUM(L238,L243,L257,L261,L270,L277,L278)</f>
        <v>481438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v>57651</v>
      </c>
      <c r="E283" s="616"/>
      <c r="F283" s="616"/>
      <c r="G283" s="616"/>
      <c r="H283" s="616"/>
      <c r="I283" s="616"/>
      <c r="J283" s="616"/>
      <c r="K283" s="1671">
        <f>D283</f>
        <v>57651</v>
      </c>
      <c r="L283" s="466">
        <v>57651</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57651</v>
      </c>
      <c r="E285" s="616"/>
      <c r="F285" s="616"/>
      <c r="G285" s="616"/>
      <c r="H285" s="616"/>
      <c r="I285" s="616"/>
      <c r="J285" s="616"/>
      <c r="K285" s="1670">
        <f>SUM(K282:K284)</f>
        <v>57651</v>
      </c>
      <c r="L285" s="1670">
        <f>SUM(L282:L284)</f>
        <v>57651</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767227</v>
      </c>
      <c r="E295" s="616"/>
      <c r="F295" s="616"/>
      <c r="G295" s="616"/>
      <c r="H295" s="1670">
        <f>H293</f>
        <v>0</v>
      </c>
      <c r="I295" s="616"/>
      <c r="J295" s="616"/>
      <c r="K295" s="1670">
        <f>SUM(K229,K279,K280,K285,K293,K294)</f>
        <v>767227</v>
      </c>
      <c r="L295" s="1670">
        <f>SUM(L229,L279,L280,L285,L293,L294)</f>
        <v>790209</v>
      </c>
    </row>
    <row r="296" spans="1:14" ht="13.5" thickTop="1" x14ac:dyDescent="0.2">
      <c r="A296" s="2155" t="s">
        <v>996</v>
      </c>
      <c r="B296" s="2156"/>
      <c r="C296" s="616"/>
      <c r="D296" s="618"/>
      <c r="E296" s="616"/>
      <c r="F296" s="616"/>
      <c r="G296" s="616"/>
      <c r="H296" s="687"/>
      <c r="I296" s="616"/>
      <c r="J296" s="616"/>
      <c r="K296" s="1684">
        <f>'Revenues 9-14'!G268-'Expenditures 15-22'!K295</f>
        <v>33115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4297319</v>
      </c>
      <c r="H301" s="466"/>
      <c r="I301" s="467"/>
      <c r="J301" s="467"/>
      <c r="K301" s="1671">
        <f>SUM(C301:J301)</f>
        <v>4297319</v>
      </c>
      <c r="L301" s="467">
        <v>4500432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4297319</v>
      </c>
      <c r="H303" s="1677">
        <f t="shared" si="23"/>
        <v>0</v>
      </c>
      <c r="I303" s="1677">
        <f t="shared" si="23"/>
        <v>0</v>
      </c>
      <c r="J303" s="1677">
        <f t="shared" si="23"/>
        <v>0</v>
      </c>
      <c r="K303" s="1677">
        <f t="shared" si="23"/>
        <v>4297319</v>
      </c>
      <c r="L303" s="1677">
        <f t="shared" si="23"/>
        <v>4500432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4297319</v>
      </c>
      <c r="H312" s="1670">
        <f>SUM(H303,H310)</f>
        <v>0</v>
      </c>
      <c r="I312" s="1670">
        <f>SUM(I303)</f>
        <v>0</v>
      </c>
      <c r="J312" s="1670">
        <f>SUM(J303)</f>
        <v>0</v>
      </c>
      <c r="K312" s="1670">
        <f>SUM(K303,K310,K311)</f>
        <v>4297319</v>
      </c>
      <c r="L312" s="1670">
        <f>SUM(L303,L310,L311)</f>
        <v>4500432</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-4297319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terms/"/>
    <ds:schemaRef ds:uri="d21dc803-237d-4c68-8692-8d731fd29118"/>
    <ds:schemaRef ds:uri="http://schemas.microsoft.com/sharepoint/v3"/>
    <ds:schemaRef ds:uri="http://www.w3.org/XML/1998/namespace"/>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2019-10-09T15:15:53Z</cp:lastPrinted>
  <dcterms:created xsi:type="dcterms:W3CDTF">2003-10-29T19:06:34Z</dcterms:created>
  <dcterms:modified xsi:type="dcterms:W3CDTF">2019-12-03T16:03:34Z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