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3D0363D-DD69-43FB-B372-2B3331501C37}" xr6:coauthVersionLast="36" xr6:coauthVersionMax="36" xr10:uidLastSave="{00000000-0000-0000-0000-000000000000}"/>
  <bookViews>
    <workbookView xWindow="-120" yWindow="-120" windowWidth="24240" windowHeight="13140" tabRatio="88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 i="183" l="1"/>
  <c r="I18" i="184"/>
  <c r="F18" i="184"/>
  <c r="L16" i="184"/>
  <c r="L15" i="184"/>
  <c r="I11" i="184"/>
  <c r="F11" i="184"/>
  <c r="B4" i="184"/>
  <c r="L26" i="183"/>
  <c r="L23" i="183"/>
  <c r="L24" i="183"/>
  <c r="L25" i="183"/>
  <c r="L22" i="183"/>
  <c r="L21" i="183"/>
  <c r="F17" i="183"/>
  <c r="L14" i="183"/>
  <c r="L15" i="183"/>
  <c r="L13" i="183"/>
  <c r="L23" i="179"/>
  <c r="L26" i="179"/>
  <c r="L27" i="179"/>
  <c r="I20" i="184" l="1"/>
  <c r="F20" i="184"/>
  <c r="L12" i="183"/>
  <c r="B4" i="183" l="1"/>
  <c r="F63" i="29"/>
  <c r="E11" i="108"/>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F20" i="181" s="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1" i="179" l="1"/>
  <c r="L19"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D27" i="108"/>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5" i="11"/>
  <c r="B2056" i="106" s="1"/>
  <c r="D2056" i="106" s="1"/>
  <c r="D6103" i="106" l="1"/>
  <c r="J41" i="3"/>
  <c r="D54" i="36"/>
  <c r="F52" i="34"/>
  <c r="F46" i="34"/>
  <c r="F28" i="108"/>
  <c r="F34" i="34"/>
  <c r="F42" i="34"/>
  <c r="B2724" i="106"/>
  <c r="D2724" i="106" s="1"/>
  <c r="J129" i="29"/>
  <c r="B7038" i="106" s="1"/>
  <c r="D7038" i="106" s="1"/>
  <c r="G30" i="108"/>
  <c r="F71" i="34"/>
  <c r="E34" i="108"/>
  <c r="G39" i="108"/>
  <c r="E33" i="108"/>
  <c r="H28" i="118"/>
  <c r="L22" i="37"/>
  <c r="D68" i="36"/>
  <c r="B3647" i="106"/>
  <c r="D3647" i="106" s="1"/>
  <c r="J210" i="29"/>
  <c r="B7072" i="106" s="1"/>
  <c r="D7072" i="106" s="1"/>
  <c r="B6289" i="106"/>
  <c r="D6289" i="106" s="1"/>
  <c r="K76" i="4"/>
  <c r="B3586" i="106" s="1"/>
  <c r="D3586" i="106" s="1"/>
  <c r="J77" i="4"/>
  <c r="B6262" i="106" s="1"/>
  <c r="D6262" i="106" s="1"/>
  <c r="L13" i="11"/>
  <c r="B2060" i="106" s="1"/>
  <c r="D2060" i="106" s="1"/>
  <c r="D24" i="37"/>
  <c r="B4270" i="106" s="1"/>
  <c r="D4270" i="106" s="1"/>
  <c r="D69" i="36"/>
  <c r="J22" i="37"/>
  <c r="H342" i="29"/>
  <c r="I129" i="29"/>
  <c r="B7037" i="106" s="1"/>
  <c r="D7037" i="106" s="1"/>
  <c r="F19" i="7"/>
  <c r="B1807" i="106" s="1"/>
  <c r="D1807" i="106" s="1"/>
  <c r="E29" i="108"/>
  <c r="B6995" i="106"/>
  <c r="D6995" i="106" s="1"/>
  <c r="C342" i="29"/>
  <c r="B7216" i="106" s="1"/>
  <c r="D7216" i="106" s="1"/>
  <c r="F77" i="4"/>
  <c r="B3255" i="106" s="1"/>
  <c r="D3255" i="106" s="1"/>
  <c r="H76" i="4"/>
  <c r="B3298" i="106" s="1"/>
  <c r="D3298" i="106" s="1"/>
  <c r="E38" i="108"/>
  <c r="B1274" i="106"/>
  <c r="D1274" i="106" s="1"/>
  <c r="F69" i="34"/>
  <c r="F37" i="34"/>
  <c r="G35" i="108"/>
  <c r="H365" i="29"/>
  <c r="B7242" i="106" s="1"/>
  <c r="D7242" i="106" s="1"/>
  <c r="F36" i="34"/>
  <c r="E26" i="108"/>
  <c r="F70" i="34"/>
  <c r="E35" i="108"/>
  <c r="G29" i="108"/>
  <c r="K184" i="29"/>
  <c r="F13" i="4" s="1"/>
  <c r="B2596" i="106" s="1"/>
  <c r="D2596" i="106" s="1"/>
  <c r="G210" i="29"/>
  <c r="B1126" i="106"/>
  <c r="D1126" i="106" s="1"/>
  <c r="G15" i="145"/>
  <c r="L342" i="29"/>
  <c r="C352" i="29"/>
  <c r="C367" i="29" s="1"/>
  <c r="B3622" i="106" s="1"/>
  <c r="D3622" i="106" s="1"/>
  <c r="C129" i="29"/>
  <c r="B1225" i="106" s="1"/>
  <c r="D1225" i="106" s="1"/>
  <c r="I210" i="29"/>
  <c r="B7071" i="106" s="1"/>
  <c r="D7071" i="106" s="1"/>
  <c r="H112" i="29"/>
  <c r="B7018" i="106" s="1"/>
  <c r="D7018" i="106" s="1"/>
  <c r="L367" i="29"/>
  <c r="J352" i="29"/>
  <c r="J367" i="29" s="1"/>
  <c r="B7245" i="106" s="1"/>
  <c r="D7245"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D7256" i="106"/>
  <c r="D7251" i="106"/>
  <c r="D7254" i="106"/>
  <c r="D7250" i="106"/>
  <c r="B4435" i="106"/>
  <c r="D4435" i="106" s="1"/>
  <c r="J16" i="4"/>
  <c r="B6226" i="106" s="1"/>
  <c r="D6226" i="106" s="1"/>
  <c r="C151" i="29"/>
  <c r="B1226" i="106" s="1"/>
  <c r="D1226" i="106" s="1"/>
  <c r="K28" i="118"/>
  <c r="O27" i="118" s="1"/>
  <c r="O29" i="118" s="1"/>
  <c r="F41" i="108"/>
  <c r="G43" i="108" s="1"/>
  <c r="B5770" i="106"/>
  <c r="D5770" i="106" s="1"/>
  <c r="B7235" i="106"/>
  <c r="D7235" i="106" s="1"/>
  <c r="H77" i="4"/>
  <c r="B3299" i="106" s="1"/>
  <c r="D3299" i="106" s="1"/>
  <c r="K77" i="4"/>
  <c r="B3587" i="106" s="1"/>
  <c r="D3587" i="106" s="1"/>
  <c r="L16" i="11"/>
  <c r="B2061" i="106" s="1"/>
  <c r="D2061" i="106" s="1"/>
  <c r="N23" i="3"/>
  <c r="B284" i="106" s="1"/>
  <c r="D284" i="106" s="1"/>
  <c r="I151" i="29"/>
  <c r="F59" i="34" s="1"/>
  <c r="K365" i="29"/>
  <c r="K16" i="4" s="1"/>
  <c r="F66" i="34"/>
  <c r="B1381" i="106"/>
  <c r="D1381" i="106" s="1"/>
  <c r="H151" i="29"/>
  <c r="B1273" i="106" s="1"/>
  <c r="D1273" i="106" s="1"/>
  <c r="L114" i="29"/>
  <c r="B5527" i="106"/>
  <c r="D5527" i="106" s="1"/>
  <c r="B5778" i="106"/>
  <c r="D5778" i="106" s="1"/>
  <c r="G6" i="4"/>
  <c r="B2604" i="106" s="1"/>
  <c r="D2604" i="106" s="1"/>
  <c r="D44" i="36"/>
  <c r="D41" i="108"/>
  <c r="E43" i="108" s="1"/>
  <c r="B1365" i="106"/>
  <c r="D1365" i="106" s="1"/>
  <c r="F65" i="34"/>
  <c r="C114" i="29"/>
  <c r="B757" i="106" s="1"/>
  <c r="D757"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B7224" i="106"/>
  <c r="D7224"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B6227" i="106"/>
  <c r="D6227" i="106" s="1"/>
  <c r="F8" i="4"/>
  <c r="J20" i="4"/>
  <c r="B6230" i="106" s="1"/>
  <c r="D6230"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3575" i="106"/>
  <c r="D3575" i="106" s="1"/>
  <c r="F10" i="4"/>
  <c r="B4125" i="106" s="1"/>
  <c r="D4125" i="106" s="1"/>
  <c r="D8" i="146"/>
  <c r="B2595" i="106"/>
  <c r="D2595" i="106" s="1"/>
  <c r="K20" i="4"/>
  <c r="B3576" i="106" s="1"/>
  <c r="D3576"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c r="B6263" i="106"/>
  <c r="D6263" i="106" s="1"/>
  <c r="D10" i="146" l="1"/>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<sst xmlns="http://schemas.openxmlformats.org/spreadsheetml/2006/main" count="5291" uniqueCount="2158">
  <si>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</si>
  <si>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</si>
  <si>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</si>
  <si>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</si>
  <si>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</si>
  <si>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</si>
  <si>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</si>
  <si>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</si>
  <si>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</si>
  <si>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</si>
  <si>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</si>
  <si>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</si>
  <si>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</si>
  <si>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</si>
  <si>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</si>
  <si>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</si>
  <si>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</si>
  <si>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</si>
  <si>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</si>
  <si>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</si>
  <si>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</si>
  <si>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</si>
  <si>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</si>
  <si>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</si>
  <si>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</si>
  <si>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</si>
  <si>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</si>
  <si>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</si>
  <si>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</si>
  <si>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</si>
  <si>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</si>
  <si>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</si>
  <si>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</si>
  <si>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</si>
  <si>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</si>
  <si>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</si>
  <si>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</si>
  <si>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</si>
  <si>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</si>
  <si>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</si>
  <si>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</si>
  <si>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</si>
  <si>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</si>
  <si>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</si>
  <si>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</si>
  <si>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</si>
  <si>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</si>
  <si>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</si>
  <si>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</si>
  <si>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</si>
  <si>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</si>
  <si>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</si>
  <si>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</si>
  <si>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</si>
  <si>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</si>
  <si>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</si>
  <si>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</si>
  <si>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</si>
  <si>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</si>
  <si>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</si>
  <si>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</si>
  <si>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</si>
  <si>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</si>
  <si>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</si>
  <si>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</si>
  <si>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</si>
  <si>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</si>
  <si>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</si>
  <si>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</si>
  <si>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</si>
  <si>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</si>
  <si>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</si>
  <si>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</si>
  <si>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</si>
  <si>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</si>
  <si>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</si>
  <si>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</si>
  <si>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</si>
  <si>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</si>
  <si>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</si>
  <si>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</si>
  <si>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</si>
  <si>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</si>
  <si>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</si>
  <si>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</si>
  <si>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</si>
  <si>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</si>
  <si>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</si>
  <si>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</si>
  <si>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</si>
  <si>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</si>
  <si>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</si>
  <si>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</si>
  <si>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</si>
  <si>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</si>
  <si>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</si>
  <si>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</si>
  <si>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</si>
  <si>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</si>
  <si>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</si>
  <si>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</si>
  <si>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</si>
  <si>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</si>
  <si>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</si>
  <si>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</si>
  <si>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</si>
  <si>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</si>
  <si>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</si>
  <si>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</si>
  <si>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</si>
  <si>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</si>
  <si>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</si>
  <si>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</si>
  <si>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</si>
  <si>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</si>
  <si>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</si>
  <si>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</si>
  <si>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</si>
  <si>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</si>
  <si>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</si>
  <si>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</si>
  <si>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</si>
  <si>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</si>
  <si>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</si>
  <si>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</si>
  <si>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</si>
  <si>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</si>
  <si>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</si>
  <si>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</si>
  <si>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</si>
  <si>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</si>
  <si>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</si>
  <si>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</si>
  <si>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</si>
  <si>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</si>
  <si>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</si>
  <si>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</si>
  <si>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</si>
  <si>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</si>
  <si>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</si>
  <si>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</si>
  <si>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</si>
  <si>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</si>
  <si>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</si>
  <si>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</si>
  <si>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</si>
  <si>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</si>
  <si>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</si>
  <si>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</si>
  <si>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</si>
  <si>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</si>
  <si>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</si>
  <si>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</si>
  <si>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</si>
  <si>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</si>
  <si>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</si>
  <si>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</si>
  <si>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</si>
  <si>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</si>
  <si>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</si>
  <si>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</si>
  <si>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</si>
  <si>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</si>
  <si>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</si>
  <si>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</si>
  <si>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</si>
  <si>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</si>
  <si>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</si>
  <si>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</si>
  <si>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</si>
  <si>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</si>
  <si>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</si>
  <si>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</si>
  <si>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</si>
  <si>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</si>
  <si>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</si>
  <si>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</si>
  <si>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</si>
  <si>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</si>
  <si>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</si>
  <si>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</si>
  <si>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</si>
  <si>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</si>
  <si>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</si>
  <si>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</si>
  <si>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</si>
  <si>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</si>
  <si>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</si>
  <si>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</si>
  <si>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</si>
  <si>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</si>
  <si>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</si>
  <si>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</si>
  <si>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</si>
  <si>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</si>
  <si>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</si>
  <si>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</si>
  <si>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</si>
  <si>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</si>
  <si>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</si>
  <si>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</si>
  <si>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</si>
  <si>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</si>
  <si>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</si>
  <si>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</si>
  <si>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</si>
  <si>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</si>
  <si>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</si>
  <si>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</si>
  <si>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</si>
  <si>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</si>
  <si>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</si>
  <si>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</si>
  <si>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</si>
  <si>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</si>
  <si>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</si>
  <si>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</si>
  <si>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</si>
  <si>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</si>
  <si>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</si>
  <si>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</si>
  <si>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</si>
  <si>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</si>
  <si>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</si>
  <si>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</si>
  <si>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</si>
  <si>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</si>
  <si>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</si>
  <si>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</si>
  <si>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</si>
  <si>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</si>
  <si>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</si>
  <si>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</si>
  <si>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</si>
  <si>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</si>
  <si>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</si>
  <si>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</si>
  <si>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</si>
  <si>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</si>
  <si>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</si>
  <si>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</si>
  <si>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</si>
  <si>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</si>
  <si>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</si>
  <si>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</si>
  <si>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</si>
  <si>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</si>
  <si>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</si>
  <si>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</si>
  <si>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</si>
  <si>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</si>
  <si>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</si>
  <si>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</si>
  <si>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</si>
  <si>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</si>
  <si>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</si>
  <si>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</si>
  <si>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</si>
  <si>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</si>
  <si>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</si>
  <si>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</si>
  <si>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</si>
  <si>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</si>
  <si>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</si>
  <si>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</si>
  <si>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</si>
  <si>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</si>
  <si>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</si>
  <si>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</si>
  <si>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</si>
  <si>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</si>
  <si>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</si>
  <si>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</si>
  <si>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</si>
  <si>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</si>
  <si>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</si>
  <si>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</si>
  <si>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</si>
  <si>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</si>
  <si>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</si>
  <si>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</si>
  <si>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</si>
  <si>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</si>
  <si>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</si>
  <si>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</si>
  <si>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</si>
  <si>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</si>
  <si>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</si>
  <si>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</si>
  <si>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</si>
  <si>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</si>
  <si>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</si>
  <si>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</si>
  <si>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</si>
  <si>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</si>
  <si>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</si>
  <si>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</si>
  <si>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</si>
  <si>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</si>
  <si>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</si>
  <si>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</si>
  <si>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</si>
  <si>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</si>
  <si>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</si>
  <si>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</si>
  <si>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</si>
  <si>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</si>
  <si>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</si>
  <si>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</si>
  <si>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</si>
  <si>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</si>
  <si>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</si>
  <si>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</si>
  <si>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</si>
  <si>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</si>
  <si>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</si>
  <si>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</si>
  <si>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</si>
  <si>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</si>
  <si>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</si>
  <si>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</si>
  <si>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</si>
  <si>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</si>
  <si>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</si>
  <si>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</si>
  <si>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</si>
  <si>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</si>
  <si>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</si>
  <si>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</si>
  <si>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</si>
  <si>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</si>
  <si>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</si>
  <si>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</si>
  <si>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</si>
  <si>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</si>
  <si>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</si>
  <si>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</si>
  <si>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</si>
  <si>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</si>
  <si>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</si>
  <si>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</si>
  <si>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</si>
  <si>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</si>
  <si>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</si>
  <si>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</si>
  <si>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</si>
  <si>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</si>
  <si>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</si>
  <si>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</si>
  <si>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</si>
  <si>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</si>
  <si>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</si>
  <si>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</si>
  <si>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</si>
  <si>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</si>
  <si>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</si>
  <si>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</si>
  <si>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</si>
  <si>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</si>
  <si>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</si>
  <si>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</si>
  <si>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</si>
  <si>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</si>
  <si>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</si>
  <si>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</si>
  <si>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</si>
  <si>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</si>
  <si>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</si>
  <si>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</si>
  <si>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</si>
  <si>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</si>
  <si>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</si>
  <si>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</si>
  <si>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</si>
  <si>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</si>
  <si>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</si>
  <si>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</si>
  <si>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</si>
  <si>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</si>
  <si>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</si>
  <si>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</si>
  <si>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</si>
  <si>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</si>
  <si>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</si>
  <si>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</si>
  <si>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</si>
  <si>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</si>
  <si>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</si>
  <si>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</si>
  <si>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</si>
  <si>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</si>
  <si>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</si>
  <si>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</si>
  <si>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</si>
  <si>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</si>
  <si>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</si>
  <si>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</si>
  <si>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</si>
  <si>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</si>
  <si>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</si>
  <si>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</si>
  <si>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</si>
  <si>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</si>
  <si>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</si>
  <si>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</si>
  <si>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</si>
  <si>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</si>
  <si>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</si>
  <si>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</si>
  <si>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</si>
  <si>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</si>
  <si>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</si>
  <si>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</si>
  <si>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</si>
  <si>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</si>
  <si>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</si>
  <si>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</si>
  <si>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</si>
  <si>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</si>
  <si>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</si>
  <si>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</si>
  <si>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</si>
  <si>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</si>
  <si>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</si>
  <si>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</si>
  <si>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</si>
  <si>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</si>
  <si>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</si>
  <si>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</si>
  <si>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</si>
  <si>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</si>
  <si>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</si>
  <si>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</si>
  <si>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</si>
  <si>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</si>
  <si>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</si>
  <si>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</si>
  <si>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</si>
  <si>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</si>
  <si>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</si>
  <si>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</si>
  <si>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</si>
  <si>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</si>
  <si>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</si>
  <si>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</si>
  <si>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</si>
  <si>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</si>
  <si>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</si>
  <si>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</si>
  <si>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</si>
  <si>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</si>
  <si>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</si>
  <si>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</si>
  <si>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</si>
  <si>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</si>
  <si>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</si>
  <si>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</si>
  <si>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</si>
  <si>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</si>
  <si>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</si>
  <si>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</si>
  <si>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</si>
  <si>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</si>
  <si>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</si>
  <si>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</si>
  <si>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</si>
  <si>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</si>
  <si>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</si>
  <si>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</si>
  <si>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</si>
  <si>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</si>
  <si>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</si>
  <si>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</si>
  <si>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</si>
  <si>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</si>
  <si>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</si>
  <si>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</si>
  <si>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</si>
  <si>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</si>
  <si>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</si>
  <si>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</si>
  <si>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</si>
  <si>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</si>
  <si>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</si>
  <si>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</si>
  <si>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</si>
  <si>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</si>
  <si>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</si>
  <si>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</si>
  <si>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</si>
  <si>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</si>
  <si>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</si>
  <si>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</si>
  <si>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</si>
  <si>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</si>
  <si>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</si>
  <si>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</si>
  <si>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</si>
  <si>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</si>
  <si>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</si>
  <si>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</si>
  <si>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</si>
  <si>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</si>
  <si>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</si>
  <si>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</si>
  <si>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</si>
  <si>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</si>
  <si>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</si>
  <si>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</si>
  <si>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</si>
  <si>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</si>
  <si>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</si>
  <si>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</si>
  <si>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</si>
  <si>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</si>
  <si>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</si>
  <si>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</si>
  <si>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</si>
  <si>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</si>
  <si>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</si>
  <si>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</si>
  <si>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</si>
  <si>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</si>
  <si>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</si>
  <si>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</si>
  <si>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</si>
  <si>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</si>
  <si>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</si>
  <si>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</si>
  <si>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</si>
  <si>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</si>
  <si>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</si>
  <si>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</si>
  <si>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</si>
  <si>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</si>
  <si>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</si>
  <si>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</si>
  <si>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</si>
  <si>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</si>
  <si>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</si>
  <si>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</si>
  <si>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</si>
  <si>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</si>
  <si>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</si>
  <si>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</si>
  <si>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</si>
  <si>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</si>
  <si>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</si>
  <si>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</si>
  <si>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</si>
  <si>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</si>
  <si>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</si>
  <si>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</si>
  <si>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</si>
  <si>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</si>
  <si>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</si>
  <si>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</si>
  <si>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</si>
  <si>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</si>
  <si>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</si>
  <si>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</si>
  <si>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</si>
  <si>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</si>
  <si>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</si>
  <si>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</si>
  <si>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</si>
  <si>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</si>
  <si>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</si>
  <si>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</si>
  <si>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</si>
  <si>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</si>
  <si>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</si>
  <si>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</si>
  <si>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</si>
  <si>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</si>
  <si>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</si>
  <si>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</si>
  <si>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</si>
  <si>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</si>
  <si>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</si>
  <si>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</si>
  <si>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</si>
  <si>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</si>
  <si>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</si>
  <si>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</si>
  <si>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</si>
  <si>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</si>
  <si>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</si>
  <si>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</si>
  <si>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</si>
  <si>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</si>
  <si>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</si>
  <si>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</si>
  <si>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</si>
  <si>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</si>
  <si>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</si>
  <si>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</si>
  <si>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</si>
  <si>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</si>
  <si>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</si>
  <si>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</si>
  <si>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</si>
  <si>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</si>
  <si>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</si>
  <si>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</si>
  <si>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</si>
  <si>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</si>
  <si>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</si>
  <si>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</si>
  <si>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</si>
  <si>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</si>
  <si>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</si>
  <si>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</si>
  <si>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</si>
  <si>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</si>
  <si>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</si>
  <si>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</si>
  <si>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</si>
  <si>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</si>
  <si>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</si>
  <si>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</si>
  <si>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</si>
  <si>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</si>
  <si>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</si>
  <si>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</si>
  <si>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</si>
  <si>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</si>
  <si>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</si>
  <si>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</si>
  <si>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</si>
  <si>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</si>
  <si>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</si>
  <si>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</si>
  <si>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</si>
  <si>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</si>
  <si>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</si>
  <si>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</si>
  <si>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</si>
  <si>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</si>
  <si>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</si>
  <si>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</si>
  <si>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</si>
  <si>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</si>
  <si>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</si>
  <si>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</si>
  <si>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</si>
  <si>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</si>
  <si>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</si>
  <si>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</si>
  <si>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</si>
  <si>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</si>
  <si>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</si>
  <si>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</si>
  <si>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</si>
  <si>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</si>
  <si>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</si>
  <si>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</si>
  <si>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</si>
  <si>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</si>
  <si>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</si>
  <si>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</si>
  <si>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</si>
  <si>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</si>
  <si>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</si>
  <si>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</si>
  <si>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</si>
  <si>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</si>
  <si>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</si>
  <si>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</si>
  <si>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</si>
  <si>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</si>
  <si>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</si>
  <si>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</si>
  <si>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</si>
  <si>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</si>
  <si>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</si>
  <si>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</si>
  <si>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</si>
  <si>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</si>
  <si>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</si>
  <si>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</si>
  <si>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</si>
  <si>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</si>
  <si>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</si>
  <si>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</si>
  <si>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</si>
  <si>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</si>
  <si>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</si>
  <si>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</si>
  <si>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</si>
  <si>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</si>
  <si>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</si>
  <si>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</si>
  <si>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</si>
  <si>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</si>
  <si>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</si>
  <si>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</si>
  <si>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</si>
  <si>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</si>
  <si>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</si>
  <si>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</si>
  <si>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</si>
  <si>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</si>
  <si>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</si>
  <si>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</si>
  <si>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</si>
  <si>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</si>
  <si>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</si>
  <si>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</si>
  <si>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</si>
  <si>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</si>
  <si>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</si>
  <si>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</si>
  <si>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</si>
  <si>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</si>
  <si>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</si>
  <si>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</si>
  <si>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</si>
  <si>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</si>
  <si>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</si>
  <si>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</si>
  <si>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</si>
  <si>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</si>
  <si>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</si>
  <si>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</si>
  <si>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</si>
  <si>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</si>
  <si>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</si>
  <si>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</si>
  <si>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</si>
  <si>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</si>
  <si>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</si>
  <si>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</si>
  <si>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</si>
  <si>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</si>
  <si>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</si>
  <si>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</si>
  <si>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</si>
  <si>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</si>
  <si>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</si>
  <si>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</si>
  <si>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</si>
  <si>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</si>
  <si>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</si>
  <si>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</si>
  <si>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</si>
  <si>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</si>
  <si>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</si>
  <si>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</si>
  <si>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</si>
  <si>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</si>
  <si>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</si>
  <si>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</si>
  <si>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</si>
  <si>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</si>
  <si>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</si>
  <si>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</si>
  <si>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</si>
  <si>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</si>
  <si>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</si>
  <si>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</si>
  <si>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</si>
  <si>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</si>
  <si>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</si>
  <si>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</si>
  <si>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</si>
  <si>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</si>
  <si>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</si>
  <si>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</si>
  <si>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</si>
  <si>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</si>
  <si>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</si>
  <si>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</si>
  <si>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</si>
  <si>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</si>
  <si>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</si>
  <si>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</si>
  <si>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</si>
  <si>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</si>
  <si>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</si>
  <si>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</si>
  <si>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</si>
  <si>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</si>
  <si>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</si>
  <si>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</si>
  <si>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</si>
  <si>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</si>
  <si>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</si>
  <si>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</si>
  <si>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</si>
  <si>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</si>
  <si>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</si>
  <si>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</si>
  <si>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</si>
  <si>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</si>
  <si>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</si>
  <si>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</si>
  <si>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</si>
  <si>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</si>
  <si>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</si>
  <si>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</si>
  <si>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</si>
  <si>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</si>
  <si>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</si>
  <si>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</si>
  <si>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</si>
  <si>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</si>
  <si>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</si>
  <si>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</si>
  <si>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</si>
  <si>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</si>
  <si>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</si>
  <si>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</si>
  <si>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</si>
  <si>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</si>
  <si>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</si>
  <si>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</si>
  <si>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</si>
  <si>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</si>
  <si>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</si>
  <si>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</si>
  <si>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</si>
  <si>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</si>
  <si>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</si>
  <si>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</si>
  <si>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</si>
  <si>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</si>
  <si>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</si>
  <si>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</si>
  <si>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</si>
  <si>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</si>
  <si>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</si>
  <si>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</si>
  <si>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</si>
  <si>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</si>
  <si>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</si>
  <si>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</si>
  <si>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</si>
  <si>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</si>
  <si>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</si>
  <si>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</si>
  <si>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</si>
  <si>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</si>
  <si>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</si>
  <si>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</si>
  <si>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</si>
  <si>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</si>
  <si>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</si>
  <si>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</si>
  <si>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</si>
  <si>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</si>
  <si>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</si>
  <si>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</si>
  <si>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</si>
  <si>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</si>
  <si>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</si>
  <si>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</si>
  <si>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</si>
  <si>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</si>
  <si>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</si>
  <si>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</si>
  <si>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</si>
  <si>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</si>
  <si>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</si>
  <si>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</si>
  <si>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</si>
  <si>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</si>
  <si>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</si>
  <si>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</si>
  <si>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</si>
  <si>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</si>
  <si>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</si>
  <si>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</si>
  <si>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</si>
  <si>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</si>
  <si>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</si>
  <si>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</si>
  <si>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</si>
  <si>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</si>
  <si>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</si>
  <si>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</si>
  <si>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</si>
  <si>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</si>
  <si>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</si>
  <si>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</si>
  <si>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</si>
  <si>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</si>
  <si>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</si>
  <si>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</si>
  <si>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</si>
  <si>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</si>
  <si>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</si>
  <si>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</si>
  <si>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</si>
  <si>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</si>
  <si>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</si>
  <si>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</si>
  <si>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</si>
  <si>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</si>
  <si>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</si>
  <si>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</si>
  <si>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</si>
  <si>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</si>
  <si>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</si>
  <si>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</si>
  <si>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</si>
  <si>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</si>
  <si>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</si>
  <si>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</si>
  <si>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</si>
  <si>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</si>
  <si>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</si>
  <si>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</si>
  <si>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</si>
  <si>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</si>
  <si>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</si>
  <si>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</si>
  <si>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</si>
  <si>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</si>
  <si>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</si>
  <si>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</si>
  <si>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</si>
  <si>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</si>
  <si>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</si>
  <si>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</si>
  <si>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</si>
  <si>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</si>
  <si>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</si>
  <si>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</si>
  <si>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</si>
  <si>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</si>
  <si>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</si>
  <si>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</si>
  <si>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</si>
  <si>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</si>
  <si>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</si>
  <si>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</si>
  <si>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</si>
  <si>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</si>
  <si>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</si>
  <si>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</si>
  <si>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</si>
  <si>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</si>
  <si>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</si>
  <si>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</si>
  <si>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</si>
  <si>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</si>
  <si>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</si>
  <si>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</si>
  <si>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</si>
  <si>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</si>
  <si>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</si>
  <si>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</si>
  <si>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</si>
  <si>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</si>
  <si>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</si>
  <si>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</si>
  <si>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</si>
  <si>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</si>
  <si>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</si>
  <si>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</si>
  <si>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</si>
  <si>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</si>
  <si>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</si>
  <si>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</si>
  <si>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</si>
  <si>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</si>
  <si>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</si>
  <si>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</si>
  <si>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</si>
  <si>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</si>
  <si>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</si>
  <si>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</si>
  <si>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</si>
  <si>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</si>
  <si>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</si>
  <si>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</si>
  <si>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</si>
  <si>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</si>
  <si>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</si>
  <si>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</si>
  <si>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</si>
  <si>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</si>
  <si>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</si>
  <si>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</si>
  <si>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</si>
  <si>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</si>
  <si>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</si>
  <si>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</si>
  <si>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</si>
  <si>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</si>
  <si>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</si>
  <si>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</si>
  <si>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</si>
  <si>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</si>
  <si>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</si>
  <si>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</si>
  <si>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</si>
  <si>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</si>
  <si>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</si>
  <si>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</si>
  <si>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</si>
  <si>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</si>
  <si>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</si>
  <si>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</si>
  <si>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</si>
  <si>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</si>
  <si>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</si>
  <si>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</si>
  <si>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</si>
  <si>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</si>
  <si>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</si>
  <si>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</si>
  <si>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</si>
  <si>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</si>
  <si>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</si>
  <si>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</si>
  <si>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</si>
  <si>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</si>
  <si>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</si>
  <si>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</si>
  <si>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</si>
  <si>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</si>
  <si>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</si>
  <si>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</si>
  <si>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</si>
  <si>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</si>
  <si>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</si>
  <si>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</si>
  <si>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</si>
  <si>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</si>
  <si>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</si>
  <si>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</si>
  <si>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</si>
  <si>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</si>
  <si>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</si>
  <si>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</si>
  <si>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</si>
  <si>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</si>
  <si>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</si>
  <si>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</si>
  <si>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</si>
  <si>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</si>
  <si>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</si>
  <si>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</si>
  <si>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</si>
  <si>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</si>
  <si>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</si>
  <si>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</si>
  <si>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</si>
  <si>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</si>
  <si>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</si>
  <si>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</si>
  <si>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</si>
  <si>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</si>
  <si>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</si>
  <si>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</si>
  <si>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</si>
  <si>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</si>
  <si>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</si>
  <si>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</si>
  <si>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</si>
  <si>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</si>
  <si>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</si>
  <si>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</si>
  <si>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</si>
  <si>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</si>
  <si>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</si>
  <si>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</si>
  <si>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</si>
  <si>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</si>
  <si>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</si>
  <si>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</si>
  <si>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</si>
  <si>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</si>
  <si>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</si>
  <si>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</si>
  <si>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</si>
  <si>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</si>
  <si>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</si>
  <si>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</si>
  <si>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</si>
  <si>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</si>
  <si>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</si>
  <si>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</si>
  <si>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</si>
  <si>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</si>
  <si>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</si>
  <si>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</si>
  <si>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</si>
  <si>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</si>
  <si>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</si>
  <si>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</si>
  <si>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</si>
  <si>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</si>
  <si>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</si>
  <si>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</si>
  <si>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</si>
  <si>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</si>
  <si>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</si>
  <si>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</si>
  <si>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</si>
  <si>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</si>
  <si>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</si>
  <si>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</si>
  <si>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</si>
  <si>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</si>
  <si>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</si>
  <si>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</si>
  <si>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</si>
  <si>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</si>
  <si>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</si>
  <si>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</si>
  <si>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</si>
  <si>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</si>
  <si>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</si>
  <si>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</si>
  <si>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</si>
  <si>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</si>
  <si>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</si>
  <si>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</si>
  <si>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</si>
  <si>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</si>
  <si>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</si>
  <si>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</si>
  <si>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</si>
  <si>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</si>
  <si>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</si>
  <si>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</si>
  <si>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</si>
  <si>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</si>
  <si>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</si>
  <si>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</si>
  <si>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</si>
  <si>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</si>
  <si>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</si>
  <si>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</si>
  <si>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</si>
  <si>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</si>
  <si>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</si>
  <si>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</si>
  <si>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</si>
  <si>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</si>
  <si>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</si>
  <si>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</si>
  <si>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</si>
  <si>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</si>
  <si>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</si>
  <si>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</si>
  <si>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</si>
  <si>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</si>
  <si>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</si>
  <si>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</si>
  <si>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</si>
  <si>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</si>
  <si>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</si>
  <si>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</si>
  <si>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</si>
  <si>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</si>
  <si>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</si>
  <si>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</si>
  <si>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</si>
  <si>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</si>
  <si>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</si>
  <si>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</si>
  <si>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</si>
  <si>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</si>
  <si>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</si>
  <si>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</si>
  <si>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</si>
  <si>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</si>
  <si>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</si>
  <si>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</si>
  <si>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</si>
  <si>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</si>
  <si>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</si>
  <si>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</si>
  <si>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</si>
  <si>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</si>
  <si>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</si>
  <si>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</si>
  <si>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</si>
  <si>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</si>
  <si>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</si>
  <si>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</si>
  <si>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</si>
  <si>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</si>
  <si>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</si>
  <si>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</si>
  <si>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</si>
  <si>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</si>
  <si>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</si>
  <si>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</si>
  <si>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</si>
  <si>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</si>
  <si>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</si>
  <si>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</si>
  <si>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</si>
  <si>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</si>
  <si>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</si>
  <si>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</si>
  <si>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</si>
  <si>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</si>
  <si>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</si>
  <si>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</si>
  <si>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</si>
  <si>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</si>
  <si>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</si>
  <si>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</si>
  <si>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</si>
  <si>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</si>
  <si>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</si>
  <si>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</si>
  <si>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</si>
  <si>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</si>
  <si>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</si>
  <si>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</si>
  <si>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</si>
  <si>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</si>
  <si>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</si>
  <si>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</si>
  <si>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</si>
  <si>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</si>
  <si>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</si>
  <si>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</si>
  <si>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</si>
  <si>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</si>
  <si>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</si>
  <si>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</si>
  <si>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</si>
  <si>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</si>
  <si>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</si>
  <si>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</si>
  <si>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</si>
  <si>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</si>
  <si>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</si>
  <si>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</si>
  <si>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</si>
  <si>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</si>
  <si>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</si>
  <si>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</si>
  <si>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</si>
  <si>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</si>
  <si>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</si>
  <si>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</si>
  <si>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</si>
  <si>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</si>
  <si>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</si>
  <si>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</si>
  <si>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</si>
  <si>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</si>
  <si>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</si>
  <si>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</si>
  <si>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</si>
  <si>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</si>
  <si>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</si>
  <si>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</si>
  <si>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</si>
  <si>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</si>
  <si>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</si>
  <si>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</si>
  <si>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</si>
  <si>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</si>
  <si>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</si>
  <si>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</si>
  <si>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</si>
  <si>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</si>
  <si>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</si>
  <si>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</si>
  <si>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</si>
  <si>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</si>
  <si>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</si>
  <si>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</si>
  <si>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</si>
  <si>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</si>
  <si>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</si>
  <si>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</si>
  <si>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</si>
  <si>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</si>
  <si>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</si>
  <si>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</si>
  <si>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</si>
  <si>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</si>
  <si>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</si>
  <si>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</si>
  <si>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</si>
  <si>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</si>
  <si>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</si>
  <si>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</si>
  <si>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</si>
  <si>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</si>
  <si>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</si>
  <si>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</si>
  <si>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</si>
  <si>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</si>
  <si>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</si>
  <si>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</si>
  <si>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</si>
  <si>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</si>
  <si>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</si>
  <si>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</si>
  <si>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</si>
  <si>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</si>
  <si>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</si>
  <si>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</si>
  <si>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</si>
  <si>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</si>
  <si>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</si>
  <si>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</si>
  <si>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</si>
  <si>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</si>
  <si>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</si>
  <si>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</si>
  <si>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</si>
  <si>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</si>
  <si>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</si>
  <si>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</si>
  <si>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</si>
  <si>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</si>
  <si>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</si>
  <si>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</si>
  <si>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</si>
  <si>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</si>
  <si>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</si>
  <si>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</si>
  <si>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</si>
  <si>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</si>
  <si>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</si>
  <si>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</si>
  <si>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</si>
  <si>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</si>
  <si>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</si>
  <si>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</si>
  <si>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</si>
  <si>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</si>
  <si>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</si>
  <si>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</si>
  <si>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</si>
  <si>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</si>
  <si>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</si>
  <si>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</si>
  <si>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</si>
  <si>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</si>
  <si>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</si>
  <si>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</si>
  <si>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</si>
  <si>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</si>
  <si>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</si>
  <si>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</si>
  <si>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</si>
  <si>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</si>
  <si>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</si>
  <si>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</si>
  <si>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</si>
  <si>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</si>
  <si>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</si>
  <si>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</si>
  <si>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</si>
  <si>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</si>
  <si>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</si>
  <si>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</si>
  <si>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</si>
  <si>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</si>
  <si>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</si>
  <si>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</si>
  <si>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</si>
  <si>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</si>
  <si>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</si>
  <si>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</si>
  <si>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</si>
  <si>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</si>
  <si>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</si>
  <si>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</si>
  <si>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</si>
  <si>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</si>
  <si>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</si>
  <si>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</si>
  <si>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</si>
  <si>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</si>
  <si>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</si>
  <si>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</si>
  <si>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</si>
  <si>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</si>
  <si>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</si>
  <si>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</si>
  <si>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</si>
  <si>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</si>
  <si>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</si>
  <si>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</si>
  <si>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</si>
  <si>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</si>
  <si>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</si>
  <si>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</si>
  <si>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</si>
  <si>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</si>
  <si>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</si>
  <si>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</si>
  <si>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</si>
  <si>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</si>
  <si>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</si>
  <si>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</si>
  <si>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</si>
  <si>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</si>
  <si>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</si>
  <si>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</si>
  <si>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</si>
  <si>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</si>
  <si>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</si>
  <si>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</si>
  <si>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</si>
  <si>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</si>
  <si>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</si>
  <si>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</si>
  <si>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</si>
  <si>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</si>
  <si>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</si>
  <si>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</si>
  <si>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</si>
  <si>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</si>
  <si>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</si>
  <si>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</si>
  <si>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</si>
  <si>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</si>
  <si>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</si>
  <si>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</si>
  <si>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</si>
  <si>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</si>
  <si>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</si>
  <si>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</si>
  <si>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</si>
  <si>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</si>
  <si>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</si>
  <si>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</si>
  <si>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</si>
  <si>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</si>
  <si>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</si>
  <si>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</si>
  <si>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</si>
  <si>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</si>
  <si>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</si>
  <si>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</si>
  <si>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</si>
  <si>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</si>
  <si>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</si>
  <si>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</si>
  <si>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</si>
  <si>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</si>
  <si>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</si>
  <si>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</si>
  <si>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</si>
  <si>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</si>
  <si>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</si>
  <si>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</si>
  <si>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</si>
  <si>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</si>
  <si>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</si>
  <si>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</si>
  <si>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</si>
  <si>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</si>
  <si>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</si>
  <si>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</si>
  <si>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</si>
  <si>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</si>
  <si>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</si>
  <si>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</si>
  <si>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</si>
  <si>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</si>
  <si>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</si>
  <si>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</si>
  <si>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</si>
  <si>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</si>
  <si>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</si>
  <si>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</si>
  <si>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</si>
  <si>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</si>
  <si>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</si>
  <si>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</si>
  <si>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</si>
  <si>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</si>
  <si>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</si>
  <si>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</si>
  <si>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</si>
  <si>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</si>
  <si>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</si>
  <si>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</si>
  <si>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</si>
  <si>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</si>
  <si>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</si>
  <si>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</si>
  <si>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</si>
  <si>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</si>
  <si>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</si>
  <si>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</si>
  <si>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</si>
  <si>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</si>
  <si>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</si>
  <si>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</si>
  <si>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</si>
  <si>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</si>
  <si>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</si>
  <si>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</si>
  <si>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</si>
  <si>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</si>
  <si>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</si>
  <si>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</si>
  <si>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</si>
  <si>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</si>
  <si>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</si>
  <si>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</si>
  <si>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</si>
  <si>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</si>
  <si>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</si>
  <si>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</si>
  <si>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</si>
  <si>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</si>
  <si>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</si>
  <si>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</si>
  <si>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</si>
  <si>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</si>
  <si>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</si>
  <si>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</si>
  <si>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</si>
  <si>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</si>
  <si>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</si>
  <si>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</si>
  <si>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</si>
  <si>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</si>
  <si>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</si>
  <si>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</si>
  <si>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</si>
  <si>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</si>
  <si>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</si>
  <si>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</si>
  <si>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</si>
  <si>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</si>
  <si>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</si>
  <si>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</si>
  <si>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</si>
  <si>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</si>
  <si>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</si>
  <si>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</si>
  <si>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</si>
  <si>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</si>
  <si>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</si>
  <si>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</si>
  <si>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</si>
  <si>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</si>
  <si>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</si>
  <si>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</si>
  <si>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</si>
  <si>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</si>
  <si>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</si>
  <si>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</si>
  <si>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</si>
  <si>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</si>
  <si>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</si>
  <si>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</si>
  <si>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</si>
  <si>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</si>
  <si>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</si>
  <si>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</si>
  <si>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</si>
  <si>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</si>
  <si>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</si>
  <si>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</si>
  <si>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</si>
  <si>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</si>
  <si>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</si>
  <si>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</si>
  <si>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</si>
  <si>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</si>
  <si>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</si>
  <si>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</si>
  <si>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</si>
  <si>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</si>
  <si>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</si>
  <si>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</si>
  <si>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</si>
  <si>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</si>
  <si>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</si>
  <si>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</si>
  <si>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</si>
  <si>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</si>
  <si>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</si>
  <si>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</si>
  <si>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</si>
  <si>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</si>
  <si>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</si>
  <si>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</si>
  <si>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</si>
  <si>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</si>
  <si>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</si>
  <si>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</si>
  <si>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</si>
  <si>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</si>
  <si>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</si>
  <si>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</si>
  <si>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</si>
  <si>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</si>
  <si>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</si>
  <si>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</si>
  <si>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</si>
  <si>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</si>
  <si>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</si>
  <si>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</si>
  <si>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</si>
  <si>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</si>
  <si>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</si>
  <si>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</si>
  <si>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</si>
  <si>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</si>
  <si>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</si>
  <si>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</si>
  <si>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</si>
  <si>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</si>
  <si>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</si>
  <si>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</si>
  <si>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</si>
  <si>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</si>
  <si>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</si>
  <si>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</si>
  <si>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</si>
  <si>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</si>
  <si>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</si>
  <si>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</si>
  <si>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</si>
  <si>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</si>
  <si>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</si>
  <si>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</si>
  <si>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</si>
  <si>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</si>
  <si>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</si>
  <si>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</si>
  <si>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</si>
  <si>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</si>
  <si>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</si>
  <si>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</si>
  <si>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</si>
  <si>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</si>
  <si>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</si>
  <si>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</si>
  <si>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</si>
  <si>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</si>
  <si>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</si>
  <si>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</si>
  <si>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</si>
  <si>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</si>
  <si>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</si>
  <si>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</si>
  <si>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</si>
  <si>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</si>
  <si>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</si>
  <si>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</si>
  <si>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</si>
  <si>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</si>
  <si>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</si>
  <si>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</si>
  <si>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</si>
  <si>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</si>
  <si>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</si>
  <si>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</si>
  <si>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</si>
  <si>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</si>
  <si>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</si>
  <si>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</si>
  <si>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</si>
  <si>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</si>
  <si>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</si>
  <si>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</si>
  <si>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</si>
  <si>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</si>
  <si>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</si>
  <si>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</si>
  <si>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</si>
  <si>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</si>
  <si>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</si>
  <si>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</si>
  <si>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</si>
  <si>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</si>
  <si>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</si>
  <si>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</si>
  <si>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</si>
  <si>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</si>
  <si>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</si>
  <si>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</si>
  <si>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</si>
  <si>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</si>
  <si>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</si>
  <si>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</si>
  <si>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</si>
  <si>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</si>
  <si>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</si>
  <si>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</si>
  <si>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</si>
  <si>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</si>
  <si>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</si>
  <si>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</si>
  <si>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</si>
  <si>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</si>
  <si>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</si>
  <si>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</si>
  <si>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</si>
  <si>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</si>
  <si>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</si>
  <si>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</si>
  <si>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</si>
  <si>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</si>
  <si>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</si>
  <si>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</si>
  <si>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</si>
  <si>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</si>
  <si>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</si>
  <si>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</si>
  <si>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</si>
  <si>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</si>
  <si>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</si>
  <si>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</si>
  <si>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</si>
  <si>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</si>
  <si>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</si>
  <si>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</si>
  <si>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</si>
  <si>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</si>
  <si>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</si>
  <si>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</si>
  <si>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</si>
  <si>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</si>
  <si>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</si>
  <si>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</si>
  <si>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</si>
  <si>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</si>
  <si>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</si>
  <si>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</si>
  <si>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</si>
  <si>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</si>
  <si>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</si>
  <si>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</si>
  <si>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</si>
  <si>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</si>
  <si>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</si>
  <si>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</si>
  <si>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</si>
  <si>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</si>
  <si>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</si>
  <si>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</si>
  <si>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</si>
  <si>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</si>
  <si>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</si>
  <si>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</si>
  <si>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</si>
  <si>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</si>
  <si>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</si>
  <si>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</si>
  <si>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</si>
  <si>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</si>
  <si>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</si>
  <si>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</si>
  <si>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</si>
  <si>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</si>
  <si>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</si>
  <si>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</si>
  <si>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</si>
  <si>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</si>
  <si>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</si>
  <si>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</si>
  <si>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</si>
  <si>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</si>
  <si>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</si>
  <si>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</si>
  <si>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</si>
  <si>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</si>
  <si>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</si>
  <si>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</si>
  <si>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</si>
  <si>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</si>
  <si>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</si>
  <si>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</si>
  <si>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</si>
  <si>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</si>
  <si>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</si>
  <si>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</si>
  <si>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</si>
  <si>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</si>
  <si>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</si>
  <si>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</si>
  <si>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</si>
  <si>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</si>
  <si>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</si>
  <si>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</si>
  <si>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</si>
  <si>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</si>
  <si>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</si>
  <si>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</si>
  <si>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</si>
  <si>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</si>
  <si>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</si>
  <si>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</si>
  <si>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</si>
  <si>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</si>
  <si>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</si>
  <si>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</si>
  <si>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</si>
  <si>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</si>
  <si>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</si>
  <si>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</si>
  <si>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</si>
  <si>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</si>
  <si>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</si>
  <si>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</si>
  <si>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</si>
  <si>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</si>
  <si>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</si>
  <si>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</si>
  <si>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</si>
  <si>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</si>
  <si>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</si>
  <si>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</si>
  <si>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</si>
  <si>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</si>
  <si>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</si>
  <si>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</si>
  <si>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</si>
  <si>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</si>
  <si>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</si>
  <si>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</si>
  <si>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</si>
  <si>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</si>
  <si>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</si>
  <si>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</si>
  <si>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</si>
  <si>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</si>
  <si>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</si>
  <si>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</si>
  <si>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</si>
  <si>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</si>
  <si>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</si>
  <si>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</si>
  <si>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</si>
  <si>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</si>
  <si>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</si>
  <si>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</si>
  <si>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</si>
  <si>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</si>
  <si>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</si>
  <si>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</si>
  <si>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</si>
  <si>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</si>
  <si>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</si>
  <si>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</si>
  <si>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</si>
  <si>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</si>
  <si>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</si>
  <si>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</si>
  <si>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</si>
  <si>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</si>
  <si>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</si>
  <si>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</si>
  <si>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</si>
  <si>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</si>
  <si>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</si>
  <si>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</si>
  <si>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</si>
  <si>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</si>
  <si>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</si>
  <si>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</si>
  <si>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</si>
  <si>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</si>
  <si>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</si>
  <si>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</si>
  <si>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</si>
  <si>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</si>
  <si>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</si>
  <si>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</si>
  <si>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</si>
  <si>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</si>
  <si>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</si>
  <si>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</si>
  <si>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</si>
  <si>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</si>
  <si>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</si>
  <si>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</si>
  <si>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</si>
  <si>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</si>
  <si>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</si>
  <si>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</si>
  <si>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</si>
  <si>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</si>
  <si>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</si>
  <si>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</si>
  <si>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</si>
  <si>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</si>
  <si>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</si>
  <si>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</si>
  <si>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</si>
  <si>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</si>
  <si>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</si>
  <si>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</si>
  <si>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</si>
  <si>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</si>
  <si>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</si>
  <si>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</si>
  <si>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</si>
  <si>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</si>
  <si>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</si>
  <si>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</si>
  <si>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</si>
  <si>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</si>
  <si>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</si>
  <si>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</si>
  <si>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</si>
  <si>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</si>
  <si>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</si>
  <si>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</si>
  <si>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</si>
  <si>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</si>
  <si>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</si>
  <si>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</si>
  <si>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</si>
  <si>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</si>
  <si>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</si>
  <si>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</si>
  <si>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</si>
  <si>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</si>
  <si>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</si>
  <si>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</si>
  <si>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</si>
  <si>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</si>
  <si>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</si>
  <si>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</si>
  <si>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</si>
  <si>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</si>
  <si>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</si>
  <si>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</si>
  <si>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</si>
  <si>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</si>
  <si>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</si>
  <si>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</si>
  <si>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</si>
  <si>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</si>
  <si>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</si>
  <si>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</si>
  <si>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</si>
  <si>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</si>
  <si>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</si>
  <si>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</si>
  <si>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</si>
  <si>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</si>
  <si>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</si>
  <si>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</si>
  <si>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</si>
  <si>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</si>
  <si>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</si>
  <si>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</si>
  <si>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</si>
  <si>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</si>
  <si>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</si>
  <si>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</si>
  <si>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</si>
  <si>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</si>
  <si>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</si>
  <si>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</si>
  <si>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</si>
  <si>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</si>
  <si>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</si>
  <si>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</si>
  <si>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</si>
  <si>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</si>
  <si>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</si>
  <si>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</si>
  <si>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</si>
  <si>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</si>
  <si>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</si>
  <si>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</si>
  <si>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</si>
  <si>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</si>
  <si>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</si>
  <si>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</si>
  <si>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</si>
  <si>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</si>
  <si>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</si>
  <si>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</si>
  <si>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</si>
  <si>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</si>
  <si>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</si>
  <si>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</si>
  <si>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</si>
  <si>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</si>
  <si>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</si>
  <si>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</si>
  <si>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</si>
  <si>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</si>
  <si>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</si>
  <si>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</si>
  <si>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</si>
  <si>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</si>
  <si>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</si>
  <si>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</si>
  <si>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</si>
  <si>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</si>
  <si>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</si>
  <si>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</si>
  <si>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</si>
  <si>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</si>
  <si>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</si>
  <si>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</si>
  <si>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</si>
  <si>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</si>
  <si>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</si>
  <si>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</si>
  <si>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</si>
  <si>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</si>
  <si>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</si>
  <si>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</si>
  <si>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</si>
  <si>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</si>
  <si>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</si>
  <si>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</si>
  <si>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</si>
  <si>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</si>
  <si>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</si>
  <si>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</si>
  <si>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</si>
  <si>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</si>
  <si>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</si>
  <si>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</si>
  <si>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</si>
  <si>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</si>
  <si>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</si>
  <si>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</si>
  <si>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</si>
  <si>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</si>
  <si>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</si>
  <si>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</si>
  <si>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</si>
  <si>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</si>
  <si>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</si>
  <si>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</si>
  <si>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</si>
  <si>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</si>
  <si>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</si>
  <si>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</si>
  <si>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</si>
  <si>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</si>
  <si>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</si>
  <si>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</si>
  <si>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</si>
  <si>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</si>
  <si>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</si>
  <si>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</si>
  <si>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</si>
  <si>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</si>
  <si>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</si>
  <si>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</si>
  <si>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</si>
  <si>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</si>
  <si>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</si>
  <si>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</si>
  <si>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</si>
  <si>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</si>
  <si>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</si>
  <si>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</si>
  <si>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NIHIP - NORTHERN ILLINOIS HEALTH INSURANCE PROGRAM</t>
  </si>
  <si>
    <t>IUPC - INTERGOVERNMENTAL UTILITY PURCHASING COOPERATIVE</t>
  </si>
  <si>
    <t>SODEXO, INC</t>
  </si>
  <si>
    <t>CLIC - COLLECTIVE LIABILITY INSURANCE COOPERATIVE</t>
  </si>
  <si>
    <t>ISDLA</t>
  </si>
  <si>
    <t>SEDOL - SPECIAL EDUCATION DISTRICT OF LAKE COUNTY</t>
  </si>
  <si>
    <t>LCAVS - LAKE COUNTY AREA VOCATIONAL SYSTEM</t>
  </si>
  <si>
    <t>ED-SUPPORT SERVICES BUSINESS-FOOD SERVICE</t>
  </si>
  <si>
    <t>10-2560-300</t>
  </si>
  <si>
    <t>40-2550-300</t>
  </si>
  <si>
    <t>SODEXO AMERICA, INC</t>
  </si>
  <si>
    <t>RIDE-ON TRANSIT</t>
  </si>
  <si>
    <t>AMERICAN FUNDING SOLUTIONS</t>
  </si>
  <si>
    <t>TR-SUPPORT SERVICES BUSINESS-PUPIL TRANSPORTATION</t>
  </si>
  <si>
    <t>LAKE</t>
  </si>
  <si>
    <t>555 MAIN ST.</t>
  </si>
  <si>
    <t xml:space="preserve">WAUCONDA   </t>
  </si>
  <si>
    <t>WHARKIN@D118.ORG</t>
  </si>
  <si>
    <t>1875 HICKS ROAD</t>
  </si>
  <si>
    <t>ROLLING MEADOWS</t>
  </si>
  <si>
    <t>ILLINOIS</t>
  </si>
  <si>
    <t>847-221-5700</t>
  </si>
  <si>
    <t>847-221-5701</t>
  </si>
  <si>
    <t>SCHOOL BUILDING BONDS SERIES 2010B</t>
  </si>
  <si>
    <t>REFUNDING BONDS SERIES 2012</t>
  </si>
  <si>
    <t>CAPITAL LEASES</t>
  </si>
  <si>
    <t>REFUNDING BONDS SERIES 2013</t>
  </si>
  <si>
    <t>REFUNDING BONDS SERIES 2014</t>
  </si>
  <si>
    <t>REFUNDING BONDS SERIES 2015</t>
  </si>
  <si>
    <t>VARIOUS</t>
  </si>
  <si>
    <t>P24, CELL 49  DOES NOT EQUAL P8, CELLS C33:K33 B/C OF THE ISSUANCE OF BUS LEASES IN THE TRANSPORTATION FUND.</t>
  </si>
  <si>
    <t>P18, CELLS H170 DOES NOT EQUAL P24, CELLS H49 DUE TO PRINCIPAL B/C OF PRINCIPAL PAYMENTS ON CAPITAL LEASES IN THE</t>
  </si>
  <si>
    <t xml:space="preserve">  TRANSPORATION FUND. </t>
  </si>
  <si>
    <t>US DEPARTMENT OF EDUCATION</t>
  </si>
  <si>
    <t>PASSED THROUGH THE ILLINOIS STATE BOARD OF EDUCATION (ISBE)</t>
  </si>
  <si>
    <t>TITLE I - LOW INCOME (M)</t>
  </si>
  <si>
    <t>18-4300-00</t>
  </si>
  <si>
    <t>19-4300-00</t>
  </si>
  <si>
    <t>19-4331-00</t>
  </si>
  <si>
    <t>TITLE I - SCHOOL IMPROVEMENT AND ACCOUNTABILITY</t>
  </si>
  <si>
    <t>TITLE IVA - STUDENT SUPPORT AND ACADEMIC ENRICHMENT</t>
  </si>
  <si>
    <t>19-4400-00</t>
  </si>
  <si>
    <t>TITLE III - IMMIGRANT EDUCATION PROGRAM (IEP)</t>
  </si>
  <si>
    <t>18-4905-00</t>
  </si>
  <si>
    <t>19-4905-00</t>
  </si>
  <si>
    <t>PROG. ENDS 8/31</t>
  </si>
  <si>
    <t>TITLE III - LANGUAGE INSTRUCTION PROGRAM - LIMITED ENGLISH (LIPLEP)</t>
  </si>
  <si>
    <t>18-4909-00</t>
  </si>
  <si>
    <t>19-4909-00</t>
  </si>
  <si>
    <t>TITLE II - TEACHER QUALITY</t>
  </si>
  <si>
    <t>18-4932-00</t>
  </si>
  <si>
    <t>19-4932-00</t>
  </si>
  <si>
    <t>PASSED THROUGH THE LAKE COUNTY REGIONAL VOCATIONAL SYSTEM</t>
  </si>
  <si>
    <t>CTE PERKINS - TITLE IIE - TECH PREP</t>
  </si>
  <si>
    <t>18-4770-00</t>
  </si>
  <si>
    <t>19-4770-00</t>
  </si>
  <si>
    <t>N/A</t>
  </si>
  <si>
    <t>PASSED THROUGH THE SPECIAL EDUCATION DISTRICT OF LAKE COUNTY (SEDOL)</t>
  </si>
  <si>
    <t>SPECIAL EDUCATION - IDEA ROOM AND BOARD</t>
  </si>
  <si>
    <t>18-4625-00</t>
  </si>
  <si>
    <t>SPECIAL EDUCATION - IDEA FLOW-THROUGH PRESCHOOL</t>
  </si>
  <si>
    <t>18-4600-00</t>
  </si>
  <si>
    <t>19-4600-00</t>
  </si>
  <si>
    <t>SPECIAL EDUCATION - IDEA FLOW-THROUGH</t>
  </si>
  <si>
    <t>18-4620-00</t>
  </si>
  <si>
    <t>19-4620-00</t>
  </si>
  <si>
    <t>TOTAL US DEPARTMENT OF EDUCATION</t>
  </si>
  <si>
    <t>US DEPARTMENT OF AGRICULTURE</t>
  </si>
  <si>
    <t>NATIONAL SCHOOL LUNCH</t>
  </si>
  <si>
    <t>18-4210-00</t>
  </si>
  <si>
    <t>19-4210-00</t>
  </si>
  <si>
    <t>SCHOOL BREAKFAST</t>
  </si>
  <si>
    <t>18-4220-00</t>
  </si>
  <si>
    <t>19-4220-00</t>
  </si>
  <si>
    <t>COMMODITIES - USDA FOODS (NON-CASH)</t>
  </si>
  <si>
    <t>FY 2019</t>
  </si>
  <si>
    <t>COMMODITIES - DOD FRUITS AND VEGETABLES (NON-CASH)</t>
  </si>
  <si>
    <t>TOTAL US DEPARTMENT OF AGRICULTURE</t>
  </si>
  <si>
    <t>US DEPARTMENT OF HEALTH AND HUMAN SERVICES</t>
  </si>
  <si>
    <t>PASSED THROUGH THE ILLINOIS DEPARTMENT OF HEALTHCARE AND FAMILY SERVICES</t>
  </si>
  <si>
    <t>MEDICAID MATCHING - ADMINISTRATIVE OUTREACH</t>
  </si>
  <si>
    <t>FY 2018</t>
  </si>
  <si>
    <t>TOTAL US DEPARTMENT OF HEALTH AND HUMAN SERVICES</t>
  </si>
  <si>
    <t>TOTAL FEDERAL PROGRAMS</t>
  </si>
  <si>
    <r>
      <t xml:space="preserve">The accompanying Schedule of Expenditures of Federal Awards includes the federal grant activity of </t>
    </r>
    <r>
      <rPr>
        <b/>
        <sz val="9"/>
        <rFont val="Calibri"/>
        <family val="2"/>
        <scheme val="minor"/>
      </rPr>
      <t>Wauconda Community Unit School District No. 118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</si>
  <si>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Wauconda Community Unit School District No. 118</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</si>
  <si>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</si>
  <si>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Wauconda Community Unit School District No. 118</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</si>
  <si>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</si>
  <si>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TITLE I - LOW INCOME</t>
  </si>
  <si>
    <t>2019-NONE</t>
  </si>
  <si>
    <t>EVANS, MARSHALL &amp; PEASE, P.C.</t>
  </si>
  <si>
    <t>066.00534</t>
  </si>
  <si>
    <t>REFUNDING BOND SERIES 2019</t>
  </si>
  <si>
    <t>JEFFERY M. ROLLEFSON, C.P.A.</t>
  </si>
  <si>
    <t>JEFF@EMPCPA.COM</t>
  </si>
  <si>
    <t>Wauconda CUSD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</si>
</sst>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protection locked="0"/>
    </xf>
    <xf numFmtId="0" fontId="7" fillId="0" borderId="0" xfId="17" applyAlignment="1"/>
    <xf numFmtId="0" fontId="57" fillId="0" borderId="0" xfId="0" applyFont="1"/>
    <xf numFmtId="0" fontId="57" fillId="0" borderId="0" xfId="0" applyFont="1"/>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vertical="center" wrapText="1"/>
      <protection locked="0"/>
    </xf>
    <xf numFmtId="3" fontId="62" fillId="0" borderId="22" xfId="3" applyNumberFormat="1" applyFont="1" applyBorder="1" applyAlignment="1" applyProtection="1">
      <alignment horizontal="center" vertical="center" wrapText="1"/>
      <protection locked="0"/>
    </xf>
    <xf numFmtId="3" fontId="96" fillId="0" borderId="22" xfId="3" applyNumberFormat="1" applyFont="1" applyBorder="1" applyAlignment="1" applyProtection="1">
      <alignment horizontal="center" vertical="center" wrapText="1"/>
      <protection locked="0"/>
    </xf>
    <xf numFmtId="3" fontId="96" fillId="0" borderId="22"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FEDB559A-2A69-4D2B-B055-0109D3655241}"/>
    <cellStyle name="Normal 3 2 3" xfId="20" xr:uid="{C61A7086-AC73-4425-BE23-8F3D47D8F74F}"/>
    <cellStyle name="Normal 3 3" xfId="19" xr:uid="{CC95D21A-0DD2-4D6B-9E58-C0C59395D336}"/>
    <cellStyle name="Normal 4" xfId="16" xr:uid="{00000000-0005-0000-0000-000008000000}"/>
    <cellStyle name="Normal 4 2" xfId="21" xr:uid="{68128226-9AE0-41B0-A173-A6A5698C9028}"/>
    <cellStyle name="Normal 5" xfId="17" xr:uid="{00000000-0005-0000-0000-000009000000}"/>
    <cellStyle name="Normal 5 2" xfId="25" xr:uid="{A65268AA-BA33-496C-B740-5B3C44F61178}"/>
    <cellStyle name="Normal 5 3" xfId="22" xr:uid="{541A0C04-3AB8-4933-B541-0604C55EA275}"/>
    <cellStyle name="Normal 6" xfId="24" xr:uid="{5E037BBE-D73C-4506-8D10-A620916F61B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77933</xdr:colOff>
          <xdr:row>1</xdr:row>
          <xdr:rowOff>60613</xdr:rowOff>
        </xdr:from>
        <xdr:to>
          <xdr:col>1</xdr:col>
          <xdr:colOff>988869</xdr:colOff>
          <xdr:row>5</xdr:row>
          <xdr:rowOff>98713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1</xdr:row>
          <xdr:rowOff>61479</xdr:rowOff>
        </xdr:from>
        <xdr:to>
          <xdr:col>1</xdr:col>
          <xdr:colOff>2015837</xdr:colOff>
          <xdr:row>5</xdr:row>
          <xdr:rowOff>99579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2138796</xdr:colOff>
          <xdr:row>1</xdr:row>
          <xdr:rowOff>56284</xdr:rowOff>
        </xdr:from>
        <xdr:to>
          <xdr:col>1</xdr:col>
          <xdr:colOff>3046269</xdr:colOff>
          <xdr:row>5</xdr:row>
          <xdr:rowOff>96981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5703125" defaultRowHeight="12.75" x14ac:dyDescent="0.2"/>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x14ac:dyDescent="0.2">
      <c r="A1" s="44" t="s">
        <v>1985</v>
      </c>
      <c r="B1" s="45"/>
      <c r="C1" s="45"/>
      <c r="D1" s="46"/>
      <c r="I1" s="1997" t="s">
        <v>404</v>
      </c>
      <c r="J1" s="1998"/>
      <c r="K1" s="1998"/>
      <c r="L1" s="1998"/>
      <c r="M1" s="1998"/>
      <c r="N1" s="1998"/>
      <c r="O1" s="1998"/>
      <c r="P1" s="1998"/>
      <c r="Q1" s="1998"/>
      <c r="R1" s="1998"/>
      <c r="S1" s="1998"/>
    </row>
    <row r="2" spans="1:28" ht="12" customHeight="1" x14ac:dyDescent="0.2">
      <c r="A2" s="47" t="s">
        <v>1986</v>
      </c>
      <c r="D2" s="48"/>
      <c r="I2" s="1999" t="s">
        <v>978</v>
      </c>
      <c r="J2" s="1998"/>
      <c r="K2" s="1998"/>
      <c r="L2" s="1998"/>
      <c r="M2" s="1998"/>
      <c r="N2" s="1998"/>
      <c r="O2" s="1998"/>
      <c r="P2" s="1998"/>
      <c r="Q2" s="1998"/>
      <c r="R2" s="1998"/>
      <c r="S2" s="1998"/>
    </row>
    <row r="3" spans="1:28" ht="12" customHeight="1" x14ac:dyDescent="0.2">
      <c r="A3" s="155" t="s">
        <v>1939</v>
      </c>
      <c r="B3" s="156"/>
      <c r="C3" s="156"/>
      <c r="D3" s="157"/>
      <c r="I3" s="1999" t="s">
        <v>52</v>
      </c>
      <c r="J3" s="1998"/>
      <c r="K3" s="1998"/>
      <c r="L3" s="1998"/>
      <c r="M3" s="1998"/>
      <c r="N3" s="1998"/>
      <c r="O3" s="1998"/>
      <c r="P3" s="1998"/>
      <c r="Q3" s="1998"/>
      <c r="R3" s="1998"/>
      <c r="S3" s="1998"/>
    </row>
    <row r="4" spans="1:28" ht="12" customHeight="1" x14ac:dyDescent="0.2">
      <c r="A4" s="37"/>
      <c r="I4" s="1999" t="s">
        <v>523</v>
      </c>
      <c r="J4" s="1998"/>
      <c r="K4" s="1998"/>
      <c r="L4" s="1998"/>
      <c r="M4" s="1998"/>
      <c r="N4" s="1998"/>
      <c r="O4" s="1998"/>
      <c r="P4" s="1998"/>
      <c r="Q4" s="1998"/>
      <c r="R4" s="1998"/>
      <c r="S4" s="1998"/>
    </row>
    <row r="5" spans="1:28" ht="14.1" customHeight="1" x14ac:dyDescent="0.2">
      <c r="B5" s="104" t="s">
        <v>2060</v>
      </c>
      <c r="C5" s="26" t="s">
        <v>909</v>
      </c>
      <c r="D5" s="84"/>
      <c r="E5" s="84"/>
      <c r="H5" s="38"/>
      <c r="I5" s="2007" t="s">
        <v>679</v>
      </c>
      <c r="J5" s="2006"/>
      <c r="K5" s="2006"/>
      <c r="L5" s="2006"/>
      <c r="M5" s="2006"/>
      <c r="N5" s="2006"/>
      <c r="O5" s="2006"/>
      <c r="P5" s="2006"/>
      <c r="Q5" s="2006"/>
      <c r="R5" s="2006"/>
      <c r="S5" s="2006"/>
    </row>
    <row r="6" spans="1:28" ht="14.1" customHeight="1" x14ac:dyDescent="0.2">
      <c r="B6" s="104"/>
      <c r="C6" s="26" t="s">
        <v>910</v>
      </c>
      <c r="D6" s="84"/>
      <c r="E6" s="84"/>
      <c r="I6" s="2005" t="s">
        <v>882</v>
      </c>
      <c r="J6" s="2006"/>
      <c r="K6" s="2006"/>
      <c r="L6" s="2006"/>
      <c r="M6" s="2006"/>
      <c r="N6" s="2006"/>
      <c r="O6" s="2006"/>
      <c r="P6" s="2006"/>
      <c r="Q6" s="2006"/>
      <c r="R6" s="2006"/>
      <c r="S6" s="2006"/>
    </row>
    <row r="7" spans="1:28" ht="12.2" customHeight="1" x14ac:dyDescent="0.2">
      <c r="I7" s="2000">
        <v>43646</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673</v>
      </c>
      <c r="J9" s="2003"/>
      <c r="K9" s="2003"/>
      <c r="L9" s="2003"/>
      <c r="M9" s="2003"/>
      <c r="N9" s="2003"/>
      <c r="O9" s="2003"/>
      <c r="P9" s="2003"/>
      <c r="Q9" s="2003"/>
      <c r="R9" s="2003"/>
      <c r="S9" s="2004"/>
      <c r="T9" s="2018" t="s">
        <v>532</v>
      </c>
      <c r="U9" s="2019"/>
      <c r="V9" s="2019"/>
      <c r="W9" s="2019"/>
      <c r="X9" s="2019"/>
      <c r="Y9" s="2019"/>
      <c r="Z9" s="2019"/>
      <c r="AA9" s="2020"/>
    </row>
    <row r="10" spans="1:28" ht="13.5" customHeight="1" x14ac:dyDescent="0.2">
      <c r="A10" s="2025" t="s">
        <v>674</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954</v>
      </c>
      <c r="B11" s="2029"/>
      <c r="C11" s="2029"/>
      <c r="D11" s="2029"/>
      <c r="E11" s="2029"/>
      <c r="F11" s="2029"/>
      <c r="G11" s="2029"/>
      <c r="H11" s="2030"/>
      <c r="I11" s="27"/>
      <c r="J11" s="74"/>
      <c r="K11" s="27"/>
      <c r="O11" s="148" t="s">
        <v>2060</v>
      </c>
      <c r="P11" s="100" t="s">
        <v>201</v>
      </c>
      <c r="Q11" s="30"/>
      <c r="R11" s="28"/>
      <c r="S11" s="27"/>
      <c r="T11" s="2022"/>
      <c r="U11" s="2023"/>
      <c r="V11" s="2023"/>
      <c r="W11" s="2023"/>
      <c r="X11" s="2023"/>
      <c r="Y11" s="2023"/>
      <c r="Z11" s="2023"/>
      <c r="AA11" s="2024"/>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2">
        <v>34049118026</v>
      </c>
      <c r="B13" s="2033"/>
      <c r="C13" s="2033"/>
      <c r="D13" s="2033"/>
      <c r="E13" s="2033"/>
      <c r="F13" s="2033"/>
      <c r="G13" s="2033"/>
      <c r="H13" s="2034"/>
      <c r="I13" s="31"/>
      <c r="J13" s="30"/>
      <c r="K13" s="28"/>
      <c r="L13" s="30"/>
      <c r="M13" s="30"/>
      <c r="N13" s="30"/>
      <c r="O13" s="30"/>
      <c r="P13" s="30"/>
      <c r="Q13" s="30"/>
      <c r="R13" s="30"/>
      <c r="S13" s="30"/>
      <c r="T13" s="2037" t="s">
        <v>2152</v>
      </c>
      <c r="U13" s="2038"/>
      <c r="V13" s="2038"/>
      <c r="W13" s="2038"/>
      <c r="X13" s="2038"/>
      <c r="Y13" s="2039"/>
      <c r="Z13" s="2039"/>
      <c r="AA13" s="204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1" t="s">
        <v>2075</v>
      </c>
      <c r="B15" s="2035"/>
      <c r="C15" s="2035"/>
      <c r="D15" s="2035"/>
      <c r="E15" s="2035"/>
      <c r="F15" s="2035"/>
      <c r="G15" s="2035"/>
      <c r="H15" s="2036"/>
      <c r="T15" s="2041" t="s">
        <v>2155</v>
      </c>
      <c r="U15" s="1985"/>
      <c r="V15" s="1985"/>
      <c r="W15" s="1985"/>
      <c r="X15" s="1985"/>
      <c r="Y15" s="2042"/>
      <c r="Z15" s="2042"/>
      <c r="AA15" s="204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1" t="s">
        <v>2157</v>
      </c>
      <c r="B17" s="1992"/>
      <c r="C17" s="1992"/>
      <c r="D17" s="1992"/>
      <c r="E17" s="1992"/>
      <c r="F17" s="1992"/>
      <c r="G17" s="1992"/>
      <c r="H17" s="2017"/>
      <c r="T17" s="2048" t="s">
        <v>2079</v>
      </c>
      <c r="U17" s="2049"/>
      <c r="V17" s="2049"/>
      <c r="W17" s="2049"/>
      <c r="X17" s="2049"/>
      <c r="Y17" s="2049"/>
      <c r="Z17" s="2049"/>
      <c r="AA17" s="2050"/>
    </row>
    <row r="18" spans="1:27" ht="13.5" customHeight="1" x14ac:dyDescent="0.2">
      <c r="A18" s="85" t="s">
        <v>529</v>
      </c>
      <c r="B18" s="76"/>
      <c r="C18" s="72"/>
      <c r="D18" s="76"/>
      <c r="E18" s="76"/>
      <c r="F18" s="76"/>
      <c r="G18" s="76"/>
      <c r="H18" s="56"/>
      <c r="I18" s="2016" t="s">
        <v>675</v>
      </c>
      <c r="J18" s="1967"/>
      <c r="K18" s="1967"/>
      <c r="L18" s="1967"/>
      <c r="M18" s="1967"/>
      <c r="N18" s="1967"/>
      <c r="O18" s="1967"/>
      <c r="P18" s="1967"/>
      <c r="Q18" s="1967"/>
      <c r="R18" s="1967"/>
      <c r="S18" s="1968"/>
      <c r="T18" s="85" t="s">
        <v>710</v>
      </c>
      <c r="U18" s="51"/>
      <c r="V18" s="72"/>
      <c r="W18" s="50"/>
      <c r="X18" s="85" t="s">
        <v>265</v>
      </c>
      <c r="Y18" s="81"/>
      <c r="Z18" s="159" t="s">
        <v>676</v>
      </c>
      <c r="AA18" s="46"/>
    </row>
    <row r="19" spans="1:27" ht="13.5" customHeight="1" x14ac:dyDescent="0.2">
      <c r="A19" s="2031" t="s">
        <v>2076</v>
      </c>
      <c r="B19" s="1977"/>
      <c r="C19" s="1977"/>
      <c r="D19" s="1977"/>
      <c r="E19" s="1977"/>
      <c r="F19" s="1977"/>
      <c r="G19" s="1977"/>
      <c r="H19" s="1957"/>
      <c r="I19" s="30"/>
      <c r="J19" s="99"/>
      <c r="K19" s="40"/>
      <c r="L19" s="38"/>
      <c r="M19" s="112" t="s">
        <v>314</v>
      </c>
      <c r="P19" s="27"/>
      <c r="Q19" s="27"/>
      <c r="R19" s="27"/>
      <c r="S19" s="31"/>
      <c r="T19" s="2031" t="s">
        <v>2080</v>
      </c>
      <c r="U19" s="1956"/>
      <c r="V19" s="1956"/>
      <c r="W19" s="1957"/>
      <c r="X19" s="2046" t="s">
        <v>2081</v>
      </c>
      <c r="Y19" s="2047"/>
      <c r="Z19" s="2044">
        <v>60008</v>
      </c>
      <c r="AA19" s="204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5" t="s">
        <v>2077</v>
      </c>
      <c r="B21" s="1956"/>
      <c r="C21" s="1956"/>
      <c r="D21" s="1956"/>
      <c r="E21" s="1956"/>
      <c r="F21" s="1956"/>
      <c r="G21" s="1956"/>
      <c r="H21" s="1957"/>
      <c r="I21" s="2011" t="s">
        <v>677</v>
      </c>
      <c r="J21" s="2006"/>
      <c r="K21" s="2006"/>
      <c r="L21" s="2006"/>
      <c r="M21" s="2006"/>
      <c r="N21" s="2006"/>
      <c r="O21" s="2006"/>
      <c r="P21" s="2006"/>
      <c r="Q21" s="2006"/>
      <c r="R21" s="2006"/>
      <c r="S21" s="2012"/>
      <c r="T21" s="2056" t="s">
        <v>2082</v>
      </c>
      <c r="U21" s="2057"/>
      <c r="V21" s="2057"/>
      <c r="W21" s="2057"/>
      <c r="X21" s="2062" t="s">
        <v>2083</v>
      </c>
      <c r="Y21" s="2063"/>
      <c r="Z21" s="2063"/>
      <c r="AA21" s="2064"/>
    </row>
    <row r="22" spans="1:27" ht="13.5" customHeight="1" x14ac:dyDescent="0.2">
      <c r="A22" s="87" t="s">
        <v>530</v>
      </c>
      <c r="B22" s="59"/>
      <c r="C22" s="59"/>
      <c r="D22" s="59"/>
      <c r="E22" s="59"/>
      <c r="F22" s="59"/>
      <c r="G22" s="59"/>
      <c r="H22" s="60"/>
      <c r="I22" s="2013" t="s">
        <v>1428</v>
      </c>
      <c r="J22" s="2014"/>
      <c r="K22" s="2014"/>
      <c r="L22" s="2014"/>
      <c r="M22" s="2014"/>
      <c r="N22" s="2014"/>
      <c r="O22" s="2014"/>
      <c r="P22" s="2014"/>
      <c r="Q22" s="2014"/>
      <c r="R22" s="2014"/>
      <c r="S22" s="2015"/>
      <c r="T22" s="85" t="s">
        <v>1515</v>
      </c>
      <c r="U22" s="51"/>
      <c r="V22" s="72"/>
      <c r="W22" s="51"/>
      <c r="X22" s="160" t="s">
        <v>1317</v>
      </c>
      <c r="Z22" s="45"/>
      <c r="AA22" s="46"/>
    </row>
    <row r="23" spans="1:27" ht="13.5" customHeight="1" x14ac:dyDescent="0.2">
      <c r="A23" s="2008" t="s">
        <v>2078</v>
      </c>
      <c r="B23" s="2009"/>
      <c r="C23" s="2009"/>
      <c r="D23" s="2009"/>
      <c r="E23" s="2009"/>
      <c r="F23" s="2009"/>
      <c r="G23" s="2009"/>
      <c r="H23" s="2010"/>
      <c r="T23" s="2054" t="s">
        <v>2153</v>
      </c>
      <c r="U23" s="2055"/>
      <c r="V23" s="2055"/>
      <c r="W23" s="2055"/>
      <c r="X23" s="2059">
        <v>44530</v>
      </c>
      <c r="Y23" s="2060"/>
      <c r="Z23" s="2060"/>
      <c r="AA23" s="2061"/>
    </row>
    <row r="24" spans="1:27" ht="14.1" customHeight="1" x14ac:dyDescent="0.2">
      <c r="A24" s="88" t="s">
        <v>676</v>
      </c>
      <c r="B24" s="49"/>
      <c r="C24" s="49"/>
      <c r="D24" s="49"/>
      <c r="E24" s="49"/>
      <c r="F24" s="49"/>
      <c r="G24" s="49"/>
      <c r="H24" s="61"/>
      <c r="J24" s="1978">
        <f>IF(B5="x",IF(AUDITCHECK!D29="AFR form Incomplete.","",IF(AUDITCHECK!D29="Deficit reduction plan is required.","School District must complete a deficit reduction plan in the 2019-2020 Budget",)),"")</f>
        <v>0</v>
      </c>
      <c r="K24" s="1978"/>
      <c r="L24" s="1978"/>
      <c r="M24" s="1978"/>
      <c r="N24" s="1978"/>
      <c r="O24" s="1978"/>
      <c r="P24" s="1978"/>
      <c r="Q24" s="1978"/>
      <c r="R24" s="1978"/>
      <c r="S24" s="1979"/>
      <c r="T24" s="105" t="s">
        <v>530</v>
      </c>
      <c r="U24" s="106"/>
      <c r="V24" s="106"/>
      <c r="W24" s="106"/>
      <c r="X24" s="107"/>
      <c r="Y24" s="107"/>
      <c r="Z24" s="107"/>
      <c r="AA24" s="108"/>
    </row>
    <row r="25" spans="1:27" ht="14.1" customHeight="1" x14ac:dyDescent="0.2">
      <c r="A25" s="1955">
        <v>60084</v>
      </c>
      <c r="B25" s="1956"/>
      <c r="C25" s="1956"/>
      <c r="D25" s="1956"/>
      <c r="E25" s="1956"/>
      <c r="F25" s="1956"/>
      <c r="G25" s="1956"/>
      <c r="H25" s="1957"/>
      <c r="I25" s="113"/>
      <c r="J25" s="1980"/>
      <c r="K25" s="1980"/>
      <c r="L25" s="1980"/>
      <c r="M25" s="1980"/>
      <c r="N25" s="1980"/>
      <c r="O25" s="1980"/>
      <c r="P25" s="1980"/>
      <c r="Q25" s="1980"/>
      <c r="R25" s="1980"/>
      <c r="S25" s="1981"/>
      <c r="T25" s="2051" t="s">
        <v>2156</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6" t="s">
        <v>1510</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1"/>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530</v>
      </c>
      <c r="B39" s="1962"/>
      <c r="C39" s="72"/>
      <c r="D39" s="69"/>
      <c r="E39" s="69"/>
      <c r="F39" s="79"/>
      <c r="G39" s="69"/>
      <c r="H39" s="56"/>
      <c r="I39" s="1961" t="s">
        <v>530</v>
      </c>
      <c r="J39" s="1962"/>
      <c r="K39" s="1962"/>
      <c r="L39" s="1962"/>
      <c r="M39" s="1962"/>
      <c r="N39" s="67"/>
      <c r="O39" s="72"/>
      <c r="P39" s="72"/>
      <c r="Q39" s="78"/>
      <c r="R39" s="72"/>
      <c r="S39" s="56"/>
      <c r="T39" s="72" t="s">
        <v>530</v>
      </c>
      <c r="U39" s="51"/>
      <c r="V39" s="72"/>
      <c r="W39" s="50"/>
      <c r="X39" s="78"/>
      <c r="Y39" s="45"/>
      <c r="Z39" s="45"/>
      <c r="AA39" s="46"/>
    </row>
    <row r="40" spans="1:27" ht="13.5" customHeight="1" x14ac:dyDescent="0.2">
      <c r="A40" s="1969"/>
      <c r="B40" s="1970"/>
      <c r="C40" s="1971"/>
      <c r="D40" s="1971"/>
      <c r="E40" s="1971"/>
      <c r="F40" s="1972"/>
      <c r="G40" s="1972"/>
      <c r="H40" s="1973"/>
      <c r="I40" s="1994"/>
      <c r="J40" s="1995"/>
      <c r="K40" s="1995"/>
      <c r="L40" s="1995"/>
      <c r="M40" s="1995"/>
      <c r="N40" s="1995"/>
      <c r="O40" s="1995"/>
      <c r="P40" s="1995"/>
      <c r="Q40" s="1995"/>
      <c r="R40" s="1995"/>
      <c r="S40" s="1996"/>
      <c r="T40" s="1994"/>
      <c r="U40" s="2058"/>
      <c r="V40" s="1995"/>
      <c r="W40" s="1995"/>
      <c r="X40" s="1995"/>
      <c r="Y40" s="1995"/>
      <c r="Z40" s="1995"/>
      <c r="AA40" s="199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3"/>
      <c r="B42" s="1975"/>
      <c r="C42" s="1976"/>
      <c r="D42" s="1974"/>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110" zoomScaleNormal="110" workbookViewId="0">
      <selection activeCell="T14" sqref="T14"/>
    </sheetView>
  </sheetViews>
  <sheetFormatPr defaultColWidth="9.140625" defaultRowHeight="12.75" x14ac:dyDescent="0.2"/>
  <cols>
    <col min="1" max="1" width="41.42578125" style="252" customWidth="1"/>
    <col min="2" max="3" width="17.5703125" style="712" customWidth="1"/>
    <col min="4" max="5" width="17.5703125" style="713" customWidth="1"/>
    <col min="6" max="6" width="17.5703125" style="329" customWidth="1"/>
    <col min="7" max="7" width="4.42578125" style="329" customWidth="1"/>
    <col min="8" max="8" width="33.42578125" style="329" customWidth="1"/>
    <col min="9" max="16384" width="9.140625" style="329"/>
  </cols>
  <sheetData>
    <row r="1" spans="1:6" ht="33.75" customHeight="1" x14ac:dyDescent="0.2">
      <c r="A1" s="1883" t="s">
        <v>104</v>
      </c>
    </row>
    <row r="2" spans="1:6" ht="39.75" customHeight="1" x14ac:dyDescent="0.2">
      <c r="A2" s="2198" t="s">
        <v>1798</v>
      </c>
      <c r="B2" s="1528" t="s">
        <v>1945</v>
      </c>
      <c r="C2" s="714" t="s">
        <v>1946</v>
      </c>
      <c r="D2" s="714" t="s">
        <v>1947</v>
      </c>
      <c r="E2" s="714" t="s">
        <v>1948</v>
      </c>
      <c r="F2" s="714" t="s">
        <v>1949</v>
      </c>
    </row>
    <row r="3" spans="1:6" ht="12" customHeight="1" x14ac:dyDescent="0.2">
      <c r="A3" s="2199"/>
      <c r="B3" s="1525"/>
      <c r="C3" s="1526"/>
      <c r="D3" s="1527" t="s">
        <v>256</v>
      </c>
      <c r="E3" s="1526"/>
      <c r="F3" s="1527" t="s">
        <v>257</v>
      </c>
    </row>
    <row r="4" spans="1:6" ht="13.7" customHeight="1" x14ac:dyDescent="0.2">
      <c r="A4" s="715" t="s">
        <v>1154</v>
      </c>
      <c r="B4" s="1749">
        <f>'Revenues 9-14'!C5</f>
        <v>27510365</v>
      </c>
      <c r="C4" s="1524">
        <v>14258721</v>
      </c>
      <c r="D4" s="1752">
        <f>B4-C4</f>
        <v>13251644</v>
      </c>
      <c r="E4" s="1524">
        <v>28789328</v>
      </c>
      <c r="F4" s="1752">
        <f>E4-C4</f>
        <v>14530607</v>
      </c>
    </row>
    <row r="5" spans="1:6" ht="13.7" customHeight="1" x14ac:dyDescent="0.2">
      <c r="A5" s="715" t="s">
        <v>869</v>
      </c>
      <c r="B5" s="1750">
        <f>'Revenues 9-14'!D5</f>
        <v>4510892</v>
      </c>
      <c r="C5" s="585">
        <v>2326244</v>
      </c>
      <c r="D5" s="1753">
        <f t="shared" ref="D5:D18" si="0">B5-C5</f>
        <v>2184648</v>
      </c>
      <c r="E5" s="585">
        <v>4696851</v>
      </c>
      <c r="F5" s="1753">
        <f>E5-C5</f>
        <v>2370607</v>
      </c>
    </row>
    <row r="6" spans="1:6" ht="13.7" customHeight="1" x14ac:dyDescent="0.2">
      <c r="A6" s="715" t="s">
        <v>410</v>
      </c>
      <c r="B6" s="1750">
        <f>'Revenues 9-14'!E5</f>
        <v>11163939</v>
      </c>
      <c r="C6" s="585">
        <v>5502445</v>
      </c>
      <c r="D6" s="1753">
        <f t="shared" si="0"/>
        <v>5661494</v>
      </c>
      <c r="E6" s="585">
        <v>11109907</v>
      </c>
      <c r="F6" s="1753">
        <f t="shared" ref="F6:F18" si="1">E6-C6</f>
        <v>5607462</v>
      </c>
    </row>
    <row r="7" spans="1:6" ht="13.7" customHeight="1" x14ac:dyDescent="0.2">
      <c r="A7" s="715" t="s">
        <v>155</v>
      </c>
      <c r="B7" s="1750">
        <f>'Revenues 9-14'!F5</f>
        <v>1522012</v>
      </c>
      <c r="C7" s="585">
        <v>739988</v>
      </c>
      <c r="D7" s="1753">
        <f t="shared" si="0"/>
        <v>782024</v>
      </c>
      <c r="E7" s="585">
        <v>1494105</v>
      </c>
      <c r="F7" s="1753">
        <f t="shared" si="1"/>
        <v>754117</v>
      </c>
    </row>
    <row r="8" spans="1:6" ht="13.7" customHeight="1" x14ac:dyDescent="0.2">
      <c r="A8" s="715" t="s">
        <v>1178</v>
      </c>
      <c r="B8" s="1750">
        <f>'Revenues 9-14'!G5</f>
        <v>1085171</v>
      </c>
      <c r="C8" s="585">
        <v>589247</v>
      </c>
      <c r="D8" s="1753">
        <f t="shared" si="0"/>
        <v>495924</v>
      </c>
      <c r="E8" s="585">
        <v>1189729</v>
      </c>
      <c r="F8" s="1753">
        <f t="shared" si="1"/>
        <v>600482</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7381</v>
      </c>
      <c r="C10" s="585">
        <v>3793</v>
      </c>
      <c r="D10" s="1753">
        <f t="shared" si="0"/>
        <v>3588</v>
      </c>
      <c r="E10" s="585">
        <v>7662</v>
      </c>
      <c r="F10" s="1753">
        <f t="shared" si="1"/>
        <v>3869</v>
      </c>
    </row>
    <row r="11" spans="1:6" x14ac:dyDescent="0.2">
      <c r="A11" s="715" t="s">
        <v>408</v>
      </c>
      <c r="B11" s="1750">
        <f>'Revenues 9-14'!J5</f>
        <v>814100</v>
      </c>
      <c r="C11" s="585">
        <v>415914</v>
      </c>
      <c r="D11" s="1753">
        <f t="shared" si="0"/>
        <v>398186</v>
      </c>
      <c r="E11" s="585">
        <v>839764</v>
      </c>
      <c r="F11" s="1753">
        <f t="shared" si="1"/>
        <v>423850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4074093</v>
      </c>
      <c r="C14" s="585">
        <v>2079573</v>
      </c>
      <c r="D14" s="1753">
        <f t="shared" si="0"/>
        <v>1994520</v>
      </c>
      <c r="E14" s="585">
        <v>4198817</v>
      </c>
      <c r="F14" s="1753">
        <f t="shared" si="1"/>
        <v>2119244</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1089383</v>
      </c>
      <c r="C16" s="585">
        <v>569228</v>
      </c>
      <c r="D16" s="1753">
        <f t="shared" si="0"/>
        <v>520155</v>
      </c>
      <c r="E16" s="585">
        <v>1149311</v>
      </c>
      <c r="F16" s="1753">
        <f t="shared" si="1"/>
        <v>580083</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51777336</v>
      </c>
      <c r="C19" s="1751">
        <f>SUM(C4:C18)</f>
        <v>26485153</v>
      </c>
      <c r="D19" s="1751">
        <f>SUM(D4:D18)</f>
        <v>25292183</v>
      </c>
      <c r="E19" s="1751">
        <f>SUM(E4:E18)</f>
        <v>53475474</v>
      </c>
      <c r="F19" s="1751">
        <f>SUM(F4:F18)</f>
        <v>26990321</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T14" sqref="T14"/>
    </sheetView>
  </sheetViews>
  <sheetFormatPr defaultColWidth="9.140625" defaultRowHeight="12.75" x14ac:dyDescent="0.2"/>
  <cols>
    <col min="1" max="1" width="44" style="401" customWidth="1"/>
    <col min="2" max="2" width="12.140625" style="722" customWidth="1"/>
    <col min="3" max="5" width="16.5703125" style="722" customWidth="1"/>
    <col min="6" max="6" width="13.42578125" style="384" customWidth="1"/>
    <col min="7" max="7" width="14.5703125" style="384" customWidth="1"/>
    <col min="8" max="10" width="16.5703125" style="384" customWidth="1"/>
    <col min="11" max="16384" width="9.140625" style="384"/>
  </cols>
  <sheetData>
    <row r="1" spans="1:7" ht="27" customHeight="1" x14ac:dyDescent="0.2">
      <c r="A1" s="2220" t="s">
        <v>628</v>
      </c>
      <c r="B1" s="2218"/>
      <c r="C1" s="721"/>
    </row>
    <row r="2" spans="1:7" ht="33.75" x14ac:dyDescent="0.2">
      <c r="A2" s="2225" t="s">
        <v>1798</v>
      </c>
      <c r="B2" s="2226"/>
      <c r="C2" s="1884" t="s">
        <v>1950</v>
      </c>
      <c r="D2" s="723" t="s">
        <v>1951</v>
      </c>
      <c r="E2" s="723" t="s">
        <v>1952</v>
      </c>
      <c r="F2" s="1884" t="s">
        <v>1953</v>
      </c>
    </row>
    <row r="3" spans="1:7" ht="15.75" customHeight="1" x14ac:dyDescent="0.2">
      <c r="A3" s="2227" t="s">
        <v>1113</v>
      </c>
      <c r="B3" s="2228"/>
      <c r="C3" s="2221"/>
      <c r="D3" s="2222"/>
      <c r="E3" s="2222"/>
      <c r="F3" s="2223"/>
    </row>
    <row r="4" spans="1:7" ht="12.75" customHeight="1" thickBot="1" x14ac:dyDescent="0.25">
      <c r="A4" s="2215" t="s">
        <v>629</v>
      </c>
      <c r="B4" s="2216"/>
      <c r="C4" s="581"/>
      <c r="D4" s="581"/>
      <c r="E4" s="581"/>
      <c r="F4" s="1755">
        <f>SUM(C4+D4)-E4</f>
        <v>0</v>
      </c>
    </row>
    <row r="5" spans="1:7" ht="15.75" customHeight="1" thickTop="1" x14ac:dyDescent="0.2">
      <c r="A5" s="2219" t="s">
        <v>1109</v>
      </c>
      <c r="B5" s="2214"/>
      <c r="C5" s="2208"/>
      <c r="D5" s="2209"/>
      <c r="E5" s="2209"/>
      <c r="F5" s="221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11" t="s">
        <v>630</v>
      </c>
      <c r="B15" s="2212"/>
      <c r="C15" s="1755">
        <f>SUM(C6:C14)</f>
        <v>0</v>
      </c>
      <c r="D15" s="1755">
        <f>SUM(D6:D14)</f>
        <v>0</v>
      </c>
      <c r="E15" s="1755">
        <f>SUM(E6:E14)</f>
        <v>0</v>
      </c>
      <c r="F15" s="1755">
        <f>SUM(F6:F14)</f>
        <v>0</v>
      </c>
      <c r="G15" s="552"/>
    </row>
    <row r="16" spans="1:7" s="202" customFormat="1" ht="15.75" customHeight="1" thickTop="1" x14ac:dyDescent="0.2">
      <c r="A16" s="2224" t="s">
        <v>1110</v>
      </c>
      <c r="B16" s="2214"/>
      <c r="C16" s="2208"/>
      <c r="D16" s="2209"/>
      <c r="E16" s="2209"/>
      <c r="F16" s="2210"/>
    </row>
    <row r="17" spans="1:11" ht="12.75" customHeight="1" thickBot="1" x14ac:dyDescent="0.25">
      <c r="A17" s="2206" t="s">
        <v>64</v>
      </c>
      <c r="B17" s="2207"/>
      <c r="C17" s="726"/>
      <c r="D17" s="585"/>
      <c r="E17" s="726"/>
      <c r="F17" s="1755">
        <f>SUM(C17+D17)-E17</f>
        <v>0</v>
      </c>
    </row>
    <row r="18" spans="1:11" ht="12.75" customHeight="1" thickTop="1" thickBot="1" x14ac:dyDescent="0.25">
      <c r="A18" s="2206" t="s">
        <v>6</v>
      </c>
      <c r="B18" s="2207"/>
      <c r="C18" s="726"/>
      <c r="D18" s="585"/>
      <c r="E18" s="726"/>
      <c r="F18" s="1755">
        <f>SUM(C18+D18)-E18</f>
        <v>0</v>
      </c>
    </row>
    <row r="19" spans="1:11" ht="12.75" customHeight="1" thickTop="1" thickBot="1" x14ac:dyDescent="0.25">
      <c r="A19" s="2206" t="s">
        <v>387</v>
      </c>
      <c r="B19" s="2207"/>
      <c r="C19" s="726"/>
      <c r="D19" s="585"/>
      <c r="E19" s="726"/>
      <c r="F19" s="1755">
        <f>SUM(C19+D19)-E19</f>
        <v>0</v>
      </c>
    </row>
    <row r="20" spans="1:11" ht="12.75" customHeight="1" thickTop="1" thickBot="1" x14ac:dyDescent="0.25">
      <c r="A20" s="2206" t="s">
        <v>447</v>
      </c>
      <c r="B20" s="2207"/>
      <c r="C20" s="726"/>
      <c r="D20" s="585"/>
      <c r="E20" s="726"/>
      <c r="F20" s="1755">
        <f>SUM(C20+D20)-E20</f>
        <v>0</v>
      </c>
    </row>
    <row r="21" spans="1:11" ht="14.25" thickTop="1" thickBot="1" x14ac:dyDescent="0.25">
      <c r="A21" s="2211" t="s">
        <v>631</v>
      </c>
      <c r="B21" s="2212"/>
      <c r="C21" s="1755">
        <f>SUM(C17:C20)</f>
        <v>0</v>
      </c>
      <c r="D21" s="1755">
        <f>SUM(D17:D20)</f>
        <v>0</v>
      </c>
      <c r="E21" s="1755">
        <f>SUM(E17:E20)</f>
        <v>0</v>
      </c>
      <c r="F21" s="1755">
        <f>SUM(F17:F20)</f>
        <v>0</v>
      </c>
      <c r="G21" s="552"/>
    </row>
    <row r="22" spans="1:11" ht="15.75" customHeight="1" thickTop="1" x14ac:dyDescent="0.2">
      <c r="A22" s="2213" t="s">
        <v>1111</v>
      </c>
      <c r="B22" s="2214"/>
      <c r="C22" s="2208"/>
      <c r="D22" s="2209"/>
      <c r="E22" s="2209"/>
      <c r="F22" s="2210"/>
    </row>
    <row r="23" spans="1:11" ht="13.5" thickBot="1" x14ac:dyDescent="0.25">
      <c r="A23" s="2215" t="s">
        <v>632</v>
      </c>
      <c r="B23" s="2216"/>
      <c r="C23" s="581"/>
      <c r="D23" s="581"/>
      <c r="E23" s="581"/>
      <c r="F23" s="1755">
        <f>SUM(C23+D23)-E23</f>
        <v>0</v>
      </c>
      <c r="G23" s="552"/>
    </row>
    <row r="24" spans="1:11" ht="15.75" customHeight="1" thickTop="1" x14ac:dyDescent="0.2">
      <c r="A24" s="2213" t="s">
        <v>1112</v>
      </c>
      <c r="B24" s="2214"/>
      <c r="C24" s="2208"/>
      <c r="D24" s="2209"/>
      <c r="E24" s="2209"/>
      <c r="F24" s="2210"/>
    </row>
    <row r="25" spans="1:11" ht="13.5" thickBot="1" x14ac:dyDescent="0.25">
      <c r="A25" s="2215" t="s">
        <v>633</v>
      </c>
      <c r="B25" s="2216"/>
      <c r="C25" s="581"/>
      <c r="D25" s="581"/>
      <c r="E25" s="581"/>
      <c r="F25" s="1755">
        <f>SUM(C25+D25)-E25</f>
        <v>0</v>
      </c>
      <c r="G25" s="552"/>
    </row>
    <row r="26" spans="1:11" ht="15.75" customHeight="1" thickTop="1" x14ac:dyDescent="0.2">
      <c r="A26" s="2219" t="s">
        <v>656</v>
      </c>
      <c r="B26" s="2214"/>
      <c r="C26" s="727"/>
      <c r="D26" s="727"/>
      <c r="E26" s="727"/>
      <c r="F26" s="728"/>
    </row>
    <row r="27" spans="1:11" ht="13.5" thickBot="1" x14ac:dyDescent="0.25">
      <c r="A27" s="2211" t="s">
        <v>1069</v>
      </c>
      <c r="B27" s="2212"/>
      <c r="C27" s="585"/>
      <c r="D27" s="585"/>
      <c r="E27" s="585"/>
      <c r="F27" s="1755">
        <f>SUM(C27+D27)-E27</f>
        <v>0</v>
      </c>
      <c r="G27" s="552"/>
    </row>
    <row r="28" spans="1:11" ht="7.5" customHeight="1" thickTop="1" x14ac:dyDescent="0.2">
      <c r="A28" s="593"/>
    </row>
    <row r="29" spans="1:11" ht="23.25" customHeight="1" x14ac:dyDescent="0.2">
      <c r="A29" s="2217" t="s">
        <v>581</v>
      </c>
      <c r="B29" s="2218"/>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2084</v>
      </c>
      <c r="B31" s="733">
        <v>40353</v>
      </c>
      <c r="C31" s="734">
        <v>14860000</v>
      </c>
      <c r="D31" s="735">
        <v>6</v>
      </c>
      <c r="E31" s="734">
        <v>12480000</v>
      </c>
      <c r="F31" s="734"/>
      <c r="G31" s="734">
        <v>-10555000</v>
      </c>
      <c r="H31" s="734">
        <v>925000</v>
      </c>
      <c r="I31" s="1756">
        <f>((E31+F31)-H31)+G31</f>
        <v>1000000</v>
      </c>
      <c r="J31" s="734">
        <v>897413</v>
      </c>
      <c r="K31" s="736"/>
    </row>
    <row r="32" spans="1:11" ht="12" customHeight="1" x14ac:dyDescent="0.2">
      <c r="A32" s="732" t="s">
        <v>2085</v>
      </c>
      <c r="B32" s="733">
        <v>41178</v>
      </c>
      <c r="C32" s="734">
        <v>8635000</v>
      </c>
      <c r="D32" s="735">
        <v>3</v>
      </c>
      <c r="E32" s="734">
        <v>8510000</v>
      </c>
      <c r="F32" s="734"/>
      <c r="G32" s="734"/>
      <c r="H32" s="734">
        <v>1760000</v>
      </c>
      <c r="I32" s="1756">
        <f>((E32+F32)-H32)+G32</f>
        <v>6750000</v>
      </c>
      <c r="J32" s="734">
        <v>6057538</v>
      </c>
      <c r="K32" s="736"/>
    </row>
    <row r="33" spans="1:11" ht="12" customHeight="1" x14ac:dyDescent="0.2">
      <c r="A33" s="732" t="s">
        <v>2087</v>
      </c>
      <c r="B33" s="733">
        <v>41326</v>
      </c>
      <c r="C33" s="734">
        <v>8735000</v>
      </c>
      <c r="D33" s="735">
        <v>3</v>
      </c>
      <c r="E33" s="734">
        <v>6060000</v>
      </c>
      <c r="F33" s="734"/>
      <c r="G33" s="734"/>
      <c r="H33" s="734">
        <v>6060000</v>
      </c>
      <c r="I33" s="1756">
        <f t="shared" ref="I33:I48" si="1">((E33+F33)-H33)+G33</f>
        <v>0</v>
      </c>
      <c r="J33" s="734"/>
      <c r="K33" s="736"/>
    </row>
    <row r="34" spans="1:11" ht="12" customHeight="1" x14ac:dyDescent="0.2">
      <c r="A34" s="732" t="s">
        <v>2088</v>
      </c>
      <c r="B34" s="733">
        <v>41955</v>
      </c>
      <c r="C34" s="734">
        <v>8325000</v>
      </c>
      <c r="D34" s="735">
        <v>3</v>
      </c>
      <c r="E34" s="734">
        <v>3740000</v>
      </c>
      <c r="F34" s="734"/>
      <c r="G34" s="734"/>
      <c r="H34" s="734"/>
      <c r="I34" s="1756">
        <f t="shared" si="1"/>
        <v>3740000</v>
      </c>
      <c r="J34" s="734">
        <v>3356324</v>
      </c>
      <c r="K34" s="737"/>
    </row>
    <row r="35" spans="1:11" ht="12" customHeight="1" x14ac:dyDescent="0.2">
      <c r="A35" s="732" t="s">
        <v>2089</v>
      </c>
      <c r="B35" s="733">
        <v>42033</v>
      </c>
      <c r="C35" s="738">
        <v>33380000</v>
      </c>
      <c r="D35" s="735">
        <v>3</v>
      </c>
      <c r="E35" s="738">
        <v>31200000</v>
      </c>
      <c r="F35" s="738"/>
      <c r="G35" s="738"/>
      <c r="H35" s="738"/>
      <c r="I35" s="1756">
        <f t="shared" si="1"/>
        <v>31200000</v>
      </c>
      <c r="J35" s="738">
        <v>27999285</v>
      </c>
      <c r="K35" s="737"/>
    </row>
    <row r="36" spans="1:11" ht="12" customHeight="1" x14ac:dyDescent="0.2">
      <c r="A36" s="732" t="s">
        <v>2154</v>
      </c>
      <c r="B36" s="733">
        <v>43531</v>
      </c>
      <c r="C36" s="734">
        <v>11200000</v>
      </c>
      <c r="D36" s="735">
        <v>3</v>
      </c>
      <c r="E36" s="734"/>
      <c r="F36" s="734">
        <v>11200000</v>
      </c>
      <c r="G36" s="734"/>
      <c r="H36" s="734"/>
      <c r="I36" s="1756">
        <f t="shared" si="1"/>
        <v>11200000</v>
      </c>
      <c r="J36" s="734">
        <v>10051025</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t="s">
        <v>2086</v>
      </c>
      <c r="B38" s="733" t="s">
        <v>2090</v>
      </c>
      <c r="C38" s="734"/>
      <c r="D38" s="741">
        <v>7</v>
      </c>
      <c r="E38" s="742">
        <v>1323468</v>
      </c>
      <c r="F38" s="742">
        <v>682171</v>
      </c>
      <c r="G38" s="742"/>
      <c r="H38" s="742">
        <v>669873</v>
      </c>
      <c r="I38" s="1756">
        <f t="shared" si="1"/>
        <v>1335766</v>
      </c>
      <c r="J38" s="743">
        <v>1198734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85135000</v>
      </c>
      <c r="D49" s="745"/>
      <c r="E49" s="1756">
        <f t="shared" ref="E49:J49" si="2">SUM(E31:E48)</f>
        <v>63313468</v>
      </c>
      <c r="F49" s="1756">
        <f t="shared" si="2"/>
        <v>11882171</v>
      </c>
      <c r="G49" s="1756">
        <f t="shared" si="2"/>
        <v>-10555000</v>
      </c>
      <c r="H49" s="1756">
        <f t="shared" si="2"/>
        <v>9414873</v>
      </c>
      <c r="I49" s="1756">
        <f t="shared" si="2"/>
        <v>55225766</v>
      </c>
      <c r="J49" s="1756">
        <f t="shared" si="2"/>
        <v>49560319</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0" t="s">
        <v>583</v>
      </c>
      <c r="C52" s="2201"/>
      <c r="D52" s="2201"/>
      <c r="E52" s="749" t="s">
        <v>844</v>
      </c>
      <c r="F52" s="2202" t="s">
        <v>2086</v>
      </c>
      <c r="G52" s="2203"/>
      <c r="H52" s="736"/>
      <c r="I52" s="736"/>
      <c r="J52" s="746"/>
    </row>
    <row r="53" spans="1:11" ht="11.25" customHeight="1" x14ac:dyDescent="0.2">
      <c r="A53" s="750" t="s">
        <v>912</v>
      </c>
      <c r="B53" s="751" t="s">
        <v>950</v>
      </c>
      <c r="C53" s="746"/>
      <c r="D53" s="737"/>
      <c r="E53" s="749" t="s">
        <v>496</v>
      </c>
      <c r="F53" s="2204"/>
      <c r="G53" s="2205"/>
      <c r="H53" s="736"/>
      <c r="I53" s="736"/>
      <c r="J53" s="746"/>
    </row>
    <row r="54" spans="1:11" ht="11.25" customHeight="1" x14ac:dyDescent="0.2">
      <c r="A54" s="752" t="s">
        <v>913</v>
      </c>
      <c r="B54" s="747" t="s">
        <v>951</v>
      </c>
      <c r="C54" s="746"/>
      <c r="D54" s="737"/>
      <c r="E54" s="749" t="s">
        <v>497</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14" sqref="T14"/>
    </sheetView>
  </sheetViews>
  <sheetFormatPr defaultColWidth="9.140625" defaultRowHeight="12.75" x14ac:dyDescent="0.2"/>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x14ac:dyDescent="0.2">
      <c r="A1" s="2229" t="s">
        <v>855</v>
      </c>
      <c r="B1" s="2230"/>
      <c r="C1" s="2230"/>
      <c r="D1" s="2230"/>
      <c r="E1" s="2230"/>
      <c r="F1" s="2230"/>
      <c r="G1" s="2231"/>
      <c r="H1" s="1530"/>
      <c r="I1" s="760"/>
      <c r="J1" s="433"/>
    </row>
    <row r="2" spans="1:11" ht="26.25" x14ac:dyDescent="0.2">
      <c r="A2" s="2248" t="s">
        <v>1676</v>
      </c>
      <c r="B2" s="2249"/>
      <c r="C2" s="2249"/>
      <c r="D2" s="2249"/>
      <c r="E2" s="2250"/>
      <c r="F2" s="761" t="s">
        <v>903</v>
      </c>
      <c r="G2" s="762" t="s">
        <v>1673</v>
      </c>
      <c r="H2" s="762" t="s">
        <v>409</v>
      </c>
      <c r="I2" s="762" t="s">
        <v>1157</v>
      </c>
      <c r="J2" s="762" t="s">
        <v>1808</v>
      </c>
      <c r="K2" s="762" t="s">
        <v>138</v>
      </c>
    </row>
    <row r="3" spans="1:11" x14ac:dyDescent="0.2">
      <c r="A3" s="2251" t="s">
        <v>1958</v>
      </c>
      <c r="B3" s="2252"/>
      <c r="C3" s="2252"/>
      <c r="D3" s="2252"/>
      <c r="E3" s="2253"/>
      <c r="F3" s="763"/>
      <c r="G3" s="764"/>
      <c r="H3" s="764"/>
      <c r="I3" s="764"/>
      <c r="J3" s="765"/>
      <c r="K3" s="765"/>
    </row>
    <row r="4" spans="1:11" x14ac:dyDescent="0.2">
      <c r="A4" s="2254" t="s">
        <v>368</v>
      </c>
      <c r="B4" s="2255"/>
      <c r="C4" s="2255"/>
      <c r="D4" s="2255"/>
      <c r="E4" s="2201"/>
      <c r="F4" s="766"/>
      <c r="G4" s="767"/>
      <c r="H4" s="768"/>
      <c r="I4" s="767"/>
      <c r="J4" s="769"/>
      <c r="K4" s="769"/>
    </row>
    <row r="5" spans="1:11" x14ac:dyDescent="0.2">
      <c r="A5" s="2232" t="s">
        <v>1068</v>
      </c>
      <c r="B5" s="2233"/>
      <c r="C5" s="2233"/>
      <c r="D5" s="2233"/>
      <c r="E5" s="2234"/>
      <c r="F5" s="770" t="s">
        <v>847</v>
      </c>
      <c r="G5" s="771"/>
      <c r="H5" s="764">
        <v>4074093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32" t="s">
        <v>1809</v>
      </c>
      <c r="B10" s="2233"/>
      <c r="C10" s="2233"/>
      <c r="D10" s="2233"/>
      <c r="E10" s="2235"/>
      <c r="F10" s="783" t="s">
        <v>861</v>
      </c>
      <c r="G10" s="782"/>
      <c r="H10" s="784"/>
      <c r="I10" s="764"/>
      <c r="J10" s="765"/>
      <c r="K10" s="765"/>
    </row>
    <row r="11" spans="1:11" x14ac:dyDescent="0.2">
      <c r="A11" s="2232" t="s">
        <v>160</v>
      </c>
      <c r="B11" s="2233"/>
      <c r="C11" s="2233"/>
      <c r="D11" s="2233"/>
      <c r="E11" s="2234"/>
      <c r="F11" s="770" t="s">
        <v>851</v>
      </c>
      <c r="G11" s="771"/>
      <c r="H11" s="764"/>
      <c r="I11" s="764"/>
      <c r="J11" s="765"/>
      <c r="K11" s="773"/>
    </row>
    <row r="12" spans="1:11" ht="13.5" thickBot="1" x14ac:dyDescent="0.25">
      <c r="A12" s="2259" t="s">
        <v>904</v>
      </c>
      <c r="B12" s="2260"/>
      <c r="C12" s="2260"/>
      <c r="D12" s="2260"/>
      <c r="E12" s="2261"/>
      <c r="F12" s="1757"/>
      <c r="G12" s="1758">
        <f>SUM(G5:G11)</f>
        <v>0</v>
      </c>
      <c r="H12" s="1758">
        <f>SUM(H5:H11)</f>
        <v>4074093</v>
      </c>
      <c r="I12" s="1758">
        <f>SUM(I5:I11)</f>
        <v>0</v>
      </c>
      <c r="J12" s="1758">
        <f>SUM(J5:J11)</f>
        <v>0</v>
      </c>
      <c r="K12" s="1758">
        <f>SUM(K5:K11)</f>
        <v>0</v>
      </c>
    </row>
    <row r="13" spans="1:11" ht="13.5" thickTop="1" x14ac:dyDescent="0.2">
      <c r="A13" s="2256" t="s">
        <v>369</v>
      </c>
      <c r="B13" s="2257"/>
      <c r="C13" s="2257"/>
      <c r="D13" s="2257"/>
      <c r="E13" s="2258"/>
      <c r="F13" s="785"/>
      <c r="G13" s="786"/>
      <c r="H13" s="787"/>
      <c r="I13" s="788"/>
      <c r="J13" s="788"/>
      <c r="K13" s="788"/>
    </row>
    <row r="14" spans="1:11" x14ac:dyDescent="0.2">
      <c r="A14" s="2239" t="s">
        <v>455</v>
      </c>
      <c r="B14" s="2239"/>
      <c r="C14" s="2239"/>
      <c r="D14" s="2239"/>
      <c r="E14" s="2240"/>
      <c r="F14" s="789" t="s">
        <v>853</v>
      </c>
      <c r="G14" s="782"/>
      <c r="H14" s="764">
        <v>4074093</v>
      </c>
      <c r="I14" s="771"/>
      <c r="J14" s="773"/>
      <c r="K14" s="765"/>
    </row>
    <row r="15" spans="1:11" x14ac:dyDescent="0.2">
      <c r="A15" s="2233" t="s">
        <v>4</v>
      </c>
      <c r="B15" s="2233"/>
      <c r="C15" s="2233"/>
      <c r="D15" s="2233"/>
      <c r="E15" s="2234"/>
      <c r="F15" s="789" t="s">
        <v>854</v>
      </c>
      <c r="G15" s="771"/>
      <c r="H15" s="764"/>
      <c r="I15" s="764"/>
      <c r="J15" s="765"/>
      <c r="K15" s="765"/>
    </row>
    <row r="16" spans="1:11" x14ac:dyDescent="0.2">
      <c r="A16" s="2233" t="s">
        <v>297</v>
      </c>
      <c r="B16" s="2233"/>
      <c r="C16" s="2233"/>
      <c r="D16" s="2233"/>
      <c r="E16" s="2234"/>
      <c r="F16" s="789" t="s">
        <v>922</v>
      </c>
      <c r="G16" s="772"/>
      <c r="H16" s="767"/>
      <c r="I16" s="767"/>
      <c r="J16" s="769"/>
      <c r="K16" s="769"/>
    </row>
    <row r="17" spans="1:11" x14ac:dyDescent="0.2">
      <c r="A17" s="2264" t="s">
        <v>934</v>
      </c>
      <c r="B17" s="2264"/>
      <c r="C17" s="2264"/>
      <c r="D17" s="2264"/>
      <c r="E17" s="2265"/>
      <c r="F17" s="790"/>
      <c r="G17" s="791"/>
      <c r="H17" s="792"/>
      <c r="I17" s="792"/>
      <c r="J17" s="793"/>
      <c r="K17" s="794"/>
    </row>
    <row r="18" spans="1:11" x14ac:dyDescent="0.2">
      <c r="A18" s="2243" t="s">
        <v>367</v>
      </c>
      <c r="B18" s="2244"/>
      <c r="C18" s="2244"/>
      <c r="D18" s="2244"/>
      <c r="E18" s="2245"/>
      <c r="F18" s="789" t="s">
        <v>931</v>
      </c>
      <c r="G18" s="782"/>
      <c r="H18" s="782"/>
      <c r="I18" s="782"/>
      <c r="J18" s="765"/>
      <c r="K18" s="795"/>
    </row>
    <row r="19" spans="1:11" ht="21.75" customHeight="1" x14ac:dyDescent="0.2">
      <c r="A19" s="2241" t="s">
        <v>1805</v>
      </c>
      <c r="B19" s="2241"/>
      <c r="C19" s="2241"/>
      <c r="D19" s="2241"/>
      <c r="E19" s="2242"/>
      <c r="F19" s="789" t="s">
        <v>932</v>
      </c>
      <c r="G19" s="782"/>
      <c r="H19" s="782"/>
      <c r="I19" s="782"/>
      <c r="J19" s="765"/>
      <c r="K19" s="795"/>
    </row>
    <row r="20" spans="1:11" x14ac:dyDescent="0.2">
      <c r="A20" s="2243" t="s">
        <v>1810</v>
      </c>
      <c r="B20" s="2244"/>
      <c r="C20" s="2244"/>
      <c r="D20" s="2244"/>
      <c r="E20" s="2245"/>
      <c r="F20" s="789" t="s">
        <v>933</v>
      </c>
      <c r="G20" s="782"/>
      <c r="H20" s="782"/>
      <c r="I20" s="782"/>
      <c r="J20" s="765"/>
      <c r="K20" s="795"/>
    </row>
    <row r="21" spans="1:11" ht="13.5" thickBot="1" x14ac:dyDescent="0.25">
      <c r="A21" s="2262" t="s">
        <v>637</v>
      </c>
      <c r="B21" s="2262"/>
      <c r="C21" s="2262"/>
      <c r="D21" s="2262"/>
      <c r="E21" s="2262"/>
      <c r="F21" s="1759"/>
      <c r="G21" s="792"/>
      <c r="H21" s="796"/>
      <c r="I21" s="796"/>
      <c r="J21" s="1760">
        <f>SUM(J18:J20)</f>
        <v>0</v>
      </c>
      <c r="K21" s="793"/>
    </row>
    <row r="22" spans="1:11" ht="13.5" thickTop="1" x14ac:dyDescent="0.2">
      <c r="A22" s="2233" t="s">
        <v>1811</v>
      </c>
      <c r="B22" s="2233"/>
      <c r="C22" s="2233"/>
      <c r="D22" s="2233"/>
      <c r="E22" s="2234"/>
      <c r="F22" s="789" t="s">
        <v>861</v>
      </c>
      <c r="G22" s="782"/>
      <c r="H22" s="764"/>
      <c r="I22" s="764"/>
      <c r="J22" s="797"/>
      <c r="K22" s="765"/>
    </row>
    <row r="23" spans="1:11" ht="13.5" thickBot="1" x14ac:dyDescent="0.25">
      <c r="A23" s="2263" t="s">
        <v>905</v>
      </c>
      <c r="B23" s="2262"/>
      <c r="C23" s="2262"/>
      <c r="D23" s="2262"/>
      <c r="E23" s="2262"/>
      <c r="F23" s="1761"/>
      <c r="G23" s="1758">
        <f>SUM(G14:G16,G21,G22)</f>
        <v>0</v>
      </c>
      <c r="H23" s="1758">
        <f>SUM(H14:H16,H21,H22)</f>
        <v>4074093</v>
      </c>
      <c r="I23" s="1758">
        <f>SUM(I14:I16,I21,I22)</f>
        <v>0</v>
      </c>
      <c r="J23" s="1758">
        <f>SUM(J14:J16,J21,J22)</f>
        <v>0</v>
      </c>
      <c r="K23" s="1758">
        <f>SUM(K14:K16,K21,K22)</f>
        <v>0</v>
      </c>
    </row>
    <row r="24" spans="1:11" ht="14.25" thickTop="1" thickBot="1" x14ac:dyDescent="0.25">
      <c r="A24" s="2263" t="s">
        <v>1959</v>
      </c>
      <c r="B24" s="2262"/>
      <c r="C24" s="2262"/>
      <c r="D24" s="2262"/>
      <c r="E24" s="2262"/>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6"/>
      <c r="I31" s="2237"/>
      <c r="J31" s="2237"/>
      <c r="K31" s="2237"/>
    </row>
    <row r="32" spans="1:11" x14ac:dyDescent="0.2">
      <c r="A32" s="809"/>
      <c r="B32" s="237"/>
      <c r="C32" s="237"/>
      <c r="D32" s="237"/>
      <c r="E32" s="805"/>
      <c r="F32" s="811" t="s">
        <v>539</v>
      </c>
      <c r="G32" s="764"/>
      <c r="H32" s="2238"/>
      <c r="I32" s="2237"/>
      <c r="J32" s="2237"/>
      <c r="K32" s="2237"/>
    </row>
    <row r="33" spans="1:11" ht="1.5" customHeight="1" x14ac:dyDescent="0.2">
      <c r="A33" s="812" t="s">
        <v>1168</v>
      </c>
      <c r="B33" s="364"/>
      <c r="C33" s="364"/>
      <c r="D33" s="364"/>
      <c r="E33" s="364"/>
      <c r="F33" s="364"/>
      <c r="G33" s="813"/>
      <c r="H33" s="2238"/>
      <c r="I33" s="2237"/>
      <c r="J33" s="2237"/>
      <c r="K33" s="223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3" t="s">
        <v>540</v>
      </c>
      <c r="B41" s="2246"/>
      <c r="C41" s="2246"/>
      <c r="D41" s="2246"/>
      <c r="E41" s="2246"/>
      <c r="F41" s="224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14" sqref="T14"/>
    </sheetView>
  </sheetViews>
  <sheetFormatPr defaultColWidth="9.140625" defaultRowHeight="12.75" x14ac:dyDescent="0.2"/>
  <cols>
    <col min="1" max="1" width="28.85546875" style="808"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1904</v>
      </c>
      <c r="B1" s="2269"/>
      <c r="C1" s="2270"/>
      <c r="D1" s="826"/>
      <c r="E1" s="827"/>
      <c r="F1" s="827"/>
      <c r="G1" s="828"/>
      <c r="H1" s="829"/>
      <c r="I1" s="830"/>
      <c r="J1" s="2266"/>
      <c r="K1" s="2267"/>
      <c r="L1" s="2267"/>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4894309</v>
      </c>
      <c r="D5" s="841"/>
      <c r="E5" s="841"/>
      <c r="F5" s="1760">
        <f>(C5+D5)-E5</f>
        <v>4894309</v>
      </c>
      <c r="G5" s="837"/>
      <c r="H5" s="842"/>
      <c r="I5" s="842"/>
      <c r="J5" s="842"/>
      <c r="K5" s="793"/>
      <c r="L5" s="1769">
        <f>F5-K5</f>
        <v>4894309</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102093417</v>
      </c>
      <c r="D8" s="844">
        <v>1218483</v>
      </c>
      <c r="E8" s="844"/>
      <c r="F8" s="1760">
        <f>(C8+D8)-E8</f>
        <v>103311900</v>
      </c>
      <c r="G8" s="843">
        <v>50</v>
      </c>
      <c r="H8" s="765">
        <v>36161920</v>
      </c>
      <c r="I8" s="765">
        <v>2417667</v>
      </c>
      <c r="J8" s="765"/>
      <c r="K8" s="1769">
        <f>(H8+I8)-J8</f>
        <v>38579587</v>
      </c>
      <c r="L8" s="1769">
        <f>F8-K8</f>
        <v>64732313</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3617697</v>
      </c>
      <c r="D10" s="846">
        <v>181345</v>
      </c>
      <c r="E10" s="846"/>
      <c r="F10" s="1764">
        <f>(C10+D10)-E10</f>
        <v>3799042</v>
      </c>
      <c r="G10" s="843">
        <v>20</v>
      </c>
      <c r="H10" s="847">
        <v>2602842</v>
      </c>
      <c r="I10" s="847">
        <v>185837</v>
      </c>
      <c r="J10" s="847"/>
      <c r="K10" s="1769">
        <f>(H10+I10)-J10</f>
        <v>2788679</v>
      </c>
      <c r="L10" s="1769">
        <f>F10-K10</f>
        <v>1010363</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7767442</v>
      </c>
      <c r="D12" s="844">
        <v>44344</v>
      </c>
      <c r="E12" s="844"/>
      <c r="F12" s="1760">
        <f>(C12+D12)-E12</f>
        <v>7811786</v>
      </c>
      <c r="G12" s="843">
        <v>10</v>
      </c>
      <c r="H12" s="765">
        <v>5720449</v>
      </c>
      <c r="I12" s="765">
        <v>423623</v>
      </c>
      <c r="J12" s="765"/>
      <c r="K12" s="1769">
        <f>(H12+I12)-J12</f>
        <v>6144072</v>
      </c>
      <c r="L12" s="1769">
        <f>F12-K12</f>
        <v>1667714</v>
      </c>
    </row>
    <row r="13" spans="1:14" ht="14.25" thickTop="1" thickBot="1" x14ac:dyDescent="0.25">
      <c r="A13" s="848" t="s">
        <v>1121</v>
      </c>
      <c r="B13" s="840">
        <v>252</v>
      </c>
      <c r="C13" s="844">
        <v>7492114</v>
      </c>
      <c r="D13" s="844">
        <v>682171</v>
      </c>
      <c r="E13" s="844">
        <v>513494</v>
      </c>
      <c r="F13" s="1760">
        <f>(C13+D13)-E13</f>
        <v>7660791</v>
      </c>
      <c r="G13" s="843">
        <v>5</v>
      </c>
      <c r="H13" s="765">
        <v>4364793</v>
      </c>
      <c r="I13" s="765">
        <v>583737</v>
      </c>
      <c r="J13" s="765">
        <v>462145</v>
      </c>
      <c r="K13" s="1769">
        <f>(H13+I13)-J13</f>
        <v>4486385</v>
      </c>
      <c r="L13" s="1769">
        <f>F13-K13</f>
        <v>3174406</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110462</v>
      </c>
      <c r="D15" s="844">
        <v>153979</v>
      </c>
      <c r="E15" s="844">
        <v>110462</v>
      </c>
      <c r="F15" s="1760">
        <f>(C15+D15)-E15</f>
        <v>153979</v>
      </c>
      <c r="G15" s="849" t="s">
        <v>861</v>
      </c>
      <c r="H15" s="781"/>
      <c r="I15" s="781"/>
      <c r="J15" s="781"/>
      <c r="K15" s="781"/>
      <c r="L15" s="1769">
        <f>F15-K15</f>
        <v>153979</v>
      </c>
    </row>
    <row r="16" spans="1:14" ht="15" customHeight="1" thickTop="1" thickBot="1" x14ac:dyDescent="0.25">
      <c r="A16" s="1765" t="s">
        <v>642</v>
      </c>
      <c r="B16" s="1766">
        <v>200</v>
      </c>
      <c r="C16" s="1760">
        <f>SUM(C3,C5:C6,C8:C10,C12:C15)</f>
        <v>125975441</v>
      </c>
      <c r="D16" s="1760">
        <f>SUM(D3,D5:D6,D8:D10,D12:D15)</f>
        <v>2280322</v>
      </c>
      <c r="E16" s="1760">
        <f>SUM(E3,E5:E6,E8:E10,E12:E15)</f>
        <v>623956</v>
      </c>
      <c r="F16" s="1760">
        <f>SUM(F3,F5:F6,F8:F10,F12:F15)</f>
        <v>127631807</v>
      </c>
      <c r="G16" s="843"/>
      <c r="H16" s="1760">
        <f>SUM(H3,H6,H8:H10,H12:H14,)</f>
        <v>48850004</v>
      </c>
      <c r="I16" s="1760">
        <f>SUM(I3,I6,I8:I10,I12:I14,)</f>
        <v>3610864</v>
      </c>
      <c r="J16" s="1760">
        <f>SUM(J3,J6,J8:J10,J12:J14,)</f>
        <v>462145</v>
      </c>
      <c r="K16" s="1760">
        <f>(H16+I16)-J16</f>
        <v>51998723</v>
      </c>
      <c r="L16" s="1760">
        <f>F16-K16</f>
        <v>75633084</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121802</v>
      </c>
      <c r="G17" s="837">
        <v>10</v>
      </c>
      <c r="H17" s="769"/>
      <c r="I17" s="1769">
        <f>F17/G17</f>
        <v>12180.2</v>
      </c>
      <c r="J17" s="769"/>
      <c r="K17" s="795"/>
      <c r="L17" s="795"/>
    </row>
    <row r="18" spans="1:12" ht="14.25" thickTop="1" thickBot="1" x14ac:dyDescent="0.25">
      <c r="A18" s="1767" t="s">
        <v>684</v>
      </c>
      <c r="B18" s="1768"/>
      <c r="C18" s="771"/>
      <c r="D18" s="771"/>
      <c r="E18" s="771"/>
      <c r="F18" s="850"/>
      <c r="G18" s="851"/>
      <c r="H18" s="773"/>
      <c r="I18" s="1760">
        <f>SUM(I16,I17)</f>
        <v>3623044.2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1.1"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T14" sqref="T14"/>
      <selection pane="bottomLeft" activeCell="T14" sqref="T14"/>
    </sheetView>
  </sheetViews>
  <sheetFormatPr defaultColWidth="8.5703125" defaultRowHeight="11.25" x14ac:dyDescent="0.2"/>
  <cols>
    <col min="1" max="1" width="22.140625" style="856" customWidth="1"/>
    <col min="2" max="2" width="31.85546875" style="856" customWidth="1"/>
    <col min="3" max="3" width="6.5703125" style="863" customWidth="1"/>
    <col min="4" max="4" width="55.5703125" style="856" customWidth="1"/>
    <col min="5" max="5" width="3.140625" style="863" customWidth="1"/>
    <col min="6" max="6" width="17.42578125" style="856" customWidth="1"/>
    <col min="7" max="7" width="0.85546875" style="856" customWidth="1"/>
    <col min="8" max="8" width="2.42578125" style="856" customWidth="1"/>
    <col min="9" max="16384" width="8.5703125" style="856"/>
  </cols>
  <sheetData>
    <row r="1" spans="1:7" ht="19.5" customHeight="1" thickTop="1" x14ac:dyDescent="0.2">
      <c r="A1" s="2274" t="s">
        <v>1969</v>
      </c>
      <c r="B1" s="2275"/>
      <c r="C1" s="2275"/>
      <c r="D1" s="2275"/>
      <c r="E1" s="2275"/>
      <c r="F1" s="2276"/>
      <c r="G1" s="855"/>
    </row>
    <row r="2" spans="1:7" ht="15" customHeight="1" thickBot="1" x14ac:dyDescent="0.25">
      <c r="A2" s="2277" t="s">
        <v>476</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0"/>
      <c r="B5" s="2281"/>
      <c r="C5" s="2281"/>
      <c r="D5" s="2281"/>
      <c r="E5" s="2281"/>
      <c r="F5" s="2281"/>
    </row>
    <row r="6" spans="1:7" ht="13.5" customHeight="1" thickBot="1" x14ac:dyDescent="0.25">
      <c r="A6" s="2271" t="s">
        <v>1103</v>
      </c>
      <c r="B6" s="2272"/>
      <c r="C6" s="2272"/>
      <c r="D6" s="2272"/>
      <c r="E6" s="2272"/>
      <c r="F6" s="227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47920698</v>
      </c>
      <c r="G8" s="865"/>
    </row>
    <row r="9" spans="1:7" x14ac:dyDescent="0.2">
      <c r="A9" s="869" t="s">
        <v>459</v>
      </c>
      <c r="B9" s="870" t="s">
        <v>1872</v>
      </c>
      <c r="C9" s="871"/>
      <c r="D9" s="869" t="s">
        <v>500</v>
      </c>
      <c r="E9" s="868"/>
      <c r="F9" s="1909">
        <f>'Expenditures 15-22'!K151</f>
        <v>4714682</v>
      </c>
      <c r="G9" s="872"/>
    </row>
    <row r="10" spans="1:7" x14ac:dyDescent="0.2">
      <c r="A10" s="869" t="s">
        <v>498</v>
      </c>
      <c r="B10" s="870" t="s">
        <v>1873</v>
      </c>
      <c r="C10" s="871"/>
      <c r="D10" s="869" t="s">
        <v>500</v>
      </c>
      <c r="E10" s="868"/>
      <c r="F10" s="1909">
        <f>'Expenditures 15-22'!K174</f>
        <v>12078638</v>
      </c>
      <c r="G10" s="872"/>
    </row>
    <row r="11" spans="1:7" x14ac:dyDescent="0.2">
      <c r="A11" s="869" t="s">
        <v>460</v>
      </c>
      <c r="B11" s="870" t="s">
        <v>1874</v>
      </c>
      <c r="C11" s="871"/>
      <c r="D11" s="869" t="s">
        <v>500</v>
      </c>
      <c r="E11" s="868"/>
      <c r="F11" s="1909">
        <f>'Expenditures 15-22'!K210</f>
        <v>5915636</v>
      </c>
      <c r="G11" s="872"/>
    </row>
    <row r="12" spans="1:7" x14ac:dyDescent="0.2">
      <c r="A12" s="869" t="s">
        <v>461</v>
      </c>
      <c r="B12" s="870" t="s">
        <v>1875</v>
      </c>
      <c r="C12" s="871"/>
      <c r="D12" s="869" t="s">
        <v>500</v>
      </c>
      <c r="E12" s="868"/>
      <c r="F12" s="1909">
        <f>'Expenditures 15-22'!K295</f>
        <v>2238542</v>
      </c>
      <c r="G12" s="872"/>
    </row>
    <row r="13" spans="1:7" x14ac:dyDescent="0.2">
      <c r="A13" s="869" t="s">
        <v>106</v>
      </c>
      <c r="B13" s="870" t="s">
        <v>1876</v>
      </c>
      <c r="C13" s="871"/>
      <c r="D13" s="869" t="s">
        <v>500</v>
      </c>
      <c r="E13" s="868"/>
      <c r="F13" s="1909">
        <f>'Expenditures 15-22'!K342</f>
        <v>852408</v>
      </c>
      <c r="G13" s="873"/>
    </row>
    <row r="14" spans="1:7" ht="12" customHeight="1" thickBot="1" x14ac:dyDescent="0.25">
      <c r="A14" s="1770"/>
      <c r="B14" s="1771"/>
      <c r="C14" s="1772"/>
      <c r="D14" s="1773" t="s">
        <v>500</v>
      </c>
      <c r="E14" s="1774" t="s">
        <v>957</v>
      </c>
      <c r="F14" s="1775">
        <f>SUM(F8:F13)</f>
        <v>73720604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1992</v>
      </c>
      <c r="C30" s="880">
        <f>'Revenues 9-14'!B150</f>
        <v>3499</v>
      </c>
      <c r="D30" s="881" t="str">
        <f>'Revenues 9-14'!A150</f>
        <v>Adult Ed - Other (Describe &amp; Itemize)</v>
      </c>
      <c r="E30" s="868"/>
      <c r="F30" s="1914">
        <f>('Revenues 9-14'!D150+'Revenues 9-14'!F150)</f>
        <v>0</v>
      </c>
      <c r="G30" s="865"/>
    </row>
    <row r="31" spans="1:7" x14ac:dyDescent="0.2">
      <c r="A31" s="869" t="s">
        <v>1096</v>
      </c>
      <c r="B31" s="870" t="s">
        <v>1993</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1994</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1995</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162379</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5003399</v>
      </c>
      <c r="G53" s="865"/>
    </row>
    <row r="54" spans="1:7" x14ac:dyDescent="0.2">
      <c r="A54" s="869" t="s">
        <v>458</v>
      </c>
      <c r="B54" s="869" t="s">
        <v>1475</v>
      </c>
      <c r="C54" s="889" t="s">
        <v>981</v>
      </c>
      <c r="D54" s="885" t="s">
        <v>1094</v>
      </c>
      <c r="E54" s="868"/>
      <c r="F54" s="1913">
        <f>'Expenditures 15-22'!G114</f>
        <v>131854</v>
      </c>
      <c r="G54" s="865"/>
    </row>
    <row r="55" spans="1:7" x14ac:dyDescent="0.2">
      <c r="A55" s="869" t="s">
        <v>458</v>
      </c>
      <c r="B55" s="869" t="s">
        <v>1476</v>
      </c>
      <c r="C55" s="889" t="s">
        <v>981</v>
      </c>
      <c r="D55" s="885" t="s">
        <v>290</v>
      </c>
      <c r="E55" s="868"/>
      <c r="F55" s="1913">
        <f>'Expenditures 15-22'!I114</f>
        <v>113834</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28861</v>
      </c>
      <c r="G58" s="865"/>
    </row>
    <row r="59" spans="1:7" x14ac:dyDescent="0.2">
      <c r="A59" s="893" t="s">
        <v>459</v>
      </c>
      <c r="B59" s="856" t="s">
        <v>1879</v>
      </c>
      <c r="C59" s="894" t="s">
        <v>981</v>
      </c>
      <c r="D59" s="856" t="s">
        <v>290</v>
      </c>
      <c r="F59" s="1916">
        <f>'Expenditures 15-22'!I151</f>
        <v>4728</v>
      </c>
      <c r="G59" s="865"/>
    </row>
    <row r="60" spans="1:7" x14ac:dyDescent="0.2">
      <c r="A60" s="893" t="s">
        <v>498</v>
      </c>
      <c r="B60" s="856" t="s">
        <v>1880</v>
      </c>
      <c r="C60" s="894">
        <v>4000</v>
      </c>
      <c r="D60" s="856" t="s">
        <v>311</v>
      </c>
      <c r="F60" s="1914">
        <f>'Expenditures 15-22'!K160</f>
        <v>96860</v>
      </c>
      <c r="G60" s="865"/>
    </row>
    <row r="61" spans="1:7" x14ac:dyDescent="0.2">
      <c r="A61" s="895" t="s">
        <v>498</v>
      </c>
      <c r="B61" s="895" t="s">
        <v>1881</v>
      </c>
      <c r="C61" s="896" t="str">
        <f>'Expenditures 15-22'!B170</f>
        <v>5300</v>
      </c>
      <c r="D61" s="897" t="s">
        <v>310</v>
      </c>
      <c r="E61" s="879"/>
      <c r="F61" s="1913">
        <f>'Expenditures 15-22'!K170</f>
        <v>8745000</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1884</v>
      </c>
      <c r="C64" s="896" t="str">
        <f>'Expenditures 15-22'!B206</f>
        <v>5300</v>
      </c>
      <c r="D64" s="892" t="s">
        <v>310</v>
      </c>
      <c r="E64" s="868"/>
      <c r="F64" s="1913">
        <f>'Expenditures 15-22'!K206</f>
        <v>669873</v>
      </c>
      <c r="G64" s="865"/>
    </row>
    <row r="65" spans="1:8" x14ac:dyDescent="0.2">
      <c r="A65" s="869" t="s">
        <v>460</v>
      </c>
      <c r="B65" s="869" t="s">
        <v>1885</v>
      </c>
      <c r="C65" s="886" t="s">
        <v>981</v>
      </c>
      <c r="D65" s="885" t="s">
        <v>1094</v>
      </c>
      <c r="E65" s="868"/>
      <c r="F65" s="1913">
        <f>'Expenditures 15-22'!G210</f>
        <v>682171</v>
      </c>
      <c r="G65" s="865"/>
    </row>
    <row r="66" spans="1:8" x14ac:dyDescent="0.2">
      <c r="A66" s="869" t="s">
        <v>460</v>
      </c>
      <c r="B66" s="869" t="s">
        <v>1886</v>
      </c>
      <c r="C66" s="886" t="s">
        <v>981</v>
      </c>
      <c r="D66" s="885" t="s">
        <v>290</v>
      </c>
      <c r="E66" s="868"/>
      <c r="F66" s="1913">
        <f>'Expenditures 15-22'!I210</f>
        <v>3240</v>
      </c>
      <c r="G66" s="865"/>
    </row>
    <row r="67" spans="1:8" x14ac:dyDescent="0.2">
      <c r="A67" s="869" t="s">
        <v>461</v>
      </c>
      <c r="B67" s="869" t="s">
        <v>1887</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0</v>
      </c>
      <c r="G70" s="865"/>
    </row>
    <row r="71" spans="1:8" x14ac:dyDescent="0.2">
      <c r="A71" s="869" t="s">
        <v>461</v>
      </c>
      <c r="B71" s="869" t="s">
        <v>1890</v>
      </c>
      <c r="C71" s="886">
        <f>'Expenditures 15-22'!B224</f>
        <v>1600</v>
      </c>
      <c r="D71" s="887" t="str">
        <f>'Expenditures 15-22'!A224</f>
        <v>Summer School Programs</v>
      </c>
      <c r="E71" s="868"/>
      <c r="F71" s="1913">
        <f>'Expenditures 15-22'!K224</f>
        <v>6269</v>
      </c>
      <c r="G71" s="865"/>
    </row>
    <row r="72" spans="1:8" x14ac:dyDescent="0.2">
      <c r="A72" s="869" t="s">
        <v>461</v>
      </c>
      <c r="B72" s="869" t="s">
        <v>1891</v>
      </c>
      <c r="C72" s="886">
        <f>'Expenditures 15-22'!B280</f>
        <v>3000</v>
      </c>
      <c r="D72" s="876" t="s">
        <v>448</v>
      </c>
      <c r="E72" s="868"/>
      <c r="F72" s="1913">
        <f>'Expenditures 15-22'!K280</f>
        <v>0</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15648468</v>
      </c>
      <c r="G76" s="865"/>
    </row>
    <row r="77" spans="1:8" s="893" customFormat="1" ht="12" customHeight="1" thickTop="1" thickBot="1" x14ac:dyDescent="0.25">
      <c r="A77" s="1779"/>
      <c r="B77" s="1776"/>
      <c r="C77" s="1772"/>
      <c r="D77" s="1777" t="s">
        <v>1895</v>
      </c>
      <c r="E77" s="1774"/>
      <c r="F77" s="1780">
        <f>(F14-F76)</f>
        <v>58072136</v>
      </c>
      <c r="G77" s="869"/>
    </row>
    <row r="78" spans="1:8" s="893" customFormat="1" ht="12" customHeight="1" thickTop="1" x14ac:dyDescent="0.2">
      <c r="A78" s="1781"/>
      <c r="B78" s="1776"/>
      <c r="C78" s="1772"/>
      <c r="D78" s="1777" t="s">
        <v>2055</v>
      </c>
      <c r="E78" s="1774"/>
      <c r="F78" s="898">
        <v>4041.1</v>
      </c>
      <c r="G78" s="899"/>
      <c r="H78" s="869"/>
    </row>
    <row r="79" spans="1:8" s="893" customFormat="1" ht="12" customHeight="1" thickBot="1" x14ac:dyDescent="0.25">
      <c r="A79" s="1782"/>
      <c r="B79" s="1776"/>
      <c r="C79" s="1772"/>
      <c r="D79" s="1777" t="s">
        <v>1896</v>
      </c>
      <c r="E79" s="1774" t="s">
        <v>957</v>
      </c>
      <c r="F79" s="1783">
        <f>IF(F78&gt;0,F77/F78," Complete Line 78")</f>
        <v>14370.37836232709</v>
      </c>
      <c r="G79" s="869"/>
    </row>
    <row r="80" spans="1:8" s="893" customFormat="1" ht="8.25" customHeight="1" thickTop="1" x14ac:dyDescent="0.2">
      <c r="A80" s="900"/>
      <c r="B80" s="869"/>
      <c r="C80" s="871"/>
      <c r="D80" s="901"/>
      <c r="E80" s="868"/>
      <c r="F80" s="902"/>
      <c r="G80" s="869"/>
    </row>
    <row r="81" spans="1:7" s="893" customFormat="1" ht="12" thickBot="1" x14ac:dyDescent="0.25">
      <c r="A81" s="2271" t="s">
        <v>1104</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11300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29649</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423968</v>
      </c>
      <c r="G94" s="912"/>
    </row>
    <row r="95" spans="1:7" x14ac:dyDescent="0.2">
      <c r="A95" s="908" t="s">
        <v>140</v>
      </c>
      <c r="B95" s="908" t="s">
        <v>175</v>
      </c>
      <c r="C95" s="910">
        <v>1700</v>
      </c>
      <c r="D95" s="918" t="str">
        <f>'Revenues 9-14'!A82</f>
        <v>Total District/School Activity Income</v>
      </c>
      <c r="E95" s="906"/>
      <c r="F95" s="1789">
        <f>SUM('Revenues 9-14'!C82,'Revenues 9-14'!D82)</f>
        <v>277851</v>
      </c>
      <c r="G95" s="912"/>
    </row>
    <row r="96" spans="1:7" x14ac:dyDescent="0.2">
      <c r="A96" s="908" t="s">
        <v>458</v>
      </c>
      <c r="B96" s="908" t="s">
        <v>176</v>
      </c>
      <c r="C96" s="910">
        <f>'Revenues 9-14'!B84</f>
        <v>1811</v>
      </c>
      <c r="D96" s="911" t="str">
        <f>'Revenues 9-14'!A84</f>
        <v>Rentals - Regular Textbooks</v>
      </c>
      <c r="E96" s="906"/>
      <c r="F96" s="1789">
        <f>'Revenues 9-14'!C84</f>
        <v>503730</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7125</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1996</v>
      </c>
      <c r="C105" s="913">
        <v>3100</v>
      </c>
      <c r="D105" s="919" t="str">
        <f>'Revenues 9-14'!A132</f>
        <v>Total Special Education</v>
      </c>
      <c r="E105" s="906"/>
      <c r="F105" s="1789">
        <f>SUM('Revenues 9-14'!C132:D132,'Revenues 9-14'!F132)</f>
        <v>761956</v>
      </c>
      <c r="G105" s="912"/>
    </row>
    <row r="106" spans="1:7" x14ac:dyDescent="0.2">
      <c r="A106" s="908" t="s">
        <v>672</v>
      </c>
      <c r="B106" s="908" t="s">
        <v>1997</v>
      </c>
      <c r="C106" s="920">
        <v>3200</v>
      </c>
      <c r="D106" s="911" t="str">
        <f>'Revenues 9-14'!A141</f>
        <v>Total Career and Technical Education</v>
      </c>
      <c r="E106" s="906"/>
      <c r="F106" s="1789">
        <f>SUM('Revenues 9-14'!C141,'Revenues 9-14'!D141,'Revenues 9-14'!G141)</f>
        <v>24102</v>
      </c>
      <c r="G106" s="912"/>
    </row>
    <row r="107" spans="1:7" x14ac:dyDescent="0.2">
      <c r="A107" s="921" t="s">
        <v>663</v>
      </c>
      <c r="B107" s="908" t="s">
        <v>1998</v>
      </c>
      <c r="C107" s="920">
        <v>3300</v>
      </c>
      <c r="D107" s="911" t="str">
        <f>'Revenues 9-14'!A145</f>
        <v>Total Bilingual Ed</v>
      </c>
      <c r="E107" s="906"/>
      <c r="F107" s="1789">
        <f>SUM('Revenues 9-14'!C145,'Revenues 9-14'!G145)</f>
        <v>0</v>
      </c>
      <c r="G107" s="912"/>
    </row>
    <row r="108" spans="1:7" x14ac:dyDescent="0.2">
      <c r="A108" s="908" t="s">
        <v>458</v>
      </c>
      <c r="B108" s="908" t="s">
        <v>1999</v>
      </c>
      <c r="C108" s="920">
        <f>'Revenues 9-14'!B146</f>
        <v>3360</v>
      </c>
      <c r="D108" s="911" t="str">
        <f>'Revenues 9-14'!A146</f>
        <v>State Free Lunch &amp; Breakfast</v>
      </c>
      <c r="E108" s="906"/>
      <c r="F108" s="1789">
        <f>'Revenues 9-14'!C146</f>
        <v>11782</v>
      </c>
      <c r="G108" s="912"/>
    </row>
    <row r="109" spans="1:7" x14ac:dyDescent="0.2">
      <c r="A109" s="908" t="s">
        <v>672</v>
      </c>
      <c r="B109" s="908" t="s">
        <v>2000</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9">
        <f>SUM('Revenues 9-14'!C148,'Revenues 9-14'!D148)</f>
        <v>31190</v>
      </c>
      <c r="G110" s="912"/>
    </row>
    <row r="111" spans="1:7" x14ac:dyDescent="0.2">
      <c r="A111" s="908" t="s">
        <v>667</v>
      </c>
      <c r="B111" s="908" t="s">
        <v>2002</v>
      </c>
      <c r="C111" s="922">
        <v>3500</v>
      </c>
      <c r="D111" s="911" t="str">
        <f>'Revenues 9-14'!A155</f>
        <v>Total Transportation</v>
      </c>
      <c r="E111" s="906"/>
      <c r="F111" s="1789">
        <f>SUM('Revenues 9-14'!C155,'Revenues 9-14'!D155,'Revenues 9-14'!F155,'Revenues 9-14'!G155)</f>
        <v>3357314</v>
      </c>
      <c r="G111" s="912"/>
    </row>
    <row r="112" spans="1:7" x14ac:dyDescent="0.2">
      <c r="A112" s="908" t="s">
        <v>458</v>
      </c>
      <c r="B112" s="908" t="s">
        <v>2003</v>
      </c>
      <c r="C112" s="920">
        <f>'Revenues 9-14'!B156</f>
        <v>3610</v>
      </c>
      <c r="D112" s="911" t="str">
        <f>'Revenues 9-14'!A156</f>
        <v>Learning Improvement - Change Grants</v>
      </c>
      <c r="E112" s="906"/>
      <c r="F112" s="1789">
        <f>'Revenues 9-14'!C156</f>
        <v>0</v>
      </c>
      <c r="G112" s="912"/>
    </row>
    <row r="113" spans="1:7" x14ac:dyDescent="0.2">
      <c r="A113" s="908" t="s">
        <v>667</v>
      </c>
      <c r="B113" s="908" t="s">
        <v>2004</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2006</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2007</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2008</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2009</v>
      </c>
      <c r="C118" s="924">
        <f>'Revenues 9-14'!B163</f>
        <v>3780</v>
      </c>
      <c r="D118" s="925" t="str">
        <f>'Revenues 9-14'!A163</f>
        <v>Technology - Technology for Success</v>
      </c>
      <c r="E118" s="906"/>
      <c r="F118" s="1907">
        <f>SUM('Revenues 9-14'!C163:G163)</f>
        <v>0</v>
      </c>
      <c r="G118" s="912"/>
    </row>
    <row r="119" spans="1:7" x14ac:dyDescent="0.2">
      <c r="A119" s="923" t="s">
        <v>503</v>
      </c>
      <c r="B119" s="923" t="s">
        <v>2010</v>
      </c>
      <c r="C119" s="924">
        <f>'Revenues 9-14'!B164</f>
        <v>3815</v>
      </c>
      <c r="D119" s="925" t="str">
        <f>'Revenues 9-14'!A164</f>
        <v>State Charter Schools</v>
      </c>
      <c r="E119" s="906"/>
      <c r="F119" s="1907">
        <f>SUM('Revenues 9-14'!C164,'Revenues 9-14'!F164)</f>
        <v>0</v>
      </c>
      <c r="G119" s="912"/>
    </row>
    <row r="120" spans="1:7" x14ac:dyDescent="0.2">
      <c r="A120" s="927" t="s">
        <v>459</v>
      </c>
      <c r="B120" s="927" t="s">
        <v>2011</v>
      </c>
      <c r="C120" s="928">
        <f>'Revenues 9-14'!B167</f>
        <v>3925</v>
      </c>
      <c r="D120" s="929" t="str">
        <f>'Revenues 9-14'!A167</f>
        <v>School Infrastructure - Maintenance Projects</v>
      </c>
      <c r="E120" s="906"/>
      <c r="F120" s="1789">
        <f>'Revenues 9-14'!D167</f>
        <v>0</v>
      </c>
      <c r="G120" s="930"/>
    </row>
    <row r="121" spans="1:7" x14ac:dyDescent="0.2">
      <c r="A121" s="927" t="s">
        <v>499</v>
      </c>
      <c r="B121" s="927" t="s">
        <v>2012</v>
      </c>
      <c r="C121" s="928">
        <f>'Revenues 9-14'!B168</f>
        <v>3999</v>
      </c>
      <c r="D121" s="929" t="s">
        <v>542</v>
      </c>
      <c r="E121" s="931"/>
      <c r="F121" s="1789">
        <f>SUM('Revenues 9-14'!C168:G168,'Revenues 9-14'!J168)</f>
        <v>6427</v>
      </c>
      <c r="G121" s="930"/>
    </row>
    <row r="122" spans="1:7" x14ac:dyDescent="0.2">
      <c r="A122" s="927" t="s">
        <v>458</v>
      </c>
      <c r="B122" s="927" t="s">
        <v>2013</v>
      </c>
      <c r="C122" s="932">
        <f>'Revenues 9-14'!B177</f>
        <v>4045</v>
      </c>
      <c r="D122" s="929" t="str">
        <f>'Revenues 9-14'!A177 &amp; " (Subtract)"</f>
        <v>Head Start (Subtract)</v>
      </c>
      <c r="E122" s="906"/>
      <c r="F122" s="1789">
        <f>SUM(-'Revenues 9-14'!C177)</f>
        <v>0</v>
      </c>
      <c r="G122" s="930"/>
    </row>
    <row r="123" spans="1:7" x14ac:dyDescent="0.2">
      <c r="A123" s="927" t="s">
        <v>667</v>
      </c>
      <c r="B123" s="927" t="s">
        <v>2014</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2015</v>
      </c>
      <c r="C124" s="932">
        <v>4100</v>
      </c>
      <c r="D124" s="933" t="str">
        <f>'Revenues 9-14'!A188</f>
        <v>Total Title V</v>
      </c>
      <c r="E124" s="906"/>
      <c r="F124" s="1789">
        <f>SUM('Revenues 9-14'!C188,'Revenues 9-14'!D188,'Revenues 9-14'!F188,'Revenues 9-14'!G188)</f>
        <v>0</v>
      </c>
      <c r="G124" s="930"/>
    </row>
    <row r="125" spans="1:7" x14ac:dyDescent="0.2">
      <c r="A125" s="927" t="s">
        <v>663</v>
      </c>
      <c r="B125" s="927" t="s">
        <v>2016</v>
      </c>
      <c r="C125" s="932">
        <v>4200</v>
      </c>
      <c r="D125" s="929" t="str">
        <f>'Revenues 9-14'!A198</f>
        <v>Total Food Service</v>
      </c>
      <c r="E125" s="906"/>
      <c r="F125" s="1789">
        <f>SUM('Revenues 9-14'!C198,'Revenues 9-14'!G198)</f>
        <v>655545</v>
      </c>
      <c r="G125" s="930"/>
    </row>
    <row r="126" spans="1:7" x14ac:dyDescent="0.2">
      <c r="A126" s="927" t="s">
        <v>667</v>
      </c>
      <c r="B126" s="927" t="s">
        <v>2017</v>
      </c>
      <c r="C126" s="932">
        <v>4300</v>
      </c>
      <c r="D126" s="933" t="str">
        <f>'Revenues 9-14'!A204</f>
        <v>Total Title I</v>
      </c>
      <c r="E126" s="906"/>
      <c r="F126" s="1789">
        <f>SUM('Revenues 9-14'!C204,'Revenues 9-14'!D204,'Revenues 9-14'!F204,'Revenues 9-14'!G204)</f>
        <v>533233</v>
      </c>
      <c r="G126" s="930"/>
    </row>
    <row r="127" spans="1:7" x14ac:dyDescent="0.2">
      <c r="A127" s="927" t="s">
        <v>667</v>
      </c>
      <c r="B127" s="927" t="s">
        <v>2018</v>
      </c>
      <c r="C127" s="932">
        <v>4400</v>
      </c>
      <c r="D127" s="933" t="str">
        <f>'Revenues 9-14'!A209</f>
        <v>Total Title IV</v>
      </c>
      <c r="E127" s="906"/>
      <c r="F127" s="1789">
        <f>SUM('Revenues 9-14'!C209,'Revenues 9-14'!D209,'Revenues 9-14'!F209,'Revenues 9-14'!G209)</f>
        <v>14735</v>
      </c>
      <c r="G127" s="930"/>
    </row>
    <row r="128" spans="1:7" x14ac:dyDescent="0.2">
      <c r="A128" s="927" t="s">
        <v>667</v>
      </c>
      <c r="B128" s="927" t="s">
        <v>2019</v>
      </c>
      <c r="C128" s="932">
        <f>'Revenues 9-14'!B213</f>
        <v>4620</v>
      </c>
      <c r="D128" s="933" t="str">
        <f>'Revenues 9-14'!A213</f>
        <v>Fed - Spec Education - IDEA - Flow Through</v>
      </c>
      <c r="E128" s="906"/>
      <c r="F128" s="1789">
        <f>SUM('Revenues 9-14'!C213:D213,'Revenues 9-14'!F213:G213)</f>
        <v>586123</v>
      </c>
      <c r="G128" s="930"/>
    </row>
    <row r="129" spans="1:7" x14ac:dyDescent="0.2">
      <c r="A129" s="927" t="s">
        <v>667</v>
      </c>
      <c r="B129" s="927" t="s">
        <v>2020</v>
      </c>
      <c r="C129" s="932">
        <f>'Revenues 9-14'!B214</f>
        <v>4625</v>
      </c>
      <c r="D129" s="933" t="str">
        <f>'Revenues 9-14'!A214</f>
        <v>Fed - Spec Education - IDEA - Room &amp; Board</v>
      </c>
      <c r="E129" s="906"/>
      <c r="F129" s="1789">
        <f>SUM('Revenues 9-14'!C214,'Revenues 9-14'!D214,'Revenues 9-14'!F214,'Revenues 9-14'!G214)</f>
        <v>29281</v>
      </c>
      <c r="G129" s="930"/>
    </row>
    <row r="130" spans="1:7" x14ac:dyDescent="0.2">
      <c r="A130" s="927" t="s">
        <v>667</v>
      </c>
      <c r="B130" s="927" t="s">
        <v>2021</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2022</v>
      </c>
      <c r="C132" s="932">
        <v>4700</v>
      </c>
      <c r="D132" s="929" t="str">
        <f>'Revenues 9-14'!A221</f>
        <v>Total CTE - Perkins</v>
      </c>
      <c r="E132" s="906"/>
      <c r="F132" s="1789">
        <f>SUM('Revenues 9-14'!C221,'Revenues 9-14'!D221,'Revenues 9-14'!G221)</f>
        <v>23944</v>
      </c>
      <c r="G132" s="930">
        <v>6303</v>
      </c>
    </row>
    <row r="133" spans="1:7" s="867" customFormat="1" hidden="1" x14ac:dyDescent="0.2">
      <c r="A133" s="934" t="s">
        <v>206</v>
      </c>
      <c r="B133" s="934" t="s">
        <v>2023</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9">
        <v>0</v>
      </c>
      <c r="G138" s="905"/>
    </row>
    <row r="139" spans="1:7" s="867" customFormat="1" hidden="1" x14ac:dyDescent="0.2">
      <c r="A139" s="934" t="s">
        <v>206</v>
      </c>
      <c r="B139" s="934" t="s">
        <v>2029</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2032</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2037</v>
      </c>
      <c r="C157" s="940" t="s">
        <v>840</v>
      </c>
      <c r="D157" s="941" t="s">
        <v>776</v>
      </c>
      <c r="E157" s="942"/>
      <c r="F157" s="1789">
        <f>SUM(F133:F156)</f>
        <v>0</v>
      </c>
      <c r="G157" s="905"/>
    </row>
    <row r="158" spans="1:7" s="867" customFormat="1" x14ac:dyDescent="0.2">
      <c r="A158" s="938" t="s">
        <v>458</v>
      </c>
      <c r="B158" s="939" t="s">
        <v>2038</v>
      </c>
      <c r="C158" s="940" t="s">
        <v>1426</v>
      </c>
      <c r="D158" s="941" t="s">
        <v>1427</v>
      </c>
      <c r="E158" s="942"/>
      <c r="F158" s="1789">
        <f>SUM('Revenues 9-14'!C253)</f>
        <v>0</v>
      </c>
      <c r="G158" s="905"/>
    </row>
    <row r="159" spans="1:7" s="867" customFormat="1" x14ac:dyDescent="0.2">
      <c r="A159" s="938" t="s">
        <v>499</v>
      </c>
      <c r="B159" s="939" t="s">
        <v>2039</v>
      </c>
      <c r="C159" s="940" t="s">
        <v>1465</v>
      </c>
      <c r="D159" s="941" t="s">
        <v>1466</v>
      </c>
      <c r="E159" s="942"/>
      <c r="F159" s="1789">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9">
        <f>SUM('Revenues 9-14'!C255,'Revenues 9-14'!F255,'Revenues 9-14'!G255)</f>
        <v>702</v>
      </c>
      <c r="G160" s="943">
        <v>6306</v>
      </c>
    </row>
    <row r="161" spans="1:7" x14ac:dyDescent="0.2">
      <c r="A161" s="927" t="s">
        <v>5</v>
      </c>
      <c r="B161" s="927" t="s">
        <v>2041</v>
      </c>
      <c r="C161" s="932">
        <f>'Revenues 9-14'!B256</f>
        <v>4909</v>
      </c>
      <c r="D161" s="929" t="str">
        <f>'Revenues 9-14'!A256</f>
        <v>Title III - Language Inst Program - Limited Eng (LIPLEP)</v>
      </c>
      <c r="E161" s="906"/>
      <c r="F161" s="1789">
        <f>SUM('Revenues 9-14'!C256,'Revenues 9-14'!F256,'Revenues 9-14'!G256)</f>
        <v>57351</v>
      </c>
      <c r="G161" s="943"/>
    </row>
    <row r="162" spans="1:7" x14ac:dyDescent="0.2">
      <c r="A162" s="927" t="s">
        <v>667</v>
      </c>
      <c r="B162" s="927" t="s">
        <v>2042</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2043</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2044</v>
      </c>
      <c r="C164" s="932">
        <f>'Revenues 9-14'!B259</f>
        <v>4932</v>
      </c>
      <c r="D164" s="933" t="str">
        <f>'Revenues 9-14'!A259</f>
        <v>Title II - Teacher Quality</v>
      </c>
      <c r="E164" s="906"/>
      <c r="F164" s="1907">
        <f>SUM('Revenues 9-14'!C259,'Revenues 9-14'!D259,'Revenues 9-14'!F259,'Revenues 9-14'!G259)</f>
        <v>89453</v>
      </c>
      <c r="G164" s="930"/>
    </row>
    <row r="165" spans="1:7" x14ac:dyDescent="0.2">
      <c r="A165" s="927" t="s">
        <v>667</v>
      </c>
      <c r="B165" s="927" t="s">
        <v>2045</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1990</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1991</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2046</v>
      </c>
      <c r="C168" s="932">
        <f>'Revenues 9-14'!B263</f>
        <v>4991</v>
      </c>
      <c r="D168" s="933" t="str">
        <f>'Revenues 9-14'!A263</f>
        <v>Medicaid Matching Funds - Administrative Outreach</v>
      </c>
      <c r="E168" s="906"/>
      <c r="F168" s="1789">
        <f>SUM('Revenues 9-14'!C263:D263,'Revenues 9-14'!F263:G263)</f>
        <v>56744</v>
      </c>
      <c r="G168" s="947">
        <v>6320</v>
      </c>
    </row>
    <row r="169" spans="1:7" x14ac:dyDescent="0.2">
      <c r="A169" s="927" t="s">
        <v>667</v>
      </c>
      <c r="B169" s="927" t="s">
        <v>2047</v>
      </c>
      <c r="C169" s="932">
        <f>'Revenues 9-14'!B264</f>
        <v>4992</v>
      </c>
      <c r="D169" s="933" t="str">
        <f>'Revenues 9-14'!A264</f>
        <v>Medicaid Matching Funds - Fee-for-Service Program</v>
      </c>
      <c r="E169" s="906"/>
      <c r="F169" s="1789">
        <f>SUM('Revenues 9-14'!C264:D264,'Revenues 9-14'!F264:G264)</f>
        <v>344728</v>
      </c>
      <c r="G169" s="947"/>
    </row>
    <row r="170" spans="1:7" x14ac:dyDescent="0.2">
      <c r="A170" s="948" t="s">
        <v>667</v>
      </c>
      <c r="B170" s="944" t="s">
        <v>2048</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1915</v>
      </c>
      <c r="C171" s="1920">
        <v>3100</v>
      </c>
      <c r="D171" s="1921" t="s">
        <v>1917</v>
      </c>
      <c r="E171" s="906"/>
      <c r="F171" s="1906"/>
      <c r="G171" s="927"/>
    </row>
    <row r="172" spans="1:7" x14ac:dyDescent="0.2">
      <c r="A172" s="1918" t="s">
        <v>663</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2049</v>
      </c>
      <c r="E174" s="1787" t="s">
        <v>957</v>
      </c>
      <c r="F174" s="1788">
        <f>SUM(F84:F132,F157:F172)</f>
        <v>7838233</v>
      </c>
    </row>
    <row r="175" spans="1:7" ht="12" customHeight="1" x14ac:dyDescent="0.2">
      <c r="A175" s="1770"/>
      <c r="B175" s="1784"/>
      <c r="C175" s="1785"/>
      <c r="D175" s="1786" t="s">
        <v>2050</v>
      </c>
      <c r="E175" s="1787"/>
      <c r="F175" s="1789">
        <f>'PCTC-OEPP 27-28'!F77-F174</f>
        <v>50233903</v>
      </c>
    </row>
    <row r="176" spans="1:7" ht="12" customHeight="1" x14ac:dyDescent="0.2">
      <c r="A176" s="1770"/>
      <c r="B176" s="1784"/>
      <c r="C176" s="1785"/>
      <c r="D176" s="1786" t="s">
        <v>1813</v>
      </c>
      <c r="E176" s="1787"/>
      <c r="F176" s="1789">
        <f>'Cap Outlay Deprec 26'!I18</f>
        <v>3623044.2</v>
      </c>
    </row>
    <row r="177" spans="1:7" ht="12" customHeight="1" x14ac:dyDescent="0.2">
      <c r="A177" s="1770"/>
      <c r="B177" s="1784"/>
      <c r="C177" s="1785"/>
      <c r="D177" s="1786" t="s">
        <v>2051</v>
      </c>
      <c r="E177" s="1787"/>
      <c r="F177" s="1789">
        <f>F175+F176</f>
        <v>53856947.200000003</v>
      </c>
    </row>
    <row r="178" spans="1:7" ht="12" customHeight="1" x14ac:dyDescent="0.2">
      <c r="A178" s="1770"/>
      <c r="B178" s="1790"/>
      <c r="C178" s="1785"/>
      <c r="D178" s="1786" t="str">
        <f>D78</f>
        <v>9 Month ADA from District Average Daily Attendance/Prior General State Aid Inquiry 2018-2019</v>
      </c>
      <c r="E178" s="1787"/>
      <c r="F178" s="1791">
        <f>'PCTC-OEPP 27-28'!F78</f>
        <v>4041.1</v>
      </c>
      <c r="G178" s="930"/>
    </row>
    <row r="179" spans="1:7" ht="12" customHeight="1" thickBot="1" x14ac:dyDescent="0.25">
      <c r="A179" s="1770"/>
      <c r="B179" s="1790"/>
      <c r="C179" s="1785"/>
      <c r="D179" s="1786" t="s">
        <v>2052</v>
      </c>
      <c r="E179" s="1787" t="s">
        <v>1544</v>
      </c>
      <c r="F179" s="1792">
        <f>F177/F178</f>
        <v>13327.298804780878</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1987</v>
      </c>
      <c r="B182" s="1923"/>
      <c r="C182" s="1924"/>
      <c r="D182" s="1923"/>
      <c r="E182" s="1924"/>
      <c r="F182" s="1923"/>
      <c r="G182" s="1923"/>
    </row>
    <row r="183" spans="1:7" s="1922" customFormat="1" ht="12.2" customHeight="1" x14ac:dyDescent="0.2">
      <c r="A183" s="1925" t="s">
        <v>1989</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3" zoomScaleNormal="100" workbookViewId="0">
      <selection activeCell="T14" sqref="T14"/>
    </sheetView>
  </sheetViews>
  <sheetFormatPr defaultColWidth="9.140625" defaultRowHeight="15" x14ac:dyDescent="0.25"/>
  <cols>
    <col min="1" max="1" width="52" style="1542" customWidth="1"/>
    <col min="2" max="2" width="16.42578125" style="1543" bestFit="1" customWidth="1"/>
    <col min="3" max="3" width="33.5703125" style="1543" customWidth="1"/>
    <col min="4" max="4" width="16.42578125" style="1544" customWidth="1"/>
    <col min="5" max="5" width="16.42578125" style="1544" hidden="1" customWidth="1"/>
    <col min="6" max="6" width="23.5703125" style="1544" customWidth="1"/>
    <col min="7" max="7" width="23.425781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85" t="s">
        <v>1814</v>
      </c>
      <c r="B4" s="2286"/>
      <c r="C4" s="2286"/>
      <c r="D4" s="2286"/>
      <c r="E4" s="2286"/>
      <c r="F4" s="2286"/>
      <c r="G4" s="2287"/>
    </row>
    <row r="5" spans="1:7" x14ac:dyDescent="0.25">
      <c r="A5" s="2288"/>
      <c r="B5" s="2289"/>
      <c r="C5" s="2289"/>
      <c r="D5" s="2289"/>
      <c r="E5" s="2289"/>
      <c r="F5" s="2289"/>
      <c r="G5" s="2290"/>
    </row>
    <row r="6" spans="1:7" ht="18.75" x14ac:dyDescent="0.25">
      <c r="A6" s="1937" t="s">
        <v>2059</v>
      </c>
      <c r="B6" s="1938"/>
      <c r="C6" s="1938"/>
      <c r="D6" s="1938"/>
      <c r="E6" s="1938"/>
      <c r="F6" s="1938"/>
      <c r="G6" s="1939"/>
    </row>
    <row r="7" spans="1:7" ht="18.75" x14ac:dyDescent="0.25">
      <c r="A7" s="1534" t="s">
        <v>1815</v>
      </c>
      <c r="B7" s="1535"/>
      <c r="C7" s="1535"/>
      <c r="D7" s="1535"/>
      <c r="E7" s="1535"/>
      <c r="F7" s="1535"/>
      <c r="G7" s="1536"/>
    </row>
    <row r="8" spans="1:7" ht="30.75" customHeight="1" x14ac:dyDescent="0.25">
      <c r="A8" s="2291" t="s">
        <v>1927</v>
      </c>
      <c r="B8" s="2292"/>
      <c r="C8" s="2292"/>
      <c r="D8" s="2292"/>
      <c r="E8" s="2292"/>
      <c r="F8" s="2292"/>
      <c r="G8" s="2293"/>
    </row>
    <row r="9" spans="1:7" ht="15.75" customHeight="1" x14ac:dyDescent="0.25">
      <c r="A9" s="2294" t="s">
        <v>1902</v>
      </c>
      <c r="B9" s="2295"/>
      <c r="C9" s="2295"/>
      <c r="D9" s="2295"/>
      <c r="E9" s="2295"/>
      <c r="F9" s="2295"/>
      <c r="G9" s="2296"/>
    </row>
    <row r="10" spans="1:7" ht="35.25" customHeight="1" x14ac:dyDescent="0.25">
      <c r="A10" s="2291" t="s">
        <v>2058</v>
      </c>
      <c r="B10" s="2292"/>
      <c r="C10" s="2292"/>
      <c r="D10" s="2292"/>
      <c r="E10" s="2292"/>
      <c r="F10" s="2292"/>
      <c r="G10" s="2293"/>
    </row>
    <row r="11" spans="1:7" ht="15" customHeight="1" x14ac:dyDescent="0.25">
      <c r="A11" s="1537" t="s">
        <v>1816</v>
      </c>
      <c r="B11" s="1538"/>
      <c r="C11" s="1538"/>
      <c r="D11" s="1538"/>
      <c r="E11" s="1538"/>
      <c r="F11" s="1538"/>
      <c r="G11" s="1539"/>
    </row>
    <row r="12" spans="1:7" ht="17.25" customHeight="1" x14ac:dyDescent="0.25">
      <c r="A12" s="2291" t="s">
        <v>1929</v>
      </c>
      <c r="B12" s="2292"/>
      <c r="C12" s="2292"/>
      <c r="D12" s="2292"/>
      <c r="E12" s="2292"/>
      <c r="F12" s="2292"/>
      <c r="G12" s="2293"/>
    </row>
    <row r="13" spans="1:7" ht="15" customHeight="1" x14ac:dyDescent="0.25">
      <c r="A13" s="1537" t="s">
        <v>1821</v>
      </c>
      <c r="B13" s="1538"/>
      <c r="C13" s="1538"/>
      <c r="D13" s="1538"/>
      <c r="E13" s="1538"/>
      <c r="F13" s="1538"/>
      <c r="G13" s="1539"/>
    </row>
    <row r="14" spans="1:7" ht="32.25" customHeight="1" x14ac:dyDescent="0.25">
      <c r="A14" s="2282" t="s">
        <v>1970</v>
      </c>
      <c r="B14" s="2283"/>
      <c r="C14" s="2283"/>
      <c r="D14" s="2283"/>
      <c r="E14" s="2283"/>
      <c r="F14" s="2283"/>
      <c r="G14" s="2284"/>
    </row>
    <row r="15" spans="1:7" x14ac:dyDescent="0.25">
      <c r="A15" s="1661" t="s">
        <v>1829</v>
      </c>
      <c r="B15" s="1662"/>
      <c r="C15" s="1662"/>
      <c r="D15" s="1662"/>
      <c r="E15" s="1662"/>
      <c r="F15" s="1662"/>
      <c r="G15" s="1663"/>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2068</v>
      </c>
      <c r="B18" s="1941" t="s">
        <v>2069</v>
      </c>
      <c r="C18" s="1942" t="s">
        <v>2071</v>
      </c>
      <c r="D18" s="1844">
        <v>760139</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735139</v>
      </c>
      <c r="H18" s="1647"/>
    </row>
    <row r="19" spans="1:8" s="1944" customFormat="1" x14ac:dyDescent="0.25">
      <c r="A19" s="1943" t="s">
        <v>2074</v>
      </c>
      <c r="B19" s="1941" t="s">
        <v>2070</v>
      </c>
      <c r="C19" s="1942" t="s">
        <v>2072</v>
      </c>
      <c r="D19" s="1844">
        <v>272767</v>
      </c>
      <c r="E19" s="1540">
        <f t="shared" ref="E19:E141" si="2">IF(D19&lt;=25000,D19,IF(D19&gt;25000,25000,0))</f>
        <v>25000</v>
      </c>
      <c r="F19" s="1936">
        <f t="shared" si="1"/>
        <v>25000</v>
      </c>
      <c r="G19" s="1793">
        <f t="shared" ref="G19:G141" si="3">IF(F19=0,0,D19-F19)</f>
        <v>247767</v>
      </c>
    </row>
    <row r="20" spans="1:8" s="1944" customFormat="1" x14ac:dyDescent="0.25">
      <c r="A20" s="1943" t="s">
        <v>2074</v>
      </c>
      <c r="B20" s="1941" t="s">
        <v>2070</v>
      </c>
      <c r="C20" s="1942" t="s">
        <v>2073</v>
      </c>
      <c r="D20" s="1844">
        <v>393035</v>
      </c>
      <c r="E20" s="1540">
        <f t="shared" si="2"/>
        <v>25000</v>
      </c>
      <c r="F20" s="1936">
        <f t="shared" si="1"/>
        <v>25000</v>
      </c>
      <c r="G20" s="1793">
        <f t="shared" si="3"/>
        <v>368035</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1425941</v>
      </c>
      <c r="E142" s="1541">
        <f t="shared" si="0"/>
        <v>25000</v>
      </c>
      <c r="F142" s="1932">
        <f>SUM(F18:F141)</f>
        <v>75000</v>
      </c>
      <c r="G142" s="1795">
        <f>SUM(G18:G141)</f>
        <v>1350941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T14" sqref="T14"/>
    </sheetView>
  </sheetViews>
  <sheetFormatPr defaultColWidth="9.140625" defaultRowHeight="12.75" x14ac:dyDescent="0.2"/>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7" t="s">
        <v>1678</v>
      </c>
      <c r="B5" s="2298"/>
      <c r="C5" s="2298"/>
      <c r="D5" s="2298"/>
      <c r="E5" s="2298"/>
      <c r="F5" s="2298"/>
      <c r="G5" s="229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302" t="s">
        <v>1971</v>
      </c>
      <c r="B11" s="2303"/>
      <c r="C11" s="2303"/>
      <c r="D11" s="2304"/>
      <c r="E11" s="977">
        <f>24309+84845</f>
        <v>109154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29782604</v>
      </c>
      <c r="F19" s="1799"/>
      <c r="G19" s="1801">
        <f>'Expenditures 15-22'!K33-SUM('Expenditures 15-22'!G33,'Expenditures 15-22'!I33)+'Expenditures 15-22'!D229</f>
        <v>29782604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5426662</v>
      </c>
      <c r="F21" s="1802"/>
      <c r="G21" s="1805">
        <f>'Expenditures 15-22'!K42-SUM('Expenditures 15-22'!G42,'Expenditures 15-22'!I42)+'Expenditures 15-22'!K120-SUM('Expenditures 15-22'!G120,'Expenditures 15-22'!I120)+'Expenditures 15-22'!K180-SUM('Expenditures 15-22'!G180,'Expenditures 15-22'!I180)+'Expenditures 15-22'!D238</f>
        <v>5426662</v>
      </c>
      <c r="H21" s="987"/>
      <c r="I21" s="162"/>
    </row>
    <row r="22" spans="1:9" s="668" customFormat="1" ht="12" customHeight="1" x14ac:dyDescent="0.2">
      <c r="A22" s="994" t="s">
        <v>563</v>
      </c>
      <c r="B22" s="995"/>
      <c r="C22" s="993">
        <v>2200</v>
      </c>
      <c r="D22" s="1802"/>
      <c r="E22" s="1804">
        <f>'Expenditures 15-22'!K47-SUM('Expenditures 15-22'!G47,'Expenditures 15-22'!I47)+'Expenditures 15-22'!D243</f>
        <v>3152968</v>
      </c>
      <c r="F22" s="1802"/>
      <c r="G22" s="1805">
        <f>'Expenditures 15-22'!K47-SUM('Expenditures 15-22'!G47,'Expenditures 15-22'!I47)+'Expenditures 15-22'!D243</f>
        <v>3152968</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1947321</v>
      </c>
      <c r="F23" s="1802"/>
      <c r="G23" s="1804">
        <f>'Expenditures 15-22'!K53-SUM('Expenditures 15-22'!G53,'Expenditures 15-22'!I53)+'Expenditures 15-22'!D257+'Expenditures 15-22'!K330-SUM('Expenditures 15-22'!G330,'Expenditures 15-22'!I330)</f>
        <v>1947321</v>
      </c>
      <c r="H23" s="987"/>
      <c r="I23" s="162"/>
    </row>
    <row r="24" spans="1:9" s="668" customFormat="1" ht="12" customHeight="1" x14ac:dyDescent="0.2">
      <c r="A24" s="994" t="s">
        <v>565</v>
      </c>
      <c r="B24" s="995"/>
      <c r="C24" s="993">
        <v>2400</v>
      </c>
      <c r="D24" s="1802"/>
      <c r="E24" s="1804">
        <f>'Expenditures 15-22'!K57-SUM('Expenditures 15-22'!G57,'Expenditures 15-22'!I57)+'Expenditures 15-22'!D261</f>
        <v>2983467</v>
      </c>
      <c r="F24" s="1802"/>
      <c r="G24" s="1805">
        <f>'Expenditures 15-22'!K57-SUM('Expenditures 15-22'!G57,'Expenditures 15-22'!I57)+'Expenditures 15-22'!D261</f>
        <v>2983467</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543704</v>
      </c>
      <c r="E26" s="1804">
        <f>'Expenditures 15-22'!K122-SUM('Expenditures 15-22'!G122,'Expenditures 15-22'!I122)+E7</f>
        <v>0</v>
      </c>
      <c r="F26" s="1804">
        <f>'Expenditures 15-22'!K59-SUM('Expenditures 15-22'!G59,'Expenditures 15-22'!I59)+'Expenditures 15-22'!D263-E7</f>
        <v>543704</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5106772</v>
      </c>
      <c r="F28" s="1806">
        <f>'Expenditures 15-22'!K61-SUM('Expenditures 15-22'!G61,'Expenditures 15-22'!I61)+'Expenditures 15-22'!K124-SUM('Expenditures 15-22'!G124,'Expenditures 15-22'!I124)+'Expenditures 15-22'!D266-E9</f>
        <v>5106772</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5060126</v>
      </c>
      <c r="F29" s="1802"/>
      <c r="G29" s="1805">
        <f>'Expenditures 15-22'!K62-SUM('Expenditures 15-22'!G62,'Expenditures 15-22'!I62)+'Expenditures 15-22'!K125-SUM('Expenditures 15-22'!G125,'Expenditures 15-22'!I125)+'Expenditures 15-22'!K182-SUM('Expenditures 15-22'!G182,'Expenditures 15-22'!I182)+'Expenditures 15-22'!D267</f>
        <v>5060126</v>
      </c>
      <c r="H29" s="985"/>
    </row>
    <row r="30" spans="1:9" ht="12" customHeight="1" x14ac:dyDescent="0.2">
      <c r="A30" s="994" t="s">
        <v>100</v>
      </c>
      <c r="B30" s="997"/>
      <c r="C30" s="993">
        <v>2560</v>
      </c>
      <c r="D30" s="1802"/>
      <c r="E30" s="1804">
        <f>'Expenditures 15-22'!K63-SUM('Expenditures 15-22'!G63,'Expenditures 15-22'!I63)+'Expenditures 15-22'!D268-E10</f>
        <v>786906</v>
      </c>
      <c r="F30" s="1802"/>
      <c r="G30" s="1804">
        <f>'Expenditures 15-22'!K63-SUM('Expenditures 15-22'!G63,'Expenditures 15-22'!I63)+'Expenditures 15-22'!D268-E10</f>
        <v>786906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162648</v>
      </c>
      <c r="E36" s="1804">
        <f>E13</f>
        <v>0</v>
      </c>
      <c r="F36" s="1804">
        <f>'Expenditures 15-22'!K70-SUM('Expenditures 15-22'!G70,'Expenditures 15-22'!I70)+'Expenditures 15-22'!D275-E13</f>
        <v>162648</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29'!G142</f>
        <v>-1350941</v>
      </c>
      <c r="F40" s="1802"/>
      <c r="G40" s="1806">
        <f>-'Contracts Paid in CY 29'!G142</f>
        <v>-1350941</v>
      </c>
    </row>
    <row r="41" spans="1:7" ht="12" customHeight="1" x14ac:dyDescent="0.2">
      <c r="A41" s="998" t="s">
        <v>156</v>
      </c>
      <c r="B41" s="999"/>
      <c r="C41" s="1000"/>
      <c r="D41" s="1806">
        <f>SUM(D19:D39)</f>
        <v>706352</v>
      </c>
      <c r="E41" s="1806">
        <f>SUM(E19:E40)</f>
        <v>52895885</v>
      </c>
      <c r="F41" s="1806">
        <f>SUM(F19:F39)</f>
        <v>5813124</v>
      </c>
      <c r="G41" s="1806">
        <f>SUM(G19:G40)</f>
        <v>47789113</v>
      </c>
    </row>
    <row r="42" spans="1:7" x14ac:dyDescent="0.2">
      <c r="A42" s="987"/>
      <c r="B42" s="162"/>
      <c r="C42" s="1001"/>
      <c r="D42" s="2300" t="s">
        <v>521</v>
      </c>
      <c r="E42" s="2301"/>
      <c r="F42" s="1002" t="s">
        <v>522</v>
      </c>
      <c r="G42" s="1003"/>
    </row>
    <row r="43" spans="1:7" ht="12" customHeight="1" x14ac:dyDescent="0.2">
      <c r="A43" s="987"/>
      <c r="B43" s="162"/>
      <c r="C43" s="1001"/>
      <c r="D43" s="1807" t="s">
        <v>472</v>
      </c>
      <c r="E43" s="1808">
        <f>D41</f>
        <v>706352</v>
      </c>
      <c r="F43" s="1807" t="s">
        <v>472</v>
      </c>
      <c r="G43" s="1808">
        <f>F41</f>
        <v>5813124</v>
      </c>
    </row>
    <row r="44" spans="1:7" ht="12" customHeight="1" x14ac:dyDescent="0.2">
      <c r="A44" s="987"/>
      <c r="B44" s="162"/>
      <c r="C44" s="1001"/>
      <c r="D44" s="1807" t="s">
        <v>473</v>
      </c>
      <c r="E44" s="1808">
        <f>E41</f>
        <v>52895885</v>
      </c>
      <c r="F44" s="1807" t="s">
        <v>473</v>
      </c>
      <c r="G44" s="1808">
        <f>G41</f>
        <v>47789113</v>
      </c>
    </row>
    <row r="45" spans="1:7" ht="12" customHeight="1" x14ac:dyDescent="0.2">
      <c r="A45" s="987"/>
      <c r="B45" s="162"/>
      <c r="C45" s="162"/>
      <c r="D45" s="1809" t="s">
        <v>1005</v>
      </c>
      <c r="E45" s="1810">
        <f>(E43/E44)</f>
        <v>1.3353628547853959E-2</v>
      </c>
      <c r="F45" s="1809" t="s">
        <v>1005</v>
      </c>
      <c r="G45" s="1810">
        <f>(G43/G44)</f>
        <v>0.1216411779812695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7" activePane="bottomLeft" state="frozen"/>
      <selection activeCell="T14" sqref="T14"/>
      <selection pane="bottomLeft" activeCell="T14" sqref="T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9" t="s">
        <v>1378</v>
      </c>
      <c r="B1" s="2319"/>
      <c r="C1" s="2319"/>
      <c r="D1" s="2319"/>
      <c r="E1" s="2319"/>
      <c r="F1" s="2319"/>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20" t="s">
        <v>1545</v>
      </c>
      <c r="B5" s="2321"/>
      <c r="C5" s="2322"/>
      <c r="D5" s="2322"/>
      <c r="E5" s="2322"/>
      <c r="F5" s="2322"/>
    </row>
    <row r="6" spans="1:10" ht="12" customHeight="1" x14ac:dyDescent="0.25">
      <c r="A6" s="1850"/>
      <c r="B6" s="1851"/>
      <c r="C6" s="2323" t="str">
        <f>COVER!A17</f>
        <v>Wauconda CUSD 118</v>
      </c>
      <c r="D6" s="2323"/>
      <c r="E6" s="2323"/>
      <c r="F6" s="1852"/>
    </row>
    <row r="7" spans="1:10" ht="11.25" customHeight="1" thickBot="1" x14ac:dyDescent="0.3">
      <c r="A7" s="1850"/>
      <c r="B7" s="1851"/>
      <c r="C7" s="2324">
        <f>COVER!A13</f>
        <v>34049118026</v>
      </c>
      <c r="D7" s="2324"/>
      <c r="E7" s="2324"/>
      <c r="F7" s="1852"/>
    </row>
    <row r="8" spans="1:10" ht="25.5" customHeight="1" thickBot="1" x14ac:dyDescent="0.25">
      <c r="A8" s="1893" t="s">
        <v>1903</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2060</v>
      </c>
      <c r="D14" s="1865" t="s">
        <v>2060</v>
      </c>
      <c r="E14" s="1868" t="s">
        <v>2060</v>
      </c>
      <c r="F14" s="1867" t="s">
        <v>2061</v>
      </c>
      <c r="H14" s="1878">
        <f t="shared" si="0"/>
        <v>5</v>
      </c>
      <c r="I14" s="1878">
        <f t="shared" si="1"/>
        <v>5</v>
      </c>
      <c r="J14" s="1878">
        <f t="shared" si="2"/>
        <v>5</v>
      </c>
    </row>
    <row r="15" spans="1:10" ht="12" customHeight="1" x14ac:dyDescent="0.2">
      <c r="A15" s="1863" t="s">
        <v>1386</v>
      </c>
      <c r="B15" s="1864"/>
      <c r="C15" s="1865" t="s">
        <v>2060</v>
      </c>
      <c r="D15" s="1865" t="s">
        <v>2060</v>
      </c>
      <c r="E15" s="1868" t="s">
        <v>2060</v>
      </c>
      <c r="F15" s="1867" t="s">
        <v>2062</v>
      </c>
      <c r="H15" s="1878">
        <f t="shared" si="0"/>
        <v>5</v>
      </c>
      <c r="I15" s="1878">
        <f t="shared" si="1"/>
        <v>5</v>
      </c>
      <c r="J15" s="1878">
        <f t="shared" si="2"/>
        <v>5</v>
      </c>
    </row>
    <row r="16" spans="1:10" ht="12" customHeight="1" x14ac:dyDescent="0.2">
      <c r="A16" s="1863" t="s">
        <v>1387</v>
      </c>
      <c r="B16" s="1864"/>
      <c r="C16" s="1865" t="s">
        <v>2060</v>
      </c>
      <c r="D16" s="1865" t="s">
        <v>2060</v>
      </c>
      <c r="E16" s="1868" t="s">
        <v>2060</v>
      </c>
      <c r="F16" s="1867" t="s">
        <v>2063</v>
      </c>
      <c r="H16" s="1878">
        <f t="shared" si="0"/>
        <v>5</v>
      </c>
      <c r="I16" s="1878">
        <f t="shared" si="1"/>
        <v>5</v>
      </c>
      <c r="J16" s="1878">
        <f t="shared" si="2"/>
        <v>5</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2060</v>
      </c>
      <c r="D19" s="1865" t="s">
        <v>2060</v>
      </c>
      <c r="E19" s="1868" t="s">
        <v>2060</v>
      </c>
      <c r="F19" s="1867" t="s">
        <v>2064</v>
      </c>
      <c r="H19" s="1878">
        <f t="shared" si="0"/>
        <v>5</v>
      </c>
      <c r="I19" s="1878">
        <f t="shared" si="1"/>
        <v>5</v>
      </c>
      <c r="J19" s="1878">
        <f t="shared" si="2"/>
        <v>5</v>
      </c>
    </row>
    <row r="20" spans="1:12" ht="12" customHeight="1" x14ac:dyDescent="0.2">
      <c r="A20" s="1863" t="s">
        <v>1527</v>
      </c>
      <c r="B20" s="1864"/>
      <c r="C20" s="1865" t="s">
        <v>2060</v>
      </c>
      <c r="D20" s="1865" t="s">
        <v>2060</v>
      </c>
      <c r="E20" s="1868" t="s">
        <v>2060</v>
      </c>
      <c r="F20" s="1867" t="s">
        <v>2065</v>
      </c>
      <c r="H20" s="1878">
        <f t="shared" si="0"/>
        <v>5</v>
      </c>
      <c r="I20" s="1878">
        <f t="shared" si="1"/>
        <v>5</v>
      </c>
      <c r="J20" s="1878">
        <f t="shared" si="2"/>
        <v>5</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t="s">
        <v>2060</v>
      </c>
      <c r="E26" s="1868" t="s">
        <v>2060</v>
      </c>
      <c r="F26" s="1867" t="s">
        <v>2066</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t="s">
        <v>2060</v>
      </c>
      <c r="F31" s="1867" t="s">
        <v>2067</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35</v>
      </c>
      <c r="K34" s="1878">
        <f>SUM(H34:J34)</f>
        <v>105</v>
      </c>
    </row>
    <row r="35" spans="1:11" ht="12" customHeight="1" x14ac:dyDescent="0.2">
      <c r="A35" s="1871" t="s">
        <v>1391</v>
      </c>
      <c r="B35" s="1872"/>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1390</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14" sqref="T14"/>
    </sheetView>
  </sheetViews>
  <sheetFormatPr defaultColWidth="9.140625" defaultRowHeight="12.75" x14ac:dyDescent="0.2"/>
  <cols>
    <col min="1" max="1" width="3" style="1010" customWidth="1"/>
    <col min="2" max="2" width="2.5703125" style="1010" customWidth="1"/>
    <col min="3" max="3" width="38.5703125" style="1010" customWidth="1"/>
    <col min="4" max="4" width="6.42578125" style="1010" customWidth="1"/>
    <col min="5" max="10" width="15.5703125" style="1010" customWidth="1"/>
    <col min="11" max="14" width="4.570312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32" t="str">
        <f>COVER!A17</f>
        <v>Wauconda CUSD 118</v>
      </c>
      <c r="J6" s="2333"/>
      <c r="Q6" s="1664"/>
    </row>
    <row r="7" spans="1:17" x14ac:dyDescent="0.2">
      <c r="A7" s="2334" t="s">
        <v>868</v>
      </c>
      <c r="B7" s="2335"/>
      <c r="C7" s="2335"/>
      <c r="D7" s="2335"/>
      <c r="E7" s="2336"/>
      <c r="F7" s="1017"/>
      <c r="G7" s="1009"/>
      <c r="H7" s="1016" t="s">
        <v>371</v>
      </c>
      <c r="I7" s="2337">
        <f>COVER!A13</f>
        <v>34049118026</v>
      </c>
      <c r="J7" s="233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8" t="s">
        <v>480</v>
      </c>
      <c r="B11" s="2339"/>
      <c r="C11" s="234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438902</v>
      </c>
      <c r="F12" s="1039"/>
      <c r="G12" s="1811">
        <f t="shared" ref="G12:G18" si="0">SUM(E12:F12)</f>
        <v>438902</v>
      </c>
      <c r="H12" s="1040">
        <v>462130</v>
      </c>
      <c r="I12" s="1039"/>
      <c r="J12" s="1811">
        <f t="shared" ref="J12:J18" si="1">SUM(H12:I12)</f>
        <v>462130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494276</v>
      </c>
      <c r="F15" s="1811">
        <f>'Expenditures 15-22'!K122</f>
        <v>0</v>
      </c>
      <c r="G15" s="1811">
        <f t="shared" si="0"/>
        <v>494276</v>
      </c>
      <c r="H15" s="1040">
        <v>495230</v>
      </c>
      <c r="I15" s="1040"/>
      <c r="J15" s="1811">
        <f t="shared" si="1"/>
        <v>495230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41" t="s">
        <v>7</v>
      </c>
      <c r="C18" s="2342"/>
      <c r="D18" s="2343"/>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933178</v>
      </c>
      <c r="F19" s="1813">
        <f t="shared" si="2"/>
        <v>0</v>
      </c>
      <c r="G19" s="1813">
        <f t="shared" si="2"/>
        <v>933178</v>
      </c>
      <c r="H19" s="1813">
        <f t="shared" si="2"/>
        <v>957360</v>
      </c>
      <c r="I19" s="1813">
        <f t="shared" si="2"/>
        <v>0</v>
      </c>
      <c r="J19" s="1813">
        <f t="shared" si="2"/>
        <v>957360</v>
      </c>
    </row>
    <row r="20" spans="1:10" ht="13.5" thickTop="1" x14ac:dyDescent="0.2">
      <c r="A20" s="1035">
        <v>9</v>
      </c>
      <c r="B20" s="2344" t="s">
        <v>1975</v>
      </c>
      <c r="C20" s="2344"/>
      <c r="D20" s="2345"/>
      <c r="E20" s="1046"/>
      <c r="F20" s="1046"/>
      <c r="G20" s="1046"/>
      <c r="H20" s="1046"/>
      <c r="I20" s="1046"/>
      <c r="J20" s="1814">
        <f>IF(AND(G19&gt;0,J19&gt;0),(((J19-G19)/G19)),"Enter Budget Data")</f>
        <v>2.5913598477460893E-2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1988</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1032</v>
      </c>
      <c r="D27" s="1052"/>
      <c r="E27" s="1053"/>
      <c r="F27" s="2346" t="s">
        <v>1508</v>
      </c>
      <c r="G27" s="2346"/>
    </row>
    <row r="28" spans="1:10" ht="28.5" customHeight="1" x14ac:dyDescent="0.2">
      <c r="B28" s="1047"/>
      <c r="C28" s="2348"/>
      <c r="D28" s="2348"/>
      <c r="E28" s="1054"/>
      <c r="F28" s="2348"/>
      <c r="G28" s="2348"/>
    </row>
    <row r="29" spans="1:10" x14ac:dyDescent="0.2">
      <c r="B29" s="1047"/>
      <c r="C29" s="1055" t="s">
        <v>1560</v>
      </c>
      <c r="E29" s="1056"/>
      <c r="F29" s="2347" t="s">
        <v>1509</v>
      </c>
      <c r="G29" s="234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1977</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881</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45" t="s">
        <v>2091</v>
      </c>
    </row>
    <row r="6" spans="1:2" x14ac:dyDescent="0.2">
      <c r="A6" s="1068">
        <v>2</v>
      </c>
      <c r="B6" s="1946" t="s">
        <v>2092</v>
      </c>
    </row>
    <row r="7" spans="1:2" x14ac:dyDescent="0.2">
      <c r="A7" s="1068">
        <v>3</v>
      </c>
      <c r="B7" s="1946" t="s">
        <v>2093</v>
      </c>
    </row>
    <row r="8" spans="1:2" x14ac:dyDescent="0.2">
      <c r="A8" s="1068">
        <v>4</v>
      </c>
      <c r="B8" s="1946"/>
    </row>
    <row r="9" spans="1:2" x14ac:dyDescent="0.2">
      <c r="A9" s="1069"/>
      <c r="B9" s="1946"/>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Wauconda CUSD 118</v>
      </c>
    </row>
    <row r="65" spans="2:2" x14ac:dyDescent="0.2">
      <c r="B65" s="1070">
        <f>COVER!A13</f>
        <v>34049118026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14" sqref="T14"/>
    </sheetView>
  </sheetViews>
  <sheetFormatPr defaultColWidth="9.140625" defaultRowHeight="12" x14ac:dyDescent="0.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8" t="s">
        <v>1064</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690</v>
      </c>
      <c r="B40" s="2065"/>
      <c r="C40" s="2065"/>
      <c r="D40" s="2065"/>
      <c r="E40" s="2065"/>
    </row>
    <row r="41" spans="1:5" x14ac:dyDescent="0.2">
      <c r="A41" s="2066" t="s">
        <v>1607</v>
      </c>
      <c r="B41" s="2066"/>
      <c r="C41" s="2066"/>
      <c r="D41" s="2066"/>
      <c r="E41" s="2066"/>
    </row>
    <row r="42" spans="1:5" ht="12.75" customHeight="1" x14ac:dyDescent="0.2">
      <c r="A42" s="2067" t="s">
        <v>1021</v>
      </c>
      <c r="B42" s="2067"/>
      <c r="C42" s="2067"/>
      <c r="D42" s="2067"/>
      <c r="E42" s="2067"/>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570312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1" t="s">
        <v>1684</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xdr:colOff>
                <xdr:row>1</xdr:row>
                <xdr:rowOff>57150</xdr:rowOff>
              </from>
              <to>
                <xdr:col>1</xdr:col>
                <xdr:colOff>990600</xdr:colOff>
                <xdr:row>5</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1104900</xdr:colOff>
                <xdr:row>1</xdr:row>
                <xdr:rowOff>57150</xdr:rowOff>
              </from>
              <to>
                <xdr:col>1</xdr:col>
                <xdr:colOff>2019300</xdr:colOff>
                <xdr:row>5</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2143125</xdr:colOff>
                <xdr:row>1</xdr:row>
                <xdr:rowOff>57150</xdr:rowOff>
              </from>
              <to>
                <xdr:col>1</xdr:col>
                <xdr:colOff>3057525</xdr:colOff>
                <xdr:row>5</xdr:row>
                <xdr:rowOff>95250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5703125" style="316" customWidth="1"/>
    <col min="7" max="16384" width="9.140625" style="316"/>
  </cols>
  <sheetData>
    <row r="1" spans="1:8" ht="48.75" customHeight="1" x14ac:dyDescent="0.2">
      <c r="A1" s="2352" t="s">
        <v>1689</v>
      </c>
      <c r="B1" s="2353"/>
      <c r="C1" s="2353"/>
      <c r="D1" s="2353"/>
      <c r="E1" s="2353"/>
      <c r="F1" s="2354"/>
    </row>
    <row r="2" spans="1:8" ht="45" customHeight="1" x14ac:dyDescent="0.2">
      <c r="A2" s="2362" t="s">
        <v>1981</v>
      </c>
      <c r="B2" s="2363"/>
      <c r="C2" s="2363"/>
      <c r="D2" s="2363"/>
      <c r="E2" s="2363"/>
      <c r="F2" s="2364"/>
      <c r="G2" s="1074"/>
      <c r="H2" s="1074"/>
    </row>
    <row r="3" spans="1:8" ht="57" customHeight="1" x14ac:dyDescent="0.2">
      <c r="A3" s="2365" t="s">
        <v>1685</v>
      </c>
      <c r="B3" s="2366"/>
      <c r="C3" s="2366"/>
      <c r="D3" s="2366"/>
      <c r="E3" s="2366"/>
      <c r="F3" s="2367"/>
      <c r="G3" s="1074"/>
      <c r="H3" s="1074"/>
    </row>
    <row r="4" spans="1:8" ht="14.25" customHeight="1" x14ac:dyDescent="0.2">
      <c r="A4" s="2371" t="s">
        <v>1982</v>
      </c>
      <c r="B4" s="2372"/>
      <c r="C4" s="2372"/>
      <c r="D4" s="2372"/>
      <c r="E4" s="2372"/>
      <c r="F4" s="2373"/>
      <c r="G4" s="1074"/>
      <c r="H4" s="1074"/>
    </row>
    <row r="5" spans="1:8" ht="14.25" customHeight="1" x14ac:dyDescent="0.2">
      <c r="A5" s="2374" t="s">
        <v>1978</v>
      </c>
      <c r="B5" s="2375"/>
      <c r="C5" s="2375"/>
      <c r="D5" s="2375"/>
      <c r="E5" s="2375"/>
      <c r="F5" s="2376"/>
      <c r="G5" s="1074"/>
      <c r="H5" s="1074"/>
    </row>
    <row r="6" spans="1:8" s="1075" customFormat="1" ht="41.25" customHeight="1" x14ac:dyDescent="0.2">
      <c r="A6" s="2368" t="s">
        <v>1690</v>
      </c>
      <c r="B6" s="2369"/>
      <c r="C6" s="2369"/>
      <c r="D6" s="2369"/>
      <c r="E6" s="2369"/>
      <c r="F6" s="2370"/>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48586329</v>
      </c>
      <c r="C8" s="1815">
        <f>'Acct Summary 7-8'!D8</f>
        <v>4530679</v>
      </c>
      <c r="D8" s="1815">
        <f>'Acct Summary 7-8'!F8</f>
        <v>4935574</v>
      </c>
      <c r="E8" s="1815">
        <f>'Acct Summary 7-8'!I8</f>
        <v>362614</v>
      </c>
      <c r="F8" s="1815">
        <f>SUM(B8:E8)</f>
        <v>58415196</v>
      </c>
    </row>
    <row r="9" spans="1:8" s="1079" customFormat="1" ht="14.25" customHeight="1" thickBot="1" x14ac:dyDescent="0.25">
      <c r="A9" s="1078" t="s">
        <v>1368</v>
      </c>
      <c r="B9" s="1816">
        <f>'Acct Summary 7-8'!C17</f>
        <v>47920698</v>
      </c>
      <c r="C9" s="1816">
        <f>'Acct Summary 7-8'!D17</f>
        <v>4714682</v>
      </c>
      <c r="D9" s="1816">
        <f>'Acct Summary 7-8'!F17</f>
        <v>5915636</v>
      </c>
      <c r="E9" s="1815"/>
      <c r="F9" s="1815">
        <f>SUM(B9:E9)</f>
        <v>58551016</v>
      </c>
    </row>
    <row r="10" spans="1:8" s="1079" customFormat="1" ht="14.25" thickTop="1" thickBot="1" x14ac:dyDescent="0.25">
      <c r="A10" s="1080" t="s">
        <v>1369</v>
      </c>
      <c r="B10" s="1817">
        <f>(B8-B9)</f>
        <v>665631</v>
      </c>
      <c r="C10" s="1817">
        <f>(C8-C9)</f>
        <v>-184003</v>
      </c>
      <c r="D10" s="1817">
        <f>(D8-D9)</f>
        <v>-980062</v>
      </c>
      <c r="E10" s="1816">
        <f>(E8-E9)</f>
        <v>362614</v>
      </c>
      <c r="F10" s="1818">
        <f>SUM(F8-F9)</f>
        <v>-135820</v>
      </c>
    </row>
    <row r="11" spans="1:8" s="1079" customFormat="1" ht="14.25" thickTop="1" thickBot="1" x14ac:dyDescent="0.25">
      <c r="A11" s="1081" t="s">
        <v>1979</v>
      </c>
      <c r="B11" s="1819">
        <f>'Acct Summary 7-8'!C81</f>
        <v>11168940</v>
      </c>
      <c r="C11" s="1819">
        <f>'Acct Summary 7-8'!D81</f>
        <v>405115</v>
      </c>
      <c r="D11" s="1819">
        <f>'Acct Summary 7-8'!F81</f>
        <v>1470392</v>
      </c>
      <c r="E11" s="1819">
        <f>'Acct Summary 7-8'!I81</f>
        <v>16587865</v>
      </c>
      <c r="F11" s="1820">
        <f>SUM(B11:E11)</f>
        <v>29632312</v>
      </c>
    </row>
    <row r="12" spans="1:8" ht="16.5" customHeight="1" thickTop="1" x14ac:dyDescent="0.2">
      <c r="A12" s="1082"/>
      <c r="B12" s="1083"/>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1686</v>
      </c>
      <c r="B16" s="2355"/>
      <c r="C16" s="2355"/>
      <c r="D16" s="2355"/>
      <c r="E16" s="2355"/>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68" sqref="C68"/>
    </sheetView>
  </sheetViews>
  <sheetFormatPr defaultColWidth="9.140625" defaultRowHeight="12" x14ac:dyDescent="0.2"/>
  <cols>
    <col min="1" max="1" width="2.5703125" style="1133" customWidth="1"/>
    <col min="2" max="2" width="3.140625" style="1133" customWidth="1"/>
    <col min="3" max="3" width="96.140625" style="1073" customWidth="1"/>
    <col min="4" max="4" width="42.140625" style="242" customWidth="1"/>
    <col min="5" max="5" width="2.570312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7" t="s">
        <v>664</v>
      </c>
      <c r="B3" s="2378"/>
      <c r="C3" s="2378"/>
      <c r="D3" s="2379"/>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8" t="s">
        <v>1503</v>
      </c>
      <c r="D7" s="2389"/>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0" t="s">
        <v>1007</v>
      </c>
      <c r="B15" s="2381"/>
      <c r="C15" s="2381"/>
      <c r="D15" s="2382"/>
    </row>
    <row r="16" spans="1:4" s="668" customFormat="1" ht="24" customHeight="1" x14ac:dyDescent="0.2">
      <c r="A16" s="2383" t="s">
        <v>662</v>
      </c>
      <c r="B16" s="2384"/>
      <c r="C16" s="2384"/>
      <c r="D16" s="238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2" t="s">
        <v>313</v>
      </c>
      <c r="D21" s="2393"/>
    </row>
    <row r="22" spans="1:10" ht="12.75" x14ac:dyDescent="0.2">
      <c r="A22" s="1139"/>
      <c r="B22" s="1140">
        <v>2</v>
      </c>
      <c r="C22" s="2390" t="s">
        <v>1523</v>
      </c>
      <c r="D22" s="2391"/>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4" t="s">
        <v>535</v>
      </c>
      <c r="D43" s="2395"/>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6" t="s">
        <v>783</v>
      </c>
      <c r="D56" s="2387"/>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ERROR!</v>
      </c>
    </row>
    <row r="69" spans="1:4" x14ac:dyDescent="0.2">
      <c r="A69" s="1100"/>
      <c r="B69" s="1110"/>
      <c r="C69" s="1102" t="s">
        <v>1911</v>
      </c>
      <c r="D69" s="1124" t="str">
        <f>IF('Expenditures 15-22'!H170&lt;&gt;'Short-Term Long-Term Debt 24'!H49,"ERROR!","OK")</f>
        <v>ERROR!</v>
      </c>
    </row>
    <row r="70" spans="1:4" x14ac:dyDescent="0.2">
      <c r="A70" s="1098"/>
      <c r="B70" s="1120">
        <f>B66+1</f>
        <v>9</v>
      </c>
      <c r="C70" s="2386" t="s">
        <v>1695</v>
      </c>
      <c r="D70" s="2387"/>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34049118026</v>
      </c>
    </row>
    <row r="3" spans="1:2" x14ac:dyDescent="0.2">
      <c r="A3" t="s">
        <v>955</v>
      </c>
      <c r="B3" s="138" t="str">
        <f>COVER!A15</f>
        <v>LAKE</v>
      </c>
    </row>
    <row r="4" spans="1:2" x14ac:dyDescent="0.2">
      <c r="A4" t="s">
        <v>1006</v>
      </c>
      <c r="B4" s="138" t="str">
        <f>COVER!A17</f>
        <v>Wauconda CUSD 118</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066.00534</v>
      </c>
    </row>
    <row r="16" spans="1:2" x14ac:dyDescent="0.2">
      <c r="A16" t="s">
        <v>421</v>
      </c>
      <c r="B16" s="138" t="str">
        <f>COVER!T13</f>
        <v>EVANS, MARSHALL &amp; PEASE, P.C.</v>
      </c>
    </row>
    <row r="17" spans="1:2" x14ac:dyDescent="0.2">
      <c r="A17" t="s">
        <v>883</v>
      </c>
      <c r="B17" s="138" t="str">
        <f>COVER!T15</f>
        <v>JEFFERY M. ROLLEFSON, C.P.A.</v>
      </c>
    </row>
    <row r="18" spans="1:2" x14ac:dyDescent="0.2">
      <c r="A18" t="s">
        <v>1149</v>
      </c>
      <c r="B18" s="138" t="str">
        <f>COVER!T17</f>
        <v>1875 HICKS ROAD</v>
      </c>
    </row>
    <row r="19" spans="1:2" x14ac:dyDescent="0.2">
      <c r="A19" t="s">
        <v>885</v>
      </c>
      <c r="B19" s="138" t="str">
        <f>COVER!T25</f>
        <v>JEFF@EMPCPA.COM</v>
      </c>
    </row>
    <row r="20" spans="1:2" x14ac:dyDescent="0.2">
      <c r="A20" t="s">
        <v>886</v>
      </c>
      <c r="B20" s="138" t="str">
        <f>COVER!T19</f>
        <v>ROLLING MEADOWS</v>
      </c>
    </row>
    <row r="21" spans="1:2" x14ac:dyDescent="0.2">
      <c r="A21" t="s">
        <v>478</v>
      </c>
      <c r="B21" s="138" t="str">
        <f>COVER!X19</f>
        <v>ILLINOIS</v>
      </c>
    </row>
    <row r="22" spans="1:2" x14ac:dyDescent="0.2">
      <c r="A22" t="s">
        <v>887</v>
      </c>
      <c r="B22" s="138">
        <f>COVER!Z19</f>
        <v>60008</v>
      </c>
    </row>
    <row r="23" spans="1:2" x14ac:dyDescent="0.2">
      <c r="A23" t="s">
        <v>1151</v>
      </c>
      <c r="B23" s="138" t="str">
        <f>COVER!T21</f>
        <v>847-221-5700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12783263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709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1614323</v>
      </c>
      <c r="C91" s="2" t="s">
        <v>572</v>
      </c>
      <c r="D91" s="2" t="str">
        <f t="shared" si="0"/>
        <v>Error?</v>
      </c>
    </row>
    <row r="92" spans="1:4" x14ac:dyDescent="0.2">
      <c r="A92" s="5">
        <v>31</v>
      </c>
      <c r="B92" s="138">
        <f>'Assets-Liab 5-6'!C39</f>
        <v>11168940</v>
      </c>
      <c r="D92" s="2" t="str">
        <f t="shared" si="0"/>
        <v>Error?</v>
      </c>
    </row>
    <row r="93" spans="1:4" x14ac:dyDescent="0.2">
      <c r="A93" s="5">
        <v>32</v>
      </c>
      <c r="B93" s="138">
        <f>'Assets-Liab 5-6'!C41</f>
        <v>12783263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450563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45448</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450563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5665447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5665447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1470392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1470392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10241</v>
      </c>
      <c r="C188" s="2" t="s">
        <v>572</v>
      </c>
      <c r="D188" s="2" t="str">
        <f t="shared" si="1"/>
        <v>Error?</v>
      </c>
    </row>
    <row r="189" spans="1:4" x14ac:dyDescent="0.2">
      <c r="A189" s="5">
        <v>128</v>
      </c>
      <c r="B189" s="138">
        <f>'Assets-Liab 5-6'!G39</f>
        <v>-10241</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1815782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1815782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4894309</v>
      </c>
      <c r="D273" s="2" t="str">
        <f t="shared" si="3"/>
        <v>Error?</v>
      </c>
    </row>
    <row r="274" spans="1:4" x14ac:dyDescent="0.2">
      <c r="A274" s="5">
        <v>213</v>
      </c>
      <c r="B274" s="138">
        <f>'Assets-Liab 5-6'!M17</f>
        <v>103311900</v>
      </c>
      <c r="D274" s="2" t="str">
        <f t="shared" si="3"/>
        <v>Error?</v>
      </c>
    </row>
    <row r="275" spans="1:4" x14ac:dyDescent="0.2">
      <c r="A275" s="5">
        <v>214</v>
      </c>
      <c r="B275" s="138">
        <f>'Assets-Liab 5-6'!M18</f>
        <v>3799042</v>
      </c>
      <c r="D275" s="2" t="str">
        <f t="shared" si="3"/>
        <v>Error?</v>
      </c>
    </row>
    <row r="276" spans="1:4" x14ac:dyDescent="0.2">
      <c r="A276" s="5">
        <v>215</v>
      </c>
      <c r="B276" s="138">
        <f>'Assets-Liab 5-6'!M19</f>
        <v>15472577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127631807</v>
      </c>
      <c r="C279" s="2" t="s">
        <v>572</v>
      </c>
      <c r="D279" s="2" t="str">
        <f t="shared" si="3"/>
        <v>Error?</v>
      </c>
    </row>
    <row r="280" spans="1:4" x14ac:dyDescent="0.2">
      <c r="A280" s="5">
        <v>219</v>
      </c>
      <c r="B280" s="138">
        <f>'Assets-Liab 5-6'!M40</f>
        <v>127631807</v>
      </c>
      <c r="D280" s="2" t="str">
        <f t="shared" si="3"/>
        <v>Error?</v>
      </c>
    </row>
    <row r="281" spans="1:4" x14ac:dyDescent="0.2">
      <c r="A281" s="5">
        <v>220</v>
      </c>
      <c r="B281" s="138">
        <f>'Assets-Liab 5-6'!M41</f>
        <v>127631807</v>
      </c>
      <c r="C281" s="2" t="s">
        <v>572</v>
      </c>
      <c r="D281" s="2" t="str">
        <f t="shared" si="3"/>
        <v>Error?</v>
      </c>
    </row>
    <row r="282" spans="1:4" x14ac:dyDescent="0.2">
      <c r="A282" s="5">
        <v>221</v>
      </c>
      <c r="B282" s="138">
        <f>'Assets-Liab 5-6'!N21</f>
        <v>5665447</v>
      </c>
      <c r="D282" s="2" t="str">
        <f t="shared" si="3"/>
        <v>Error?</v>
      </c>
    </row>
    <row r="283" spans="1:4" x14ac:dyDescent="0.2">
      <c r="A283" s="5">
        <v>222</v>
      </c>
      <c r="B283" s="138">
        <f>'Assets-Liab 5-6'!N22</f>
        <v>49560319</v>
      </c>
      <c r="D283" s="2" t="str">
        <f t="shared" si="3"/>
        <v>Error?</v>
      </c>
    </row>
    <row r="284" spans="1:4" x14ac:dyDescent="0.2">
      <c r="A284" s="5">
        <v>223</v>
      </c>
      <c r="B284" s="138">
        <f>'Assets-Liab 5-6'!N23</f>
        <v>55225766</v>
      </c>
      <c r="C284" s="2" t="s">
        <v>572</v>
      </c>
      <c r="D284" s="2" t="str">
        <f t="shared" si="3"/>
        <v>Error?</v>
      </c>
    </row>
    <row r="285" spans="1:4" x14ac:dyDescent="0.2">
      <c r="A285" s="5">
        <v>224</v>
      </c>
      <c r="B285" s="138">
        <f>'Assets-Liab 5-6'!N36</f>
        <v>55225766</v>
      </c>
      <c r="D285" s="2" t="str">
        <f t="shared" si="3"/>
        <v>Error?</v>
      </c>
    </row>
    <row r="286" spans="1:4" x14ac:dyDescent="0.2">
      <c r="A286" s="10">
        <v>225</v>
      </c>
      <c r="D286" s="2" t="str">
        <f t="shared" si="3"/>
        <v>OK</v>
      </c>
    </row>
    <row r="287" spans="1:4" x14ac:dyDescent="0.2">
      <c r="A287" s="5">
        <v>226</v>
      </c>
      <c r="B287" s="138">
        <f>'Assets-Liab 5-6'!N37</f>
        <v>55225766</v>
      </c>
      <c r="C287" s="2" t="s">
        <v>572</v>
      </c>
      <c r="D287" s="2" t="str">
        <f t="shared" si="3"/>
        <v>Error?</v>
      </c>
    </row>
    <row r="288" spans="1:4" x14ac:dyDescent="0.2">
      <c r="A288" s="5">
        <v>227</v>
      </c>
      <c r="B288" s="138">
        <f>'Assets-Liab 5-6'!N41</f>
        <v>55225766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355233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14872681</v>
      </c>
      <c r="D705" s="2" t="str">
        <f t="shared" si="10"/>
        <v>Error?</v>
      </c>
    </row>
    <row r="706" spans="1:4" x14ac:dyDescent="0.2">
      <c r="A706" s="5">
        <v>645</v>
      </c>
      <c r="B706" s="138">
        <f>'Expenditures 15-22'!C16</f>
        <v>296532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1687860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2842</v>
      </c>
      <c r="D717" s="2" t="str">
        <f t="shared" si="10"/>
        <v>Error?</v>
      </c>
    </row>
    <row r="718" spans="1:4" x14ac:dyDescent="0.2">
      <c r="A718" s="5">
        <v>657</v>
      </c>
      <c r="B718" s="138">
        <f>'Expenditures 15-22'!C14</f>
        <v>1177481</v>
      </c>
      <c r="D718" s="2" t="str">
        <f t="shared" si="10"/>
        <v>Error?</v>
      </c>
    </row>
    <row r="719" spans="1:4" x14ac:dyDescent="0.2">
      <c r="A719" s="5">
        <v>658</v>
      </c>
      <c r="B719" s="138">
        <f>'Expenditures 15-22'!C15</f>
        <v>160349</v>
      </c>
      <c r="D719" s="2" t="str">
        <f t="shared" si="10"/>
        <v>Error?</v>
      </c>
    </row>
    <row r="720" spans="1:4" x14ac:dyDescent="0.2">
      <c r="A720" s="5">
        <v>659</v>
      </c>
      <c r="B720" s="138">
        <f>'Expenditures 15-22'!C33</f>
        <v>23697999</v>
      </c>
      <c r="C720" s="2" t="s">
        <v>572</v>
      </c>
      <c r="D720" s="2" t="str">
        <f t="shared" si="10"/>
        <v>Error?</v>
      </c>
    </row>
    <row r="721" spans="1:4" x14ac:dyDescent="0.2">
      <c r="A721" s="5">
        <v>660</v>
      </c>
      <c r="B721" s="138">
        <f>'Expenditures 15-22'!C36</f>
        <v>616708</v>
      </c>
      <c r="D721" s="2" t="str">
        <f t="shared" si="10"/>
        <v>Error?</v>
      </c>
    </row>
    <row r="722" spans="1:4" x14ac:dyDescent="0.2">
      <c r="A722" s="5">
        <v>661</v>
      </c>
      <c r="B722" s="138">
        <f>'Expenditures 15-22'!C37</f>
        <v>593698</v>
      </c>
      <c r="D722" s="2" t="str">
        <f t="shared" si="10"/>
        <v>Error?</v>
      </c>
    </row>
    <row r="723" spans="1:4" x14ac:dyDescent="0.2">
      <c r="A723" s="5">
        <v>662</v>
      </c>
      <c r="B723" s="138">
        <f>'Expenditures 15-22'!C38</f>
        <v>223039</v>
      </c>
      <c r="D723" s="2" t="str">
        <f t="shared" si="10"/>
        <v>Error?</v>
      </c>
    </row>
    <row r="724" spans="1:4" x14ac:dyDescent="0.2">
      <c r="A724" s="5">
        <v>663</v>
      </c>
      <c r="B724" s="138">
        <f>'Expenditures 15-22'!C39</f>
        <v>485466</v>
      </c>
      <c r="D724" s="2" t="str">
        <f t="shared" si="10"/>
        <v>Error?</v>
      </c>
    </row>
    <row r="725" spans="1:4" x14ac:dyDescent="0.2">
      <c r="A725" s="5">
        <v>664</v>
      </c>
      <c r="B725" s="138">
        <f>'Expenditures 15-22'!C40</f>
        <v>580946</v>
      </c>
      <c r="D725" s="2" t="str">
        <f t="shared" si="10"/>
        <v>Error?</v>
      </c>
    </row>
    <row r="726" spans="1:4" x14ac:dyDescent="0.2">
      <c r="A726" s="5">
        <v>665</v>
      </c>
      <c r="B726" s="138">
        <f>'Expenditures 15-22'!C41</f>
        <v>778302</v>
      </c>
      <c r="D726" s="2" t="str">
        <f t="shared" si="10"/>
        <v>Error?</v>
      </c>
    </row>
    <row r="727" spans="1:4" x14ac:dyDescent="0.2">
      <c r="A727" s="5">
        <v>666</v>
      </c>
      <c r="B727" s="138">
        <f>'Expenditures 15-22'!C42</f>
        <v>3278159</v>
      </c>
      <c r="C727" s="2" t="s">
        <v>572</v>
      </c>
      <c r="D727" s="2" t="str">
        <f t="shared" si="10"/>
        <v>Error?</v>
      </c>
    </row>
    <row r="728" spans="1:4" x14ac:dyDescent="0.2">
      <c r="A728" s="5">
        <v>667</v>
      </c>
      <c r="B728" s="138">
        <f>'Expenditures 15-22'!C44</f>
        <v>1185483</v>
      </c>
      <c r="D728" s="2" t="str">
        <f t="shared" si="10"/>
        <v>Error?</v>
      </c>
    </row>
    <row r="729" spans="1:4" x14ac:dyDescent="0.2">
      <c r="A729" s="5">
        <v>668</v>
      </c>
      <c r="B729" s="138">
        <f>'Expenditures 15-22'!C45</f>
        <v>703812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1889295</v>
      </c>
      <c r="C731" s="2" t="s">
        <v>572</v>
      </c>
      <c r="D731" s="2" t="str">
        <f t="shared" si="10"/>
        <v>Error?</v>
      </c>
    </row>
    <row r="732" spans="1:4" x14ac:dyDescent="0.2">
      <c r="A732" s="5">
        <v>671</v>
      </c>
      <c r="B732" s="138">
        <f>'Expenditures 15-22'!C49</f>
        <v>611382</v>
      </c>
      <c r="D732" s="2" t="str">
        <f t="shared" si="10"/>
        <v>Error?</v>
      </c>
    </row>
    <row r="733" spans="1:4" x14ac:dyDescent="0.2">
      <c r="A733" s="5">
        <v>672</v>
      </c>
      <c r="B733" s="138">
        <f>'Expenditures 15-22'!C50</f>
        <v>398989</v>
      </c>
      <c r="D733" s="2" t="str">
        <f t="shared" si="10"/>
        <v>Error?</v>
      </c>
    </row>
    <row r="734" spans="1:4" x14ac:dyDescent="0.2">
      <c r="A734" s="5">
        <v>673</v>
      </c>
      <c r="B734" s="138">
        <f>'Expenditures 15-22'!C53</f>
        <v>1010371</v>
      </c>
      <c r="C734" s="2" t="s">
        <v>572</v>
      </c>
      <c r="D734" s="2" t="str">
        <f t="shared" si="10"/>
        <v>Error?</v>
      </c>
    </row>
    <row r="735" spans="1:4" x14ac:dyDescent="0.2">
      <c r="A735" s="5">
        <v>674</v>
      </c>
      <c r="B735" s="138">
        <f>'Expenditures 15-22'!C55</f>
        <v>2315538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2315538</v>
      </c>
      <c r="C737" s="2" t="s">
        <v>572</v>
      </c>
      <c r="D737" s="2" t="str">
        <f t="shared" si="10"/>
        <v>Error?</v>
      </c>
    </row>
    <row r="738" spans="1:4" x14ac:dyDescent="0.2">
      <c r="A738" s="5">
        <v>677</v>
      </c>
      <c r="B738" s="138">
        <f>'Expenditures 15-22'!C59</f>
        <v>445879</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445879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147923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147923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9087165</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32785164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1902947</v>
      </c>
      <c r="D763" s="2" t="str">
        <f t="shared" si="10"/>
        <v>Error?</v>
      </c>
    </row>
    <row r="764" spans="1:4" x14ac:dyDescent="0.2">
      <c r="A764" s="5">
        <v>703</v>
      </c>
      <c r="B764" s="138">
        <f>'Expenditures 15-22'!D16</f>
        <v>26093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299768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3178758</v>
      </c>
      <c r="C778" s="2" t="s">
        <v>572</v>
      </c>
      <c r="D778" s="2" t="str">
        <f t="shared" si="11"/>
        <v>Error?</v>
      </c>
    </row>
    <row r="779" spans="1:4" x14ac:dyDescent="0.2">
      <c r="A779" s="5">
        <v>718</v>
      </c>
      <c r="B779" s="138">
        <f>'Expenditures 15-22'!D36</f>
        <v>69583</v>
      </c>
      <c r="D779" s="2" t="str">
        <f t="shared" si="11"/>
        <v>Error?</v>
      </c>
    </row>
    <row r="780" spans="1:4" x14ac:dyDescent="0.2">
      <c r="A780" s="5">
        <v>719</v>
      </c>
      <c r="B780" s="138">
        <f>'Expenditures 15-22'!D37</f>
        <v>60472</v>
      </c>
      <c r="D780" s="2" t="str">
        <f t="shared" si="11"/>
        <v>Error?</v>
      </c>
    </row>
    <row r="781" spans="1:4" x14ac:dyDescent="0.2">
      <c r="A781" s="5">
        <v>720</v>
      </c>
      <c r="B781" s="138">
        <f>'Expenditures 15-22'!D38</f>
        <v>47458</v>
      </c>
      <c r="D781" s="2" t="str">
        <f t="shared" si="11"/>
        <v>Error?</v>
      </c>
    </row>
    <row r="782" spans="1:4" x14ac:dyDescent="0.2">
      <c r="A782" s="5">
        <v>721</v>
      </c>
      <c r="B782" s="138">
        <f>'Expenditures 15-22'!D39</f>
        <v>58134</v>
      </c>
      <c r="D782" s="2" t="str">
        <f t="shared" si="11"/>
        <v>Error?</v>
      </c>
    </row>
    <row r="783" spans="1:4" x14ac:dyDescent="0.2">
      <c r="A783" s="5">
        <v>722</v>
      </c>
      <c r="B783" s="138">
        <f>'Expenditures 15-22'!D40</f>
        <v>68978</v>
      </c>
      <c r="D783" s="2" t="str">
        <f t="shared" si="11"/>
        <v>Error?</v>
      </c>
    </row>
    <row r="784" spans="1:4" x14ac:dyDescent="0.2">
      <c r="A784" s="5">
        <v>723</v>
      </c>
      <c r="B784" s="138">
        <f>'Expenditures 15-22'!D41</f>
        <v>35515</v>
      </c>
      <c r="D784" s="2" t="str">
        <f t="shared" si="11"/>
        <v>Error?</v>
      </c>
    </row>
    <row r="785" spans="1:4" x14ac:dyDescent="0.2">
      <c r="A785" s="5">
        <v>724</v>
      </c>
      <c r="B785" s="138">
        <f>'Expenditures 15-22'!D42</f>
        <v>340140</v>
      </c>
      <c r="C785" s="2" t="s">
        <v>572</v>
      </c>
      <c r="D785" s="2" t="str">
        <f t="shared" si="11"/>
        <v>Error?</v>
      </c>
    </row>
    <row r="786" spans="1:4" x14ac:dyDescent="0.2">
      <c r="A786" s="5">
        <v>725</v>
      </c>
      <c r="B786" s="138">
        <f>'Expenditures 15-22'!D44</f>
        <v>645322</v>
      </c>
      <c r="D786" s="2" t="str">
        <f t="shared" si="11"/>
        <v>Error?</v>
      </c>
    </row>
    <row r="787" spans="1:4" x14ac:dyDescent="0.2">
      <c r="A787" s="5">
        <v>726</v>
      </c>
      <c r="B787" s="138">
        <f>'Expenditures 15-22'!D45</f>
        <v>157467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802789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35461</v>
      </c>
      <c r="D791" s="2" t="str">
        <f t="shared" si="11"/>
        <v>Error?</v>
      </c>
    </row>
    <row r="792" spans="1:4" x14ac:dyDescent="0.2">
      <c r="A792" s="5">
        <v>731</v>
      </c>
      <c r="B792" s="138">
        <f>'Expenditures 15-22'!D53</f>
        <v>35461</v>
      </c>
      <c r="C792" s="2" t="s">
        <v>572</v>
      </c>
      <c r="D792" s="2" t="str">
        <f t="shared" si="11"/>
        <v>Error?</v>
      </c>
    </row>
    <row r="793" spans="1:4" x14ac:dyDescent="0.2">
      <c r="A793" s="5">
        <v>732</v>
      </c>
      <c r="B793" s="138">
        <f>'Expenditures 15-22'!D55</f>
        <v>388199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388199</v>
      </c>
      <c r="C795" s="2" t="s">
        <v>572</v>
      </c>
      <c r="D795" s="2" t="str">
        <f t="shared" si="11"/>
        <v>Error?</v>
      </c>
    </row>
    <row r="796" spans="1:4" x14ac:dyDescent="0.2">
      <c r="A796" s="5">
        <v>735</v>
      </c>
      <c r="B796" s="138">
        <f>'Expenditures 15-22'!D59</f>
        <v>42970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42970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9313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9313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1618872</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4797630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64213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98486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8063</v>
      </c>
      <c r="D833" s="2" t="str">
        <f t="shared" si="12"/>
        <v>Error?</v>
      </c>
    </row>
    <row r="834" spans="1:4" x14ac:dyDescent="0.2">
      <c r="A834" s="5">
        <v>773</v>
      </c>
      <c r="B834" s="138">
        <f>'Expenditures 15-22'!E14</f>
        <v>76711</v>
      </c>
      <c r="D834" s="2" t="str">
        <f t="shared" si="12"/>
        <v>Error?</v>
      </c>
    </row>
    <row r="835" spans="1:4" x14ac:dyDescent="0.2">
      <c r="A835" s="5">
        <v>774</v>
      </c>
      <c r="B835" s="138">
        <f>'Expenditures 15-22'!E15</f>
        <v>2030</v>
      </c>
      <c r="D835" s="2" t="str">
        <f t="shared" si="12"/>
        <v>Error?</v>
      </c>
    </row>
    <row r="836" spans="1:4" x14ac:dyDescent="0.2">
      <c r="A836" s="5">
        <v>775</v>
      </c>
      <c r="B836" s="138">
        <f>'Expenditures 15-22'!E33</f>
        <v>692891</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669675</v>
      </c>
      <c r="D842" s="2" t="str">
        <f t="shared" si="12"/>
        <v>Error?</v>
      </c>
    </row>
    <row r="843" spans="1:4" x14ac:dyDescent="0.2">
      <c r="A843" s="5">
        <v>782</v>
      </c>
      <c r="B843" s="138">
        <f>'Expenditures 15-22'!E42</f>
        <v>669675</v>
      </c>
      <c r="C843" s="2" t="s">
        <v>572</v>
      </c>
      <c r="D843" s="2" t="str">
        <f t="shared" si="12"/>
        <v>Error?</v>
      </c>
    </row>
    <row r="844" spans="1:4" x14ac:dyDescent="0.2">
      <c r="A844" s="5">
        <v>783</v>
      </c>
      <c r="B844" s="138">
        <f>'Expenditures 15-22'!E44</f>
        <v>81143</v>
      </c>
      <c r="D844" s="2" t="str">
        <f t="shared" si="12"/>
        <v>Error?</v>
      </c>
    </row>
    <row r="845" spans="1:4" x14ac:dyDescent="0.2">
      <c r="A845" s="5">
        <v>784</v>
      </c>
      <c r="B845" s="138">
        <f>'Expenditures 15-22'!E45</f>
        <v>2026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83169</v>
      </c>
      <c r="C847" s="2" t="s">
        <v>572</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2232</v>
      </c>
      <c r="D849" s="2" t="str">
        <f t="shared" si="12"/>
        <v>Error?</v>
      </c>
    </row>
    <row r="850" spans="1:4" x14ac:dyDescent="0.2">
      <c r="A850" s="5">
        <v>789</v>
      </c>
      <c r="B850" s="138">
        <f>'Expenditures 15-22'!E53</f>
        <v>2232</v>
      </c>
      <c r="C850" s="2" t="s">
        <v>572</v>
      </c>
      <c r="D850" s="2" t="str">
        <f t="shared" si="12"/>
        <v>Error?</v>
      </c>
    </row>
    <row r="851" spans="1:4" x14ac:dyDescent="0.2">
      <c r="A851" s="5">
        <v>790</v>
      </c>
      <c r="B851" s="138">
        <f>'Expenditures 15-22'!E55</f>
        <v>12935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12935</v>
      </c>
      <c r="C853" s="2" t="s">
        <v>572</v>
      </c>
      <c r="D853" s="2" t="str">
        <f t="shared" si="12"/>
        <v>Error?</v>
      </c>
    </row>
    <row r="854" spans="1:4" x14ac:dyDescent="0.2">
      <c r="A854" s="5">
        <v>793</v>
      </c>
      <c r="B854" s="138">
        <f>'Expenditures 15-22'!E59</f>
        <v>4372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770068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774440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2952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2952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1545403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2238294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325394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42243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10607</v>
      </c>
      <c r="D891" s="2" t="str">
        <f t="shared" si="12"/>
        <v>Error?</v>
      </c>
    </row>
    <row r="892" spans="1:4" x14ac:dyDescent="0.2">
      <c r="A892" s="5">
        <v>831</v>
      </c>
      <c r="B892" s="138">
        <f>'Expenditures 15-22'!F14</f>
        <v>79185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1450318</v>
      </c>
      <c r="C894" s="2" t="s">
        <v>572</v>
      </c>
      <c r="D894" s="2" t="str">
        <f t="shared" si="12"/>
        <v>Error?</v>
      </c>
    </row>
    <row r="895" spans="1:4" x14ac:dyDescent="0.2">
      <c r="A895" s="5">
        <v>834</v>
      </c>
      <c r="B895" s="138">
        <f>'Expenditures 15-22'!F36</f>
        <v>1822</v>
      </c>
      <c r="D895" s="2" t="str">
        <f t="shared" ref="D895:D958" si="13">IF(ISBLANK(B895),"OK",IF(A895-B895=0,"OK","Error?"))</f>
        <v>Error?</v>
      </c>
    </row>
    <row r="896" spans="1:4" x14ac:dyDescent="0.2">
      <c r="A896" s="5">
        <v>835</v>
      </c>
      <c r="B896" s="138">
        <f>'Expenditures 15-22'!F37</f>
        <v>4513</v>
      </c>
      <c r="D896" s="2" t="str">
        <f t="shared" si="13"/>
        <v>Error?</v>
      </c>
    </row>
    <row r="897" spans="1:4" x14ac:dyDescent="0.2">
      <c r="A897" s="5">
        <v>836</v>
      </c>
      <c r="B897" s="138">
        <f>'Expenditures 15-22'!F38</f>
        <v>5206</v>
      </c>
      <c r="D897" s="2" t="str">
        <f t="shared" si="13"/>
        <v>Error?</v>
      </c>
    </row>
    <row r="898" spans="1:4" x14ac:dyDescent="0.2">
      <c r="A898" s="5">
        <v>837</v>
      </c>
      <c r="B898" s="138">
        <f>'Expenditures 15-22'!F39</f>
        <v>4814</v>
      </c>
      <c r="D898" s="2" t="str">
        <f t="shared" si="13"/>
        <v>Error?</v>
      </c>
    </row>
    <row r="899" spans="1:4" x14ac:dyDescent="0.2">
      <c r="A899" s="5">
        <v>838</v>
      </c>
      <c r="B899" s="138">
        <f>'Expenditures 15-22'!F40</f>
        <v>3126</v>
      </c>
      <c r="D899" s="2" t="str">
        <f t="shared" si="13"/>
        <v>Error?</v>
      </c>
    </row>
    <row r="900" spans="1:4" x14ac:dyDescent="0.2">
      <c r="A900" s="5">
        <v>839</v>
      </c>
      <c r="B900" s="138">
        <f>'Expenditures 15-22'!F41</f>
        <v>939887</v>
      </c>
      <c r="D900" s="2" t="str">
        <f t="shared" si="13"/>
        <v>Error?</v>
      </c>
    </row>
    <row r="901" spans="1:4" x14ac:dyDescent="0.2">
      <c r="A901" s="5">
        <v>840</v>
      </c>
      <c r="B901" s="138">
        <f>'Expenditures 15-22'!F42</f>
        <v>959368</v>
      </c>
      <c r="C901" s="2" t="s">
        <v>572</v>
      </c>
      <c r="D901" s="2" t="str">
        <f t="shared" si="13"/>
        <v>Error?</v>
      </c>
    </row>
    <row r="902" spans="1:4" x14ac:dyDescent="0.2">
      <c r="A902" s="5">
        <v>841</v>
      </c>
      <c r="B902" s="138">
        <f>'Expenditures 15-22'!F44</f>
        <v>216561</v>
      </c>
      <c r="D902" s="2" t="str">
        <f t="shared" si="13"/>
        <v>Error?</v>
      </c>
    </row>
    <row r="903" spans="1:4" x14ac:dyDescent="0.2">
      <c r="A903" s="5">
        <v>842</v>
      </c>
      <c r="B903" s="138">
        <f>'Expenditures 15-22'!F45</f>
        <v>42472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259033</v>
      </c>
      <c r="C905" s="2" t="s">
        <v>572</v>
      </c>
      <c r="D905" s="2" t="str">
        <f t="shared" si="13"/>
        <v>Error?</v>
      </c>
    </row>
    <row r="906" spans="1:4" x14ac:dyDescent="0.2">
      <c r="A906" s="5">
        <v>845</v>
      </c>
      <c r="B906" s="138">
        <f>'Expenditures 15-22'!F49</f>
        <v>8026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8026</v>
      </c>
      <c r="C908" s="2" t="s">
        <v>572</v>
      </c>
      <c r="D908" s="2" t="str">
        <f t="shared" si="13"/>
        <v>Error?</v>
      </c>
    </row>
    <row r="909" spans="1:4" x14ac:dyDescent="0.2">
      <c r="A909" s="5">
        <v>848</v>
      </c>
      <c r="B909" s="138">
        <f>'Expenditures 15-22'!F55</f>
        <v>47367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47367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15051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15051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1288845</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2739163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2896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127190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3649</v>
      </c>
      <c r="D958" s="2" t="str">
        <f t="shared" si="13"/>
        <v>Error?</v>
      </c>
    </row>
    <row r="959" spans="1:4" x14ac:dyDescent="0.2">
      <c r="A959" s="5">
        <v>898</v>
      </c>
      <c r="B959" s="138">
        <f>'Expenditures 15-22'!G42</f>
        <v>3649</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1015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1015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4664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131854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34953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51011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22836</v>
      </c>
      <c r="D1016" s="2" t="str">
        <f t="shared" si="14"/>
        <v>Error?</v>
      </c>
    </row>
    <row r="1017" spans="1:4" x14ac:dyDescent="0.2">
      <c r="A1017" s="5">
        <v>956</v>
      </c>
      <c r="B1017" s="138">
        <f>'Expenditures 15-22'!H42</f>
        <v>22836</v>
      </c>
      <c r="C1017" s="2" t="s">
        <v>572</v>
      </c>
      <c r="D1017" s="2" t="str">
        <f t="shared" si="14"/>
        <v>Error?</v>
      </c>
    </row>
    <row r="1018" spans="1:4" x14ac:dyDescent="0.2">
      <c r="A1018" s="5">
        <v>957</v>
      </c>
      <c r="B1018" s="138">
        <f>'Expenditures 15-22'!H44</f>
        <v>5264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5264</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2220</v>
      </c>
      <c r="D1023" s="2" t="str">
        <f t="shared" ref="D1023:D1086" si="15">IF(ISBLANK(B1023),"OK",IF(A1023-B1023=0,"OK","Error?"))</f>
        <v>Error?</v>
      </c>
    </row>
    <row r="1024" spans="1:4" x14ac:dyDescent="0.2">
      <c r="A1024" s="5">
        <v>963</v>
      </c>
      <c r="B1024" s="138">
        <f>'Expenditures 15-22'!H53</f>
        <v>2220</v>
      </c>
      <c r="C1024" s="2" t="s">
        <v>572</v>
      </c>
      <c r="D1024" s="2" t="str">
        <f t="shared" si="15"/>
        <v>Error?</v>
      </c>
    </row>
    <row r="1025" spans="1:4" x14ac:dyDescent="0.2">
      <c r="A1025" s="5">
        <v>964</v>
      </c>
      <c r="B1025" s="138">
        <f>'Expenditures 15-22'!H55</f>
        <v>26636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26636</v>
      </c>
      <c r="C1027" s="2" t="s">
        <v>572</v>
      </c>
      <c r="D1027" s="2" t="str">
        <f t="shared" si="15"/>
        <v>Error?</v>
      </c>
    </row>
    <row r="1028" spans="1:4" x14ac:dyDescent="0.2">
      <c r="A1028" s="5">
        <v>967</v>
      </c>
      <c r="B1028" s="138">
        <f>'Expenditures 15-22'!H59</f>
        <v>1055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2842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551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551</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60349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5003399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5114759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17175235</v>
      </c>
      <c r="C1093" s="2" t="s">
        <v>572</v>
      </c>
      <c r="D1093" s="2" t="str">
        <f t="shared" si="16"/>
        <v>Error?</v>
      </c>
    </row>
    <row r="1094" spans="1:4" x14ac:dyDescent="0.2">
      <c r="A1094" s="5">
        <v>1033</v>
      </c>
      <c r="B1094" s="138">
        <f>'Expenditures 15-22'!K16</f>
        <v>322625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2128357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48338</v>
      </c>
      <c r="C1105" s="2" t="s">
        <v>572</v>
      </c>
      <c r="D1105" s="2" t="str">
        <f t="shared" si="16"/>
        <v>Error?</v>
      </c>
    </row>
    <row r="1106" spans="1:4" x14ac:dyDescent="0.2">
      <c r="A1106" s="5">
        <v>1045</v>
      </c>
      <c r="B1106" s="138">
        <f>'Expenditures 15-22'!K14</f>
        <v>1368330</v>
      </c>
      <c r="C1106" s="2" t="s">
        <v>572</v>
      </c>
      <c r="D1106" s="2" t="str">
        <f t="shared" si="16"/>
        <v>Error?</v>
      </c>
    </row>
    <row r="1107" spans="1:4" x14ac:dyDescent="0.2">
      <c r="A1107" s="5">
        <v>1046</v>
      </c>
      <c r="B1107" s="138">
        <f>'Expenditures 15-22'!K15</f>
        <v>162379</v>
      </c>
      <c r="C1107" s="2" t="s">
        <v>572</v>
      </c>
      <c r="D1107" s="2" t="str">
        <f t="shared" si="16"/>
        <v>Error?</v>
      </c>
    </row>
    <row r="1108" spans="1:4" x14ac:dyDescent="0.2">
      <c r="A1108" s="5">
        <v>1047</v>
      </c>
      <c r="B1108" s="138">
        <f>'Expenditures 15-22'!K33</f>
        <v>29286926</v>
      </c>
      <c r="C1108" s="2" t="s">
        <v>572</v>
      </c>
      <c r="D1108" s="2" t="str">
        <f t="shared" si="16"/>
        <v>Error?</v>
      </c>
    </row>
    <row r="1109" spans="1:4" x14ac:dyDescent="0.2">
      <c r="A1109" s="5">
        <v>1048</v>
      </c>
      <c r="B1109" s="138">
        <f>'Expenditures 15-22'!K36</f>
        <v>688113</v>
      </c>
      <c r="C1109" s="2" t="s">
        <v>572</v>
      </c>
      <c r="D1109" s="2" t="str">
        <f t="shared" si="16"/>
        <v>Error?</v>
      </c>
    </row>
    <row r="1110" spans="1:4" x14ac:dyDescent="0.2">
      <c r="A1110" s="5">
        <v>1049</v>
      </c>
      <c r="B1110" s="138">
        <f>'Expenditures 15-22'!K37</f>
        <v>658683</v>
      </c>
      <c r="C1110" s="2" t="s">
        <v>572</v>
      </c>
      <c r="D1110" s="2" t="str">
        <f t="shared" si="16"/>
        <v>Error?</v>
      </c>
    </row>
    <row r="1111" spans="1:4" x14ac:dyDescent="0.2">
      <c r="A1111" s="5">
        <v>1050</v>
      </c>
      <c r="B1111" s="138">
        <f>'Expenditures 15-22'!K38</f>
        <v>275703</v>
      </c>
      <c r="C1111" s="2" t="s">
        <v>572</v>
      </c>
      <c r="D1111" s="2" t="str">
        <f t="shared" si="16"/>
        <v>Error?</v>
      </c>
    </row>
    <row r="1112" spans="1:4" x14ac:dyDescent="0.2">
      <c r="A1112" s="5">
        <v>1051</v>
      </c>
      <c r="B1112" s="138">
        <f>'Expenditures 15-22'!K39</f>
        <v>548414</v>
      </c>
      <c r="C1112" s="2" t="s">
        <v>572</v>
      </c>
      <c r="D1112" s="2" t="str">
        <f t="shared" si="16"/>
        <v>Error?</v>
      </c>
    </row>
    <row r="1113" spans="1:4" x14ac:dyDescent="0.2">
      <c r="A1113" s="5">
        <v>1052</v>
      </c>
      <c r="B1113" s="138">
        <f>'Expenditures 15-22'!K40</f>
        <v>653050</v>
      </c>
      <c r="C1113" s="2" t="s">
        <v>572</v>
      </c>
      <c r="D1113" s="2" t="str">
        <f t="shared" si="16"/>
        <v>Error?</v>
      </c>
    </row>
    <row r="1114" spans="1:4" x14ac:dyDescent="0.2">
      <c r="A1114" s="5">
        <v>1053</v>
      </c>
      <c r="B1114" s="138">
        <f>'Expenditures 15-22'!K41</f>
        <v>2453085</v>
      </c>
      <c r="C1114" s="2" t="s">
        <v>572</v>
      </c>
      <c r="D1114" s="2" t="str">
        <f t="shared" si="16"/>
        <v>Error?</v>
      </c>
    </row>
    <row r="1115" spans="1:4" x14ac:dyDescent="0.2">
      <c r="A1115" s="5">
        <v>1054</v>
      </c>
      <c r="B1115" s="138">
        <f>'Expenditures 15-22'!K42</f>
        <v>5277048</v>
      </c>
      <c r="C1115" s="2" t="s">
        <v>572</v>
      </c>
      <c r="D1115" s="2" t="str">
        <f t="shared" si="16"/>
        <v>Error?</v>
      </c>
    </row>
    <row r="1116" spans="1:4" x14ac:dyDescent="0.2">
      <c r="A1116" s="5">
        <v>1055</v>
      </c>
      <c r="B1116" s="138">
        <f>'Expenditures 15-22'!K44</f>
        <v>2134336</v>
      </c>
      <c r="C1116" s="2" t="s">
        <v>572</v>
      </c>
      <c r="D1116" s="2" t="str">
        <f t="shared" si="16"/>
        <v>Error?</v>
      </c>
    </row>
    <row r="1117" spans="1:4" x14ac:dyDescent="0.2">
      <c r="A1117" s="5">
        <v>1056</v>
      </c>
      <c r="B1117" s="138">
        <f>'Expenditures 15-22'!K45</f>
        <v>905777</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3040113</v>
      </c>
      <c r="C1119" s="2" t="s">
        <v>572</v>
      </c>
      <c r="D1119" s="2" t="str">
        <f t="shared" si="16"/>
        <v>Error?</v>
      </c>
    </row>
    <row r="1120" spans="1:4" x14ac:dyDescent="0.2">
      <c r="A1120" s="5">
        <v>1059</v>
      </c>
      <c r="B1120" s="138">
        <f>'Expenditures 15-22'!K49</f>
        <v>619408</v>
      </c>
      <c r="C1120" s="2" t="s">
        <v>572</v>
      </c>
      <c r="D1120" s="2" t="str">
        <f t="shared" si="16"/>
        <v>Error?</v>
      </c>
    </row>
    <row r="1121" spans="1:4" x14ac:dyDescent="0.2">
      <c r="A1121" s="5">
        <v>1060</v>
      </c>
      <c r="B1121" s="138">
        <f>'Expenditures 15-22'!K50</f>
        <v>438902</v>
      </c>
      <c r="C1121" s="2" t="s">
        <v>572</v>
      </c>
      <c r="D1121" s="2" t="str">
        <f t="shared" si="16"/>
        <v>Error?</v>
      </c>
    </row>
    <row r="1122" spans="1:4" x14ac:dyDescent="0.2">
      <c r="A1122" s="5">
        <v>1061</v>
      </c>
      <c r="B1122" s="138">
        <f>'Expenditures 15-22'!K53</f>
        <v>1058310</v>
      </c>
      <c r="C1122" s="2" t="s">
        <v>572</v>
      </c>
      <c r="D1122" s="2" t="str">
        <f t="shared" si="16"/>
        <v>Error?</v>
      </c>
    </row>
    <row r="1123" spans="1:4" x14ac:dyDescent="0.2">
      <c r="A1123" s="5">
        <v>1062</v>
      </c>
      <c r="B1123" s="138">
        <f>'Expenditures 15-22'!K55</f>
        <v>2790675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2790675</v>
      </c>
      <c r="C1125" s="2" t="s">
        <v>572</v>
      </c>
      <c r="D1125" s="2" t="str">
        <f t="shared" si="16"/>
        <v>Error?</v>
      </c>
    </row>
    <row r="1126" spans="1:4" x14ac:dyDescent="0.2">
      <c r="A1126" s="5">
        <v>1065</v>
      </c>
      <c r="B1126" s="138">
        <f>'Expenditures 15-22'!K59</f>
        <v>494276</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809212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1303488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160739</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160739</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13630373</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5003399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47920698</v>
      </c>
      <c r="C1152" s="2" t="s">
        <v>572</v>
      </c>
      <c r="D1152" s="2" t="str">
        <f t="shared" si="17"/>
        <v>Error?</v>
      </c>
    </row>
    <row r="1153" spans="1:4" x14ac:dyDescent="0.2">
      <c r="A1153" s="5">
        <v>1092</v>
      </c>
      <c r="B1153" s="138">
        <f>'Expenditures 15-22'!K115</f>
        <v>665631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2067810</v>
      </c>
      <c r="D1221" s="2" t="str">
        <f t="shared" si="18"/>
        <v>Error?</v>
      </c>
    </row>
    <row r="1222" spans="1:4" x14ac:dyDescent="0.2">
      <c r="A1222" s="10">
        <v>1161</v>
      </c>
      <c r="D1222" s="2" t="str">
        <f t="shared" si="18"/>
        <v>OK</v>
      </c>
    </row>
    <row r="1223" spans="1:4" x14ac:dyDescent="0.2">
      <c r="A1223" s="5">
        <v>1162</v>
      </c>
      <c r="B1223" s="138">
        <f>'Expenditures 15-22'!C127</f>
        <v>2067810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2067810</v>
      </c>
      <c r="C1225" s="2" t="s">
        <v>572</v>
      </c>
      <c r="D1225" s="2" t="str">
        <f t="shared" si="18"/>
        <v>Error?</v>
      </c>
    </row>
    <row r="1226" spans="1:4" x14ac:dyDescent="0.2">
      <c r="A1226" s="5">
        <v>1165</v>
      </c>
      <c r="B1226" s="138">
        <f>'Expenditures 15-22'!C151</f>
        <v>2067810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373813</v>
      </c>
      <c r="D1229" s="2" t="str">
        <f t="shared" si="18"/>
        <v>Error?</v>
      </c>
    </row>
    <row r="1230" spans="1:4" x14ac:dyDescent="0.2">
      <c r="A1230" s="10">
        <v>1169</v>
      </c>
      <c r="D1230" s="2" t="str">
        <f t="shared" si="18"/>
        <v>OK</v>
      </c>
    </row>
    <row r="1231" spans="1:4" x14ac:dyDescent="0.2">
      <c r="A1231" s="5">
        <v>1170</v>
      </c>
      <c r="B1231" s="138">
        <f>'Expenditures 15-22'!D127</f>
        <v>373813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373813</v>
      </c>
      <c r="C1233" s="2" t="s">
        <v>572</v>
      </c>
      <c r="D1233" s="2" t="str">
        <f t="shared" si="18"/>
        <v>Error?</v>
      </c>
    </row>
    <row r="1234" spans="1:4" x14ac:dyDescent="0.2">
      <c r="A1234" s="5">
        <v>1173</v>
      </c>
      <c r="B1234" s="138">
        <f>'Expenditures 15-22'!D151</f>
        <v>373813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1757698</v>
      </c>
      <c r="D1237" s="2" t="str">
        <f t="shared" si="18"/>
        <v>Error?</v>
      </c>
    </row>
    <row r="1238" spans="1:4" x14ac:dyDescent="0.2">
      <c r="A1238" s="10">
        <v>1177</v>
      </c>
      <c r="D1238" s="2" t="str">
        <f t="shared" si="18"/>
        <v>OK</v>
      </c>
    </row>
    <row r="1239" spans="1:4" x14ac:dyDescent="0.2">
      <c r="A1239" s="5">
        <v>1178</v>
      </c>
      <c r="B1239" s="138">
        <f>'Expenditures 15-22'!E127</f>
        <v>1757698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1757698</v>
      </c>
      <c r="C1241" s="2" t="s">
        <v>572</v>
      </c>
      <c r="D1241" s="2" t="str">
        <f t="shared" si="18"/>
        <v>Error?</v>
      </c>
    </row>
    <row r="1242" spans="1:4" x14ac:dyDescent="0.2">
      <c r="A1242" s="5">
        <v>1181</v>
      </c>
      <c r="B1242" s="138">
        <f>'Expenditures 15-22'!E151</f>
        <v>1757698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366577</v>
      </c>
      <c r="D1245" s="2" t="str">
        <f t="shared" si="18"/>
        <v>Error?</v>
      </c>
    </row>
    <row r="1246" spans="1:4" x14ac:dyDescent="0.2">
      <c r="A1246" s="10">
        <v>1185</v>
      </c>
      <c r="D1246" s="2" t="str">
        <f t="shared" si="18"/>
        <v>OK</v>
      </c>
    </row>
    <row r="1247" spans="1:4" x14ac:dyDescent="0.2">
      <c r="A1247" s="5">
        <v>1186</v>
      </c>
      <c r="B1247" s="138">
        <f>'Expenditures 15-22'!F127</f>
        <v>366577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366577</v>
      </c>
      <c r="C1249" s="2" t="s">
        <v>572</v>
      </c>
      <c r="D1249" s="2" t="str">
        <f t="shared" si="18"/>
        <v>Error?</v>
      </c>
    </row>
    <row r="1250" spans="1:4" x14ac:dyDescent="0.2">
      <c r="A1250" s="5">
        <v>1189</v>
      </c>
      <c r="B1250" s="138">
        <f>'Expenditures 15-22'!F151</f>
        <v>366577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28861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28861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28861</v>
      </c>
      <c r="C1258" s="2" t="s">
        <v>572</v>
      </c>
      <c r="D1258" s="2" t="str">
        <f t="shared" si="18"/>
        <v>Error?</v>
      </c>
    </row>
    <row r="1259" spans="1:4" x14ac:dyDescent="0.2">
      <c r="A1259" s="5">
        <v>1198</v>
      </c>
      <c r="B1259" s="138">
        <f>'Expenditures 15-22'!G151</f>
        <v>28861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115195</v>
      </c>
      <c r="D1262" s="2" t="str">
        <f t="shared" si="18"/>
        <v>Error?</v>
      </c>
    </row>
    <row r="1263" spans="1:4" x14ac:dyDescent="0.2">
      <c r="A1263" s="10">
        <v>1202</v>
      </c>
      <c r="D1263" s="2" t="str">
        <f t="shared" si="18"/>
        <v>OK</v>
      </c>
    </row>
    <row r="1264" spans="1:4" x14ac:dyDescent="0.2">
      <c r="A1264" s="5">
        <v>1203</v>
      </c>
      <c r="B1264" s="138">
        <f>'Expenditures 15-22'!H127</f>
        <v>115195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115195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115195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4714682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4714682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4714682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4714682</v>
      </c>
      <c r="C1288" s="2" t="s">
        <v>572</v>
      </c>
      <c r="D1288" s="2" t="str">
        <f t="shared" si="19"/>
        <v>Error?</v>
      </c>
    </row>
    <row r="1289" spans="1:4" x14ac:dyDescent="0.2">
      <c r="A1289" s="5">
        <v>1228</v>
      </c>
      <c r="B1289" s="138">
        <f>'Expenditures 15-22'!K152</f>
        <v>-184003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3051786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8745000</v>
      </c>
      <c r="D1315" s="2" t="str">
        <f t="shared" si="19"/>
        <v>Error?</v>
      </c>
    </row>
    <row r="1316" spans="1:4" x14ac:dyDescent="0.2">
      <c r="A1316" s="5">
        <v>1255</v>
      </c>
      <c r="B1316" s="138">
        <f>'Expenditures 15-22'!H171</f>
        <v>184992</v>
      </c>
      <c r="D1316" s="2" t="str">
        <f t="shared" si="19"/>
        <v>Error?</v>
      </c>
    </row>
    <row r="1317" spans="1:4" x14ac:dyDescent="0.2">
      <c r="A1317" s="5">
        <v>1256</v>
      </c>
      <c r="B1317" s="138">
        <f>'Expenditures 15-22'!H172</f>
        <v>11981778</v>
      </c>
      <c r="C1317" s="2" t="s">
        <v>572</v>
      </c>
      <c r="D1317" s="2" t="str">
        <f t="shared" si="19"/>
        <v>Error?</v>
      </c>
    </row>
    <row r="1318" spans="1:4" x14ac:dyDescent="0.2">
      <c r="A1318" s="5">
        <v>1257</v>
      </c>
      <c r="B1318" s="138">
        <f>'Expenditures 15-22'!H174</f>
        <v>12078638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3051786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8745000</v>
      </c>
      <c r="C1329" s="2" t="s">
        <v>572</v>
      </c>
      <c r="D1329" s="2" t="str">
        <f t="shared" si="19"/>
        <v>Error?</v>
      </c>
    </row>
    <row r="1330" spans="1:4" x14ac:dyDescent="0.2">
      <c r="A1330" s="5">
        <v>1269</v>
      </c>
      <c r="B1330" s="138">
        <f>'Expenditures 15-22'!K171</f>
        <v>184992</v>
      </c>
      <c r="C1330" s="2" t="s">
        <v>572</v>
      </c>
      <c r="D1330" s="2" t="str">
        <f t="shared" si="19"/>
        <v>Error?</v>
      </c>
    </row>
    <row r="1331" spans="1:4" x14ac:dyDescent="0.2">
      <c r="A1331" s="5">
        <v>1270</v>
      </c>
      <c r="B1331" s="138">
        <f>'Expenditures 15-22'!K172</f>
        <v>11981778</v>
      </c>
      <c r="C1331" s="2" t="s">
        <v>572</v>
      </c>
      <c r="D1331" s="2" t="str">
        <f t="shared" si="19"/>
        <v>Error?</v>
      </c>
    </row>
    <row r="1332" spans="1:4" x14ac:dyDescent="0.2">
      <c r="A1332" s="5">
        <v>1271</v>
      </c>
      <c r="B1332" s="138">
        <f>'Expenditures 15-22'!K174</f>
        <v>12078638</v>
      </c>
      <c r="C1332" s="2" t="s">
        <v>572</v>
      </c>
      <c r="D1332" s="2" t="str">
        <f t="shared" si="19"/>
        <v>Error?</v>
      </c>
    </row>
    <row r="1333" spans="1:4" x14ac:dyDescent="0.2">
      <c r="A1333" s="5">
        <v>1272</v>
      </c>
      <c r="B1333" s="138">
        <f>'Expenditures 15-22'!K175</f>
        <v>-838702</v>
      </c>
      <c r="C1333" s="2" t="s">
        <v>572</v>
      </c>
      <c r="D1333" s="2" t="str">
        <f t="shared" si="19"/>
        <v>Error?</v>
      </c>
    </row>
    <row r="1334" spans="1:4" x14ac:dyDescent="0.2">
      <c r="A1334" s="10">
        <v>1273</v>
      </c>
      <c r="D1334" s="2" t="str">
        <f t="shared" si="19"/>
        <v>OK</v>
      </c>
    </row>
    <row r="1335" spans="1:4" x14ac:dyDescent="0.2">
      <c r="A1335" s="5">
        <v>1274</v>
      </c>
      <c r="B1335" s="138">
        <f>'Expenditures 15-22'!C182</f>
        <v>2566495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2566495</v>
      </c>
      <c r="C1339" s="2" t="s">
        <v>572</v>
      </c>
      <c r="D1339" s="2" t="str">
        <f t="shared" si="19"/>
        <v>Error?</v>
      </c>
    </row>
    <row r="1340" spans="1:4" x14ac:dyDescent="0.2">
      <c r="A1340" s="5">
        <v>1279</v>
      </c>
      <c r="B1340" s="138">
        <f>'Expenditures 15-22'!C210</f>
        <v>2566495</v>
      </c>
      <c r="C1340" s="2" t="s">
        <v>572</v>
      </c>
      <c r="D1340" s="2" t="str">
        <f t="shared" si="19"/>
        <v>Error?</v>
      </c>
    </row>
    <row r="1341" spans="1:4" x14ac:dyDescent="0.2">
      <c r="A1341" s="5">
        <v>1280</v>
      </c>
      <c r="B1341" s="138">
        <f>'Expenditures 15-22'!D182</f>
        <v>551020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551020</v>
      </c>
      <c r="C1345" s="2" t="s">
        <v>572</v>
      </c>
      <c r="D1345" s="2" t="str">
        <f t="shared" si="20"/>
        <v>Error?</v>
      </c>
    </row>
    <row r="1346" spans="1:4" x14ac:dyDescent="0.2">
      <c r="A1346" s="5">
        <v>1285</v>
      </c>
      <c r="B1346" s="138">
        <f>'Expenditures 15-22'!D210</f>
        <v>551020</v>
      </c>
      <c r="C1346" s="2" t="s">
        <v>572</v>
      </c>
      <c r="D1346" s="2" t="str">
        <f t="shared" si="20"/>
        <v>Error?</v>
      </c>
    </row>
    <row r="1347" spans="1:4" x14ac:dyDescent="0.2">
      <c r="A1347" s="5">
        <v>1286</v>
      </c>
      <c r="B1347" s="138">
        <f>'Expenditures 15-22'!E182</f>
        <v>849112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849112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849112</v>
      </c>
      <c r="C1353" s="2" t="s">
        <v>572</v>
      </c>
      <c r="D1353" s="2" t="str">
        <f t="shared" si="20"/>
        <v>Error?</v>
      </c>
    </row>
    <row r="1354" spans="1:4" x14ac:dyDescent="0.2">
      <c r="A1354" s="5">
        <v>1293</v>
      </c>
      <c r="B1354" s="138">
        <f>'Expenditures 15-22'!F182</f>
        <v>540459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540459</v>
      </c>
      <c r="C1358" s="2" t="s">
        <v>572</v>
      </c>
      <c r="D1358" s="2" t="str">
        <f t="shared" si="20"/>
        <v>Error?</v>
      </c>
    </row>
    <row r="1359" spans="1:4" x14ac:dyDescent="0.2">
      <c r="A1359" s="5">
        <v>1298</v>
      </c>
      <c r="B1359" s="138">
        <f>'Expenditures 15-22'!F210</f>
        <v>540459</v>
      </c>
      <c r="C1359" s="2" t="s">
        <v>572</v>
      </c>
      <c r="D1359" s="2" t="str">
        <f t="shared" si="20"/>
        <v>Error?</v>
      </c>
    </row>
    <row r="1360" spans="1:4" x14ac:dyDescent="0.2">
      <c r="A1360" s="5">
        <v>1299</v>
      </c>
      <c r="B1360" s="138">
        <f>'Expenditures 15-22'!G182</f>
        <v>682171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682171</v>
      </c>
      <c r="C1364" s="2" t="s">
        <v>572</v>
      </c>
      <c r="D1364" s="2" t="str">
        <f t="shared" si="20"/>
        <v>Error?</v>
      </c>
    </row>
    <row r="1365" spans="1:4" x14ac:dyDescent="0.2">
      <c r="A1365" s="5">
        <v>1304</v>
      </c>
      <c r="B1365" s="138">
        <f>'Expenditures 15-22'!G210</f>
        <v>682171</v>
      </c>
      <c r="C1365" s="2" t="s">
        <v>572</v>
      </c>
      <c r="D1365" s="2" t="str">
        <f t="shared" si="20"/>
        <v>Error?</v>
      </c>
    </row>
    <row r="1366" spans="1:4" x14ac:dyDescent="0.2">
      <c r="A1366" s="5">
        <v>1305</v>
      </c>
      <c r="B1366" s="138">
        <f>'Expenditures 15-22'!H182</f>
        <v>2438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2438</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720701</v>
      </c>
      <c r="C1375" s="2" t="s">
        <v>572</v>
      </c>
      <c r="D1375" s="2" t="str">
        <f t="shared" si="20"/>
        <v>Error?</v>
      </c>
    </row>
    <row r="1376" spans="1:4" x14ac:dyDescent="0.2">
      <c r="A1376" s="5">
        <v>1315</v>
      </c>
      <c r="B1376" s="138">
        <f>'Expenditures 15-22'!H210</f>
        <v>723139</v>
      </c>
      <c r="C1376" s="2" t="s">
        <v>572</v>
      </c>
      <c r="D1376" s="2" t="str">
        <f t="shared" si="20"/>
        <v>Error?</v>
      </c>
    </row>
    <row r="1377" spans="1:4" x14ac:dyDescent="0.2">
      <c r="A1377" s="5">
        <v>1316</v>
      </c>
      <c r="B1377" s="138">
        <f>'Expenditures 15-22'!K182</f>
        <v>5194935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5194935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720701</v>
      </c>
      <c r="C1387" s="2" t="s">
        <v>572</v>
      </c>
      <c r="D1387" s="2" t="str">
        <f t="shared" si="20"/>
        <v>Error?</v>
      </c>
    </row>
    <row r="1388" spans="1:4" x14ac:dyDescent="0.2">
      <c r="A1388" s="5">
        <v>1327</v>
      </c>
      <c r="B1388" s="138">
        <f>'Expenditures 15-22'!K210</f>
        <v>5915636</v>
      </c>
      <c r="C1388" s="2" t="s">
        <v>572</v>
      </c>
      <c r="D1388" s="2" t="str">
        <f t="shared" si="20"/>
        <v>Error?</v>
      </c>
    </row>
    <row r="1389" spans="1:4" x14ac:dyDescent="0.2">
      <c r="A1389" s="5">
        <v>1328</v>
      </c>
      <c r="B1389" s="138">
        <f>'Expenditures 15-22'!K211</f>
        <v>-980062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4543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79137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217</v>
      </c>
      <c r="D1407" s="2" t="str">
        <f t="shared" ref="D1407:D1470" si="21">IF(ISBLANK(B1407),"OK",IF(A1407-B1407=0,"OK","Error?"))</f>
        <v>Error?</v>
      </c>
    </row>
    <row r="1408" spans="1:4" x14ac:dyDescent="0.2">
      <c r="A1408" s="5">
        <v>1347</v>
      </c>
      <c r="B1408" s="138">
        <f>'Expenditures 15-22'!D223</f>
        <v>46886</v>
      </c>
      <c r="D1408" s="2" t="str">
        <f t="shared" si="21"/>
        <v>Error?</v>
      </c>
    </row>
    <row r="1409" spans="1:4" x14ac:dyDescent="0.2">
      <c r="A1409" s="5">
        <v>1348</v>
      </c>
      <c r="B1409" s="138">
        <f>'Expenditures 15-22'!D224</f>
        <v>6269</v>
      </c>
      <c r="D1409" s="2" t="str">
        <f t="shared" si="21"/>
        <v>Error?</v>
      </c>
    </row>
    <row r="1410" spans="1:4" x14ac:dyDescent="0.2">
      <c r="A1410" s="5">
        <v>1349</v>
      </c>
      <c r="B1410" s="138">
        <f>'Expenditures 15-22'!D229</f>
        <v>711627</v>
      </c>
      <c r="C1410" s="2" t="s">
        <v>572</v>
      </c>
      <c r="D1410" s="2" t="str">
        <f t="shared" si="21"/>
        <v>Error?</v>
      </c>
    </row>
    <row r="1411" spans="1:4" x14ac:dyDescent="0.2">
      <c r="A1411" s="5">
        <v>1350</v>
      </c>
      <c r="B1411" s="138">
        <f>'Expenditures 15-22'!D232</f>
        <v>9208</v>
      </c>
      <c r="D1411" s="2" t="str">
        <f t="shared" si="21"/>
        <v>Error?</v>
      </c>
    </row>
    <row r="1412" spans="1:4" x14ac:dyDescent="0.2">
      <c r="A1412" s="5">
        <v>1351</v>
      </c>
      <c r="B1412" s="138">
        <f>'Expenditures 15-22'!D233</f>
        <v>15522</v>
      </c>
      <c r="D1412" s="2" t="str">
        <f t="shared" si="21"/>
        <v>Error?</v>
      </c>
    </row>
    <row r="1413" spans="1:4" x14ac:dyDescent="0.2">
      <c r="A1413" s="5">
        <v>1352</v>
      </c>
      <c r="B1413" s="138">
        <f>'Expenditures 15-22'!D234</f>
        <v>47628</v>
      </c>
      <c r="D1413" s="2" t="str">
        <f t="shared" si="21"/>
        <v>Error?</v>
      </c>
    </row>
    <row r="1414" spans="1:4" x14ac:dyDescent="0.2">
      <c r="A1414" s="5">
        <v>1353</v>
      </c>
      <c r="B1414" s="138">
        <f>'Expenditures 15-22'!D235</f>
        <v>7788</v>
      </c>
      <c r="D1414" s="2" t="str">
        <f t="shared" si="21"/>
        <v>Error?</v>
      </c>
    </row>
    <row r="1415" spans="1:4" x14ac:dyDescent="0.2">
      <c r="A1415" s="5">
        <v>1354</v>
      </c>
      <c r="B1415" s="138">
        <f>'Expenditures 15-22'!D236</f>
        <v>9159</v>
      </c>
      <c r="D1415" s="2" t="str">
        <f t="shared" si="21"/>
        <v>Error?</v>
      </c>
    </row>
    <row r="1416" spans="1:4" x14ac:dyDescent="0.2">
      <c r="A1416" s="5">
        <v>1355</v>
      </c>
      <c r="B1416" s="138">
        <f>'Expenditures 15-22'!D237</f>
        <v>67179</v>
      </c>
      <c r="D1416" s="2" t="str">
        <f t="shared" si="21"/>
        <v>Error?</v>
      </c>
    </row>
    <row r="1417" spans="1:4" x14ac:dyDescent="0.2">
      <c r="A1417" s="5">
        <v>1356</v>
      </c>
      <c r="B1417" s="138">
        <f>'Expenditures 15-22'!D238</f>
        <v>156484</v>
      </c>
      <c r="C1417" s="2" t="s">
        <v>572</v>
      </c>
      <c r="D1417" s="2" t="str">
        <f t="shared" si="21"/>
        <v>Error?</v>
      </c>
    </row>
    <row r="1418" spans="1:4" x14ac:dyDescent="0.2">
      <c r="A1418" s="5">
        <v>1357</v>
      </c>
      <c r="B1418" s="138">
        <f>'Expenditures 15-22'!D240</f>
        <v>41041</v>
      </c>
      <c r="D1418" s="2" t="str">
        <f t="shared" si="21"/>
        <v>Error?</v>
      </c>
    </row>
    <row r="1419" spans="1:4" x14ac:dyDescent="0.2">
      <c r="A1419" s="5">
        <v>1358</v>
      </c>
      <c r="B1419" s="138">
        <f>'Expenditures 15-22'!D241</f>
        <v>72377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113418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36603</v>
      </c>
      <c r="D1423" s="2" t="str">
        <f t="shared" si="21"/>
        <v>Error?</v>
      </c>
    </row>
    <row r="1424" spans="1:4" x14ac:dyDescent="0.2">
      <c r="A1424" s="5">
        <v>1363</v>
      </c>
      <c r="B1424" s="138">
        <f>'Expenditures 15-22'!D257</f>
        <v>36603</v>
      </c>
      <c r="C1424" s="2" t="s">
        <v>572</v>
      </c>
      <c r="D1424" s="2" t="str">
        <f t="shared" si="21"/>
        <v>Error?</v>
      </c>
    </row>
    <row r="1425" spans="1:4" x14ac:dyDescent="0.2">
      <c r="A1425" s="5">
        <v>1364</v>
      </c>
      <c r="B1425" s="138">
        <f>'Expenditures 15-22'!D259</f>
        <v>192792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192792</v>
      </c>
      <c r="C1427" s="2" t="s">
        <v>572</v>
      </c>
      <c r="D1427" s="2" t="str">
        <f t="shared" si="21"/>
        <v>Error?</v>
      </c>
    </row>
    <row r="1428" spans="1:4" x14ac:dyDescent="0.2">
      <c r="A1428" s="5">
        <v>1367</v>
      </c>
      <c r="B1428" s="138">
        <f>'Expenditures 15-22'!D263</f>
        <v>49428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425679</v>
      </c>
      <c r="D1431" s="2" t="str">
        <f t="shared" si="21"/>
        <v>Error?</v>
      </c>
    </row>
    <row r="1432" spans="1:4" x14ac:dyDescent="0.2">
      <c r="A1432" s="5">
        <v>1371</v>
      </c>
      <c r="B1432" s="138">
        <f>'Expenditures 15-22'!D267</f>
        <v>550602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1025709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1909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1909</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1526915</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2238542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4543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79137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217</v>
      </c>
      <c r="C1471" s="2" t="s">
        <v>572</v>
      </c>
      <c r="D1471" s="2" t="str">
        <f t="shared" ref="D1471:D1534" si="22">IF(ISBLANK(B1471),"OK",IF(A1471-B1471=0,"OK","Error?"))</f>
        <v>Error?</v>
      </c>
    </row>
    <row r="1472" spans="1:4" x14ac:dyDescent="0.2">
      <c r="A1472" s="5">
        <v>1411</v>
      </c>
      <c r="B1472" s="138">
        <f>'Expenditures 15-22'!K223</f>
        <v>46886</v>
      </c>
      <c r="C1472" s="2" t="s">
        <v>572</v>
      </c>
      <c r="D1472" s="2" t="str">
        <f t="shared" si="22"/>
        <v>Error?</v>
      </c>
    </row>
    <row r="1473" spans="1:4" x14ac:dyDescent="0.2">
      <c r="A1473" s="5">
        <v>1412</v>
      </c>
      <c r="B1473" s="138">
        <f>'Expenditures 15-22'!K224</f>
        <v>6269</v>
      </c>
      <c r="C1473" s="2" t="s">
        <v>572</v>
      </c>
      <c r="D1473" s="2" t="str">
        <f t="shared" si="22"/>
        <v>Error?</v>
      </c>
    </row>
    <row r="1474" spans="1:4" x14ac:dyDescent="0.2">
      <c r="A1474" s="5">
        <v>1413</v>
      </c>
      <c r="B1474" s="138">
        <f>'Expenditures 15-22'!K229</f>
        <v>711627</v>
      </c>
      <c r="C1474" s="2" t="s">
        <v>572</v>
      </c>
      <c r="D1474" s="2" t="str">
        <f t="shared" si="22"/>
        <v>Error?</v>
      </c>
    </row>
    <row r="1475" spans="1:4" x14ac:dyDescent="0.2">
      <c r="A1475" s="5">
        <v>1414</v>
      </c>
      <c r="B1475" s="138">
        <f>'Expenditures 15-22'!K232</f>
        <v>9208</v>
      </c>
      <c r="C1475" s="2" t="s">
        <v>572</v>
      </c>
      <c r="D1475" s="2" t="str">
        <f t="shared" si="22"/>
        <v>Error?</v>
      </c>
    </row>
    <row r="1476" spans="1:4" x14ac:dyDescent="0.2">
      <c r="A1476" s="5">
        <v>1415</v>
      </c>
      <c r="B1476" s="138">
        <f>'Expenditures 15-22'!K233</f>
        <v>15522</v>
      </c>
      <c r="C1476" s="2" t="s">
        <v>572</v>
      </c>
      <c r="D1476" s="2" t="str">
        <f t="shared" si="22"/>
        <v>Error?</v>
      </c>
    </row>
    <row r="1477" spans="1:4" x14ac:dyDescent="0.2">
      <c r="A1477" s="5">
        <v>1416</v>
      </c>
      <c r="B1477" s="138">
        <f>'Expenditures 15-22'!K234</f>
        <v>47628</v>
      </c>
      <c r="C1477" s="2" t="s">
        <v>572</v>
      </c>
      <c r="D1477" s="2" t="str">
        <f t="shared" si="22"/>
        <v>Error?</v>
      </c>
    </row>
    <row r="1478" spans="1:4" x14ac:dyDescent="0.2">
      <c r="A1478" s="5">
        <v>1417</v>
      </c>
      <c r="B1478" s="138">
        <f>'Expenditures 15-22'!K235</f>
        <v>7788</v>
      </c>
      <c r="C1478" s="2" t="s">
        <v>572</v>
      </c>
      <c r="D1478" s="2" t="str">
        <f t="shared" si="22"/>
        <v>Error?</v>
      </c>
    </row>
    <row r="1479" spans="1:4" x14ac:dyDescent="0.2">
      <c r="A1479" s="5">
        <v>1418</v>
      </c>
      <c r="B1479" s="138">
        <f>'Expenditures 15-22'!K236</f>
        <v>9159</v>
      </c>
      <c r="C1479" s="2" t="s">
        <v>572</v>
      </c>
      <c r="D1479" s="2" t="str">
        <f t="shared" si="22"/>
        <v>Error?</v>
      </c>
    </row>
    <row r="1480" spans="1:4" x14ac:dyDescent="0.2">
      <c r="A1480" s="5">
        <v>1419</v>
      </c>
      <c r="B1480" s="138">
        <f>'Expenditures 15-22'!K237</f>
        <v>67179</v>
      </c>
      <c r="C1480" s="2" t="s">
        <v>572</v>
      </c>
      <c r="D1480" s="2" t="str">
        <f t="shared" si="22"/>
        <v>Error?</v>
      </c>
    </row>
    <row r="1481" spans="1:4" x14ac:dyDescent="0.2">
      <c r="A1481" s="5">
        <v>1420</v>
      </c>
      <c r="B1481" s="138">
        <f>'Expenditures 15-22'!K238</f>
        <v>156484</v>
      </c>
      <c r="C1481" s="2" t="s">
        <v>572</v>
      </c>
      <c r="D1481" s="2" t="str">
        <f t="shared" si="22"/>
        <v>Error?</v>
      </c>
    </row>
    <row r="1482" spans="1:4" x14ac:dyDescent="0.2">
      <c r="A1482" s="5">
        <v>1421</v>
      </c>
      <c r="B1482" s="138">
        <f>'Expenditures 15-22'!K240</f>
        <v>41041</v>
      </c>
      <c r="C1482" s="2" t="s">
        <v>572</v>
      </c>
      <c r="D1482" s="2" t="str">
        <f t="shared" si="22"/>
        <v>Error?</v>
      </c>
    </row>
    <row r="1483" spans="1:4" x14ac:dyDescent="0.2">
      <c r="A1483" s="5">
        <v>1422</v>
      </c>
      <c r="B1483" s="138">
        <f>'Expenditures 15-22'!K241</f>
        <v>72377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113418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36603</v>
      </c>
      <c r="C1487" s="2" t="s">
        <v>572</v>
      </c>
      <c r="D1487" s="2" t="str">
        <f t="shared" si="22"/>
        <v>Error?</v>
      </c>
    </row>
    <row r="1488" spans="1:4" x14ac:dyDescent="0.2">
      <c r="A1488" s="5">
        <v>1427</v>
      </c>
      <c r="B1488" s="138">
        <f>'Expenditures 15-22'!K257</f>
        <v>36603</v>
      </c>
      <c r="C1488" s="2" t="s">
        <v>572</v>
      </c>
      <c r="D1488" s="2" t="str">
        <f t="shared" si="22"/>
        <v>Error?</v>
      </c>
    </row>
    <row r="1489" spans="1:4" x14ac:dyDescent="0.2">
      <c r="A1489" s="5">
        <v>1428</v>
      </c>
      <c r="B1489" s="138">
        <f>'Expenditures 15-22'!K259</f>
        <v>192792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192792</v>
      </c>
      <c r="C1491" s="2" t="s">
        <v>572</v>
      </c>
      <c r="D1491" s="2" t="str">
        <f t="shared" si="22"/>
        <v>Error?</v>
      </c>
    </row>
    <row r="1492" spans="1:4" x14ac:dyDescent="0.2">
      <c r="A1492" s="5">
        <v>1431</v>
      </c>
      <c r="B1492" s="138">
        <f>'Expenditures 15-22'!K263</f>
        <v>49428</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425679</v>
      </c>
      <c r="C1495" s="2" t="s">
        <v>572</v>
      </c>
      <c r="D1495" s="2" t="str">
        <f t="shared" si="22"/>
        <v>Error?</v>
      </c>
    </row>
    <row r="1496" spans="1:4" x14ac:dyDescent="0.2">
      <c r="A1496" s="5">
        <v>1435</v>
      </c>
      <c r="B1496" s="138">
        <f>'Expenditures 15-22'!K267</f>
        <v>550602</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1025709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1909</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1909</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1526915</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2238542</v>
      </c>
      <c r="C1517" s="2" t="s">
        <v>572</v>
      </c>
      <c r="D1517" s="2" t="str">
        <f t="shared" si="22"/>
        <v>Error?</v>
      </c>
    </row>
    <row r="1518" spans="1:4" x14ac:dyDescent="0.2">
      <c r="A1518" s="5">
        <v>1457</v>
      </c>
      <c r="B1518" s="138">
        <f>'Expenditures 15-22'!K296</f>
        <v>-42180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60420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60420</v>
      </c>
      <c r="C1535" s="2" t="s">
        <v>572</v>
      </c>
      <c r="D1535" s="2" t="str">
        <f t="shared" ref="D1535:D1598" si="23">IF(ISBLANK(B1535),"OK",IF(A1535-B1535=0,"OK","Error?"))</f>
        <v>Error?</v>
      </c>
    </row>
    <row r="1536" spans="1:4" x14ac:dyDescent="0.2">
      <c r="A1536" s="5">
        <v>1475</v>
      </c>
      <c r="B1536" s="138">
        <f>'Expenditures 15-22'!E312</f>
        <v>60420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1326974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1326974</v>
      </c>
      <c r="C1547" s="2" t="s">
        <v>572</v>
      </c>
      <c r="D1547" s="2" t="str">
        <f t="shared" si="23"/>
        <v>Error?</v>
      </c>
    </row>
    <row r="1548" spans="1:4" x14ac:dyDescent="0.2">
      <c r="A1548" s="5">
        <v>1487</v>
      </c>
      <c r="B1548" s="138">
        <f>'Expenditures 15-22'!G312</f>
        <v>1326974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1387394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1387394</v>
      </c>
      <c r="C1559" s="2" t="s">
        <v>572</v>
      </c>
      <c r="D1559" s="2" t="str">
        <f t="shared" si="23"/>
        <v>Error?</v>
      </c>
    </row>
    <row r="1560" spans="1:4" x14ac:dyDescent="0.2">
      <c r="A1560" s="5">
        <v>1499</v>
      </c>
      <c r="B1560" s="138">
        <f>'Expenditures 15-22'!K312</f>
        <v>1387394</v>
      </c>
      <c r="C1560" s="2" t="s">
        <v>572</v>
      </c>
      <c r="D1560" s="2" t="str">
        <f t="shared" si="23"/>
        <v>Error?</v>
      </c>
    </row>
    <row r="1561" spans="1:4" x14ac:dyDescent="0.2">
      <c r="A1561" s="5">
        <v>1500</v>
      </c>
      <c r="B1561" s="138">
        <f>'Expenditures 15-22'!K313</f>
        <v>-1350055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12148076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11168940</v>
      </c>
      <c r="C1630" s="2" t="s">
        <v>572</v>
      </c>
      <c r="D1630" s="2" t="str">
        <f t="shared" si="24"/>
        <v>Error?</v>
      </c>
    </row>
    <row r="1631" spans="1:4" x14ac:dyDescent="0.2">
      <c r="A1631" s="5">
        <v>1570</v>
      </c>
      <c r="B1631" s="138">
        <f>'Acct Summary 7-8'!D79</f>
        <v>589118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405115</v>
      </c>
      <c r="C1644" s="2" t="s">
        <v>572</v>
      </c>
      <c r="D1644" s="2" t="str">
        <f t="shared" si="24"/>
        <v>Error?</v>
      </c>
    </row>
    <row r="1645" spans="1:4" x14ac:dyDescent="0.2">
      <c r="A1645" s="5">
        <v>1584</v>
      </c>
      <c r="B1645" s="138">
        <f>'Acct Summary 7-8'!E79</f>
        <v>6317155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5665447</v>
      </c>
      <c r="C1658" s="2" t="s">
        <v>572</v>
      </c>
      <c r="D1658" s="2" t="str">
        <f t="shared" si="24"/>
        <v>Error?</v>
      </c>
    </row>
    <row r="1659" spans="1:4" x14ac:dyDescent="0.2">
      <c r="A1659" s="5">
        <v>1598</v>
      </c>
      <c r="B1659" s="138">
        <f>'Acct Summary 7-8'!F79</f>
        <v>1754783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1470392</v>
      </c>
      <c r="C1672" s="2" t="s">
        <v>572</v>
      </c>
      <c r="D1672" s="2" t="str">
        <f t="shared" si="25"/>
        <v>Error?</v>
      </c>
    </row>
    <row r="1673" spans="1:4" x14ac:dyDescent="0.2">
      <c r="A1673" s="5">
        <v>1612</v>
      </c>
      <c r="B1673" s="138">
        <f>'Acct Summary 7-8'!G79</f>
        <v>31939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-10241</v>
      </c>
      <c r="C1686" s="2" t="s">
        <v>572</v>
      </c>
      <c r="D1686" s="2" t="str">
        <f t="shared" si="25"/>
        <v>Error?</v>
      </c>
    </row>
    <row r="1687" spans="1:4" x14ac:dyDescent="0.2">
      <c r="A1687" s="5">
        <v>1626</v>
      </c>
      <c r="B1687" s="138">
        <f>'Acct Summary 7-8'!H79</f>
        <v>1165837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1815782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27510365</v>
      </c>
      <c r="C1744" s="2" t="s">
        <v>572</v>
      </c>
      <c r="D1744" s="2" t="str">
        <f t="shared" si="26"/>
        <v>Error?</v>
      </c>
    </row>
    <row r="1745" spans="1:5" x14ac:dyDescent="0.2">
      <c r="A1745" s="5">
        <v>1684</v>
      </c>
      <c r="B1745" s="138">
        <f>'Tax Sched 23'!B5</f>
        <v>4510892</v>
      </c>
      <c r="C1745" s="2" t="s">
        <v>572</v>
      </c>
      <c r="D1745" s="2" t="str">
        <f t="shared" si="26"/>
        <v>Error?</v>
      </c>
    </row>
    <row r="1746" spans="1:5" x14ac:dyDescent="0.2">
      <c r="A1746" s="5">
        <v>1685</v>
      </c>
      <c r="B1746" s="138">
        <f>'Tax Sched 23'!B6</f>
        <v>11163939</v>
      </c>
      <c r="C1746" s="2" t="s">
        <v>572</v>
      </c>
      <c r="D1746" s="2" t="str">
        <f t="shared" si="26"/>
        <v>Error?</v>
      </c>
    </row>
    <row r="1747" spans="1:5" x14ac:dyDescent="0.2">
      <c r="A1747" s="5">
        <v>1686</v>
      </c>
      <c r="B1747" s="138">
        <f>'Tax Sched 23'!B7</f>
        <v>1522012</v>
      </c>
      <c r="C1747" s="2" t="s">
        <v>572</v>
      </c>
      <c r="D1747" s="2" t="str">
        <f t="shared" si="26"/>
        <v>Error?</v>
      </c>
    </row>
    <row r="1748" spans="1:5" x14ac:dyDescent="0.2">
      <c r="A1748" s="5">
        <v>1687</v>
      </c>
      <c r="B1748" s="138">
        <f>'Tax Sched 23'!B8</f>
        <v>1085171</v>
      </c>
      <c r="C1748" s="2" t="s">
        <v>572</v>
      </c>
      <c r="D1748" s="2" t="str">
        <f t="shared" si="26"/>
        <v>Error?</v>
      </c>
    </row>
    <row r="1749" spans="1:5" x14ac:dyDescent="0.2">
      <c r="A1749" s="5">
        <v>1688</v>
      </c>
      <c r="B1749" s="138">
        <f>'Tax Sched 23'!B10</f>
        <v>7381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814100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4074093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51777336</v>
      </c>
      <c r="C1759" s="2" t="s">
        <v>572</v>
      </c>
      <c r="D1759" s="2" t="str">
        <f t="shared" si="26"/>
        <v>Error?</v>
      </c>
    </row>
    <row r="1760" spans="1:5" x14ac:dyDescent="0.2">
      <c r="A1760" s="5">
        <v>1699</v>
      </c>
      <c r="B1760" s="138">
        <f>'Tax Sched 23'!D4</f>
        <v>13251644</v>
      </c>
      <c r="C1760" s="2" t="s">
        <v>572</v>
      </c>
      <c r="D1760" s="2" t="str">
        <f t="shared" si="26"/>
        <v>Error?</v>
      </c>
    </row>
    <row r="1761" spans="1:5" x14ac:dyDescent="0.2">
      <c r="A1761" s="5">
        <v>1700</v>
      </c>
      <c r="B1761" s="138">
        <f>'Tax Sched 23'!D5</f>
        <v>2184648</v>
      </c>
      <c r="C1761" s="2" t="s">
        <v>572</v>
      </c>
      <c r="D1761" s="2" t="str">
        <f t="shared" si="26"/>
        <v>Error?</v>
      </c>
    </row>
    <row r="1762" spans="1:5" s="8" customFormat="1" x14ac:dyDescent="0.2">
      <c r="A1762" s="5">
        <v>1701</v>
      </c>
      <c r="B1762" s="138">
        <f>'Tax Sched 23'!D6</f>
        <v>5661494</v>
      </c>
      <c r="C1762" s="2" t="s">
        <v>572</v>
      </c>
      <c r="D1762" s="2" t="str">
        <f t="shared" si="26"/>
        <v>Error?</v>
      </c>
      <c r="E1762" s="9"/>
    </row>
    <row r="1763" spans="1:5" x14ac:dyDescent="0.2">
      <c r="A1763" s="5">
        <v>1702</v>
      </c>
      <c r="B1763" s="138">
        <f>'Tax Sched 23'!D7</f>
        <v>782024</v>
      </c>
      <c r="C1763" s="2" t="s">
        <v>572</v>
      </c>
      <c r="D1763" s="2" t="str">
        <f t="shared" si="26"/>
        <v>Error?</v>
      </c>
    </row>
    <row r="1764" spans="1:5" x14ac:dyDescent="0.2">
      <c r="A1764" s="5">
        <v>1703</v>
      </c>
      <c r="B1764" s="138">
        <f>'Tax Sched 23'!D8</f>
        <v>495924</v>
      </c>
      <c r="C1764" s="2" t="s">
        <v>572</v>
      </c>
      <c r="D1764" s="2" t="str">
        <f t="shared" si="26"/>
        <v>Error?</v>
      </c>
    </row>
    <row r="1765" spans="1:5" x14ac:dyDescent="0.2">
      <c r="A1765" s="5">
        <v>1704</v>
      </c>
      <c r="B1765" s="138">
        <f>'Tax Sched 23'!D10</f>
        <v>3588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398186</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1994520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25292183</v>
      </c>
      <c r="C1775" s="2" t="s">
        <v>572</v>
      </c>
      <c r="D1775" s="2" t="str">
        <f t="shared" si="26"/>
        <v>Error?</v>
      </c>
    </row>
    <row r="1776" spans="1:5" x14ac:dyDescent="0.2">
      <c r="A1776" s="5">
        <v>1715</v>
      </c>
      <c r="B1776" s="138">
        <f>'Tax Sched 23'!C4</f>
        <v>14258721</v>
      </c>
      <c r="D1776" s="2" t="str">
        <f t="shared" si="26"/>
        <v>Error?</v>
      </c>
    </row>
    <row r="1777" spans="1:4" x14ac:dyDescent="0.2">
      <c r="A1777" s="5">
        <v>1716</v>
      </c>
      <c r="B1777" s="138">
        <f>'Tax Sched 23'!C5</f>
        <v>2326244</v>
      </c>
      <c r="D1777" s="2" t="str">
        <f t="shared" si="26"/>
        <v>Error?</v>
      </c>
    </row>
    <row r="1778" spans="1:4" x14ac:dyDescent="0.2">
      <c r="A1778" s="5">
        <v>1717</v>
      </c>
      <c r="B1778" s="138">
        <f>'Tax Sched 23'!C6</f>
        <v>5502445</v>
      </c>
      <c r="D1778" s="2" t="str">
        <f t="shared" si="26"/>
        <v>Error?</v>
      </c>
    </row>
    <row r="1779" spans="1:4" x14ac:dyDescent="0.2">
      <c r="A1779" s="5">
        <v>1718</v>
      </c>
      <c r="B1779" s="138">
        <f>'Tax Sched 23'!C7</f>
        <v>739988</v>
      </c>
      <c r="D1779" s="2" t="str">
        <f t="shared" si="26"/>
        <v>Error?</v>
      </c>
    </row>
    <row r="1780" spans="1:4" x14ac:dyDescent="0.2">
      <c r="A1780" s="5">
        <v>1719</v>
      </c>
      <c r="B1780" s="138">
        <f>'Tax Sched 23'!C8</f>
        <v>589247</v>
      </c>
      <c r="D1780" s="2" t="str">
        <f t="shared" si="26"/>
        <v>Error?</v>
      </c>
    </row>
    <row r="1781" spans="1:4" x14ac:dyDescent="0.2">
      <c r="A1781" s="5">
        <v>1720</v>
      </c>
      <c r="B1781" s="138">
        <f>'Tax Sched 23'!C10</f>
        <v>3793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415914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2079573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26485153</v>
      </c>
      <c r="C1791" s="2" t="s">
        <v>572</v>
      </c>
      <c r="D1791" s="2" t="str">
        <f t="shared" ref="D1791:D1854" si="27">IF(ISBLANK(B1791),"OK",IF(A1791-B1791=0,"OK","Error?"))</f>
        <v>Error?</v>
      </c>
    </row>
    <row r="1792" spans="1:4" x14ac:dyDescent="0.2">
      <c r="A1792" s="5">
        <v>1731</v>
      </c>
      <c r="B1792" s="138">
        <f>'Tax Sched 23'!F4</f>
        <v>14530607</v>
      </c>
      <c r="C1792" s="2" t="s">
        <v>572</v>
      </c>
      <c r="D1792" s="2" t="str">
        <f t="shared" si="27"/>
        <v>Error?</v>
      </c>
    </row>
    <row r="1793" spans="1:4" x14ac:dyDescent="0.2">
      <c r="A1793" s="5">
        <v>1732</v>
      </c>
      <c r="B1793" s="138">
        <f>'Tax Sched 23'!F5</f>
        <v>2370607</v>
      </c>
      <c r="C1793" s="2" t="s">
        <v>572</v>
      </c>
      <c r="D1793" s="2" t="str">
        <f t="shared" si="27"/>
        <v>Error?</v>
      </c>
    </row>
    <row r="1794" spans="1:4" x14ac:dyDescent="0.2">
      <c r="A1794" s="5">
        <v>1733</v>
      </c>
      <c r="B1794" s="138">
        <f>'Tax Sched 23'!F6</f>
        <v>5607462</v>
      </c>
      <c r="C1794" s="2" t="s">
        <v>572</v>
      </c>
      <c r="D1794" s="2" t="str">
        <f t="shared" si="27"/>
        <v>Error?</v>
      </c>
    </row>
    <row r="1795" spans="1:4" x14ac:dyDescent="0.2">
      <c r="A1795" s="5">
        <v>1734</v>
      </c>
      <c r="B1795" s="138">
        <f>'Tax Sched 23'!F7</f>
        <v>754117</v>
      </c>
      <c r="C1795" s="2" t="s">
        <v>572</v>
      </c>
      <c r="D1795" s="2" t="str">
        <f t="shared" si="27"/>
        <v>Error?</v>
      </c>
    </row>
    <row r="1796" spans="1:4" x14ac:dyDescent="0.2">
      <c r="A1796" s="5">
        <v>1735</v>
      </c>
      <c r="B1796" s="138">
        <f>'Tax Sched 23'!F8</f>
        <v>600482</v>
      </c>
      <c r="C1796" s="2" t="s">
        <v>572</v>
      </c>
      <c r="D1796" s="2" t="str">
        <f t="shared" si="27"/>
        <v>Error?</v>
      </c>
    </row>
    <row r="1797" spans="1:4" x14ac:dyDescent="0.2">
      <c r="A1797" s="5">
        <v>1736</v>
      </c>
      <c r="B1797" s="138">
        <f>'Tax Sched 23'!F10</f>
        <v>3869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423850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2119244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26990321</v>
      </c>
      <c r="C1807" s="2" t="s">
        <v>572</v>
      </c>
      <c r="D1807" s="2" t="str">
        <f t="shared" si="27"/>
        <v>Error?</v>
      </c>
    </row>
    <row r="1808" spans="1:4" x14ac:dyDescent="0.2">
      <c r="A1808" s="5">
        <v>1747</v>
      </c>
      <c r="B1808" s="138">
        <f>'Tax Sched 23'!E4</f>
        <v>28789328</v>
      </c>
      <c r="D1808" s="2" t="str">
        <f t="shared" si="27"/>
        <v>Error?</v>
      </c>
    </row>
    <row r="1809" spans="1:4" x14ac:dyDescent="0.2">
      <c r="A1809" s="5">
        <v>1748</v>
      </c>
      <c r="B1809" s="138">
        <f>'Tax Sched 23'!E5</f>
        <v>4696851</v>
      </c>
      <c r="D1809" s="2" t="str">
        <f t="shared" si="27"/>
        <v>Error?</v>
      </c>
    </row>
    <row r="1810" spans="1:4" x14ac:dyDescent="0.2">
      <c r="A1810" s="5">
        <v>1749</v>
      </c>
      <c r="B1810" s="138">
        <f>'Tax Sched 23'!E6</f>
        <v>11109907</v>
      </c>
      <c r="D1810" s="2" t="str">
        <f t="shared" si="27"/>
        <v>Error?</v>
      </c>
    </row>
    <row r="1811" spans="1:4" x14ac:dyDescent="0.2">
      <c r="A1811" s="5">
        <v>1750</v>
      </c>
      <c r="B1811" s="138">
        <f>'Tax Sched 23'!E7</f>
        <v>1494105</v>
      </c>
      <c r="D1811" s="2" t="str">
        <f t="shared" si="27"/>
        <v>Error?</v>
      </c>
    </row>
    <row r="1812" spans="1:4" x14ac:dyDescent="0.2">
      <c r="A1812" s="5">
        <v>1751</v>
      </c>
      <c r="B1812" s="138">
        <f>'Tax Sched 23'!E8</f>
        <v>1189729</v>
      </c>
      <c r="D1812" s="2" t="str">
        <f t="shared" si="27"/>
        <v>Error?</v>
      </c>
    </row>
    <row r="1813" spans="1:4" x14ac:dyDescent="0.2">
      <c r="A1813" s="5">
        <v>1752</v>
      </c>
      <c r="B1813" s="138">
        <f>'Tax Sched 23'!E10</f>
        <v>7662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839764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4198817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53475474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63313468</v>
      </c>
      <c r="C1939" s="2" t="s">
        <v>572</v>
      </c>
      <c r="D1939" s="2" t="str">
        <f t="shared" si="29"/>
        <v>Error?</v>
      </c>
    </row>
    <row r="1940" spans="1:5" x14ac:dyDescent="0.2">
      <c r="A1940" s="5">
        <v>1879</v>
      </c>
      <c r="B1940" s="138">
        <f>'Short-Term Long-Term Debt 24'!F49</f>
        <v>11882171</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4074093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4074093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4074093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4894309</v>
      </c>
      <c r="D2008" s="2" t="str">
        <f t="shared" si="30"/>
        <v>Error?</v>
      </c>
    </row>
    <row r="2009" spans="1:4" x14ac:dyDescent="0.2">
      <c r="A2009" s="5">
        <v>1948</v>
      </c>
      <c r="B2009" s="138">
        <f>'Cap Outlay Deprec 26'!C8</f>
        <v>102093417</v>
      </c>
      <c r="D2009" s="2" t="str">
        <f t="shared" si="30"/>
        <v>Error?</v>
      </c>
    </row>
    <row r="2010" spans="1:4" x14ac:dyDescent="0.2">
      <c r="A2010" s="5">
        <v>1949</v>
      </c>
      <c r="B2010" s="138">
        <f>'Cap Outlay Deprec 26'!C10</f>
        <v>3617697</v>
      </c>
      <c r="D2010" s="2" t="str">
        <f t="shared" si="30"/>
        <v>Error?</v>
      </c>
    </row>
    <row r="2011" spans="1:4" x14ac:dyDescent="0.2">
      <c r="A2011" s="5">
        <v>1950</v>
      </c>
      <c r="B2011" s="138">
        <f>'Cap Outlay Deprec 26'!C12</f>
        <v>7767442</v>
      </c>
      <c r="D2011" s="2" t="str">
        <f t="shared" si="30"/>
        <v>Error?</v>
      </c>
    </row>
    <row r="2012" spans="1:4" x14ac:dyDescent="0.2">
      <c r="A2012" s="5">
        <v>1951</v>
      </c>
      <c r="B2012" s="138">
        <f>'Cap Outlay Deprec 26'!C13</f>
        <v>7492114</v>
      </c>
      <c r="D2012" s="2" t="str">
        <f t="shared" si="30"/>
        <v>Error?</v>
      </c>
    </row>
    <row r="2013" spans="1:4" x14ac:dyDescent="0.2">
      <c r="A2013" s="5">
        <v>1952</v>
      </c>
      <c r="B2013" s="138">
        <f>'Cap Outlay Deprec 26'!C16</f>
        <v>125975441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1218483</v>
      </c>
      <c r="D2015" s="2" t="str">
        <f t="shared" si="30"/>
        <v>Error?</v>
      </c>
    </row>
    <row r="2016" spans="1:4" x14ac:dyDescent="0.2">
      <c r="A2016" s="5">
        <v>1955</v>
      </c>
      <c r="B2016" s="138">
        <f>'Cap Outlay Deprec 26'!D10</f>
        <v>181345</v>
      </c>
      <c r="D2016" s="2" t="str">
        <f t="shared" si="30"/>
        <v>Error?</v>
      </c>
    </row>
    <row r="2017" spans="1:4" x14ac:dyDescent="0.2">
      <c r="A2017" s="5">
        <v>1956</v>
      </c>
      <c r="B2017" s="138">
        <f>'Cap Outlay Deprec 26'!D12</f>
        <v>44344</v>
      </c>
      <c r="D2017" s="2" t="str">
        <f t="shared" si="30"/>
        <v>Error?</v>
      </c>
    </row>
    <row r="2018" spans="1:4" x14ac:dyDescent="0.2">
      <c r="A2018" s="5">
        <v>1957</v>
      </c>
      <c r="B2018" s="138">
        <f>'Cap Outlay Deprec 26'!D13</f>
        <v>682171</v>
      </c>
      <c r="D2018" s="2" t="str">
        <f t="shared" si="30"/>
        <v>Error?</v>
      </c>
    </row>
    <row r="2019" spans="1:4" x14ac:dyDescent="0.2">
      <c r="A2019" s="5">
        <v>1958</v>
      </c>
      <c r="B2019" s="138">
        <f>'Cap Outlay Deprec 26'!D16</f>
        <v>2280322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513494</v>
      </c>
      <c r="D2024" s="2" t="str">
        <f t="shared" si="30"/>
        <v>Error?</v>
      </c>
    </row>
    <row r="2025" spans="1:4" x14ac:dyDescent="0.2">
      <c r="A2025" s="5">
        <v>1964</v>
      </c>
      <c r="B2025" s="138">
        <f>'Cap Outlay Deprec 26'!E16</f>
        <v>623956</v>
      </c>
      <c r="C2025" s="2" t="s">
        <v>572</v>
      </c>
      <c r="D2025" s="2" t="str">
        <f t="shared" si="30"/>
        <v>Error?</v>
      </c>
    </row>
    <row r="2026" spans="1:4" x14ac:dyDescent="0.2">
      <c r="A2026" s="5">
        <v>1965</v>
      </c>
      <c r="B2026" s="138">
        <f>'Cap Outlay Deprec 26'!F5</f>
        <v>4894309</v>
      </c>
      <c r="C2026" s="2" t="s">
        <v>572</v>
      </c>
      <c r="D2026" s="2" t="str">
        <f t="shared" si="30"/>
        <v>Error?</v>
      </c>
    </row>
    <row r="2027" spans="1:4" x14ac:dyDescent="0.2">
      <c r="A2027" s="5">
        <v>1966</v>
      </c>
      <c r="B2027" s="138">
        <f>'Cap Outlay Deprec 26'!F8</f>
        <v>103311900</v>
      </c>
      <c r="C2027" s="2" t="s">
        <v>572</v>
      </c>
      <c r="D2027" s="2" t="str">
        <f t="shared" si="30"/>
        <v>Error?</v>
      </c>
    </row>
    <row r="2028" spans="1:4" x14ac:dyDescent="0.2">
      <c r="A2028" s="5">
        <v>1967</v>
      </c>
      <c r="B2028" s="138">
        <f>'Cap Outlay Deprec 26'!F10</f>
        <v>3799042</v>
      </c>
      <c r="C2028" s="2" t="s">
        <v>572</v>
      </c>
      <c r="D2028" s="2" t="str">
        <f t="shared" si="30"/>
        <v>Error?</v>
      </c>
    </row>
    <row r="2029" spans="1:4" x14ac:dyDescent="0.2">
      <c r="A2029" s="5">
        <v>1968</v>
      </c>
      <c r="B2029" s="138">
        <f>'Cap Outlay Deprec 26'!F12</f>
        <v>7811786</v>
      </c>
      <c r="C2029" s="2" t="s">
        <v>572</v>
      </c>
      <c r="D2029" s="2" t="str">
        <f t="shared" si="30"/>
        <v>Error?</v>
      </c>
    </row>
    <row r="2030" spans="1:4" x14ac:dyDescent="0.2">
      <c r="A2030" s="5">
        <v>1969</v>
      </c>
      <c r="B2030" s="138">
        <f>'Cap Outlay Deprec 26'!F13</f>
        <v>7660791</v>
      </c>
      <c r="C2030" s="2" t="s">
        <v>572</v>
      </c>
      <c r="D2030" s="2" t="str">
        <f t="shared" si="30"/>
        <v>Error?</v>
      </c>
    </row>
    <row r="2031" spans="1:4" x14ac:dyDescent="0.2">
      <c r="A2031" s="5">
        <v>1970</v>
      </c>
      <c r="B2031" s="138">
        <f>'Cap Outlay Deprec 26'!F16</f>
        <v>127631807</v>
      </c>
      <c r="C2031" s="2" t="s">
        <v>572</v>
      </c>
      <c r="D2031" s="2" t="str">
        <f t="shared" si="30"/>
        <v>Error?</v>
      </c>
    </row>
    <row r="2032" spans="1:4" x14ac:dyDescent="0.2">
      <c r="A2032" s="10">
        <v>1971</v>
      </c>
      <c r="D2032" s="2" t="str">
        <f t="shared" si="30"/>
        <v>OK</v>
      </c>
    </row>
    <row r="2033" spans="1:4" x14ac:dyDescent="0.2">
      <c r="A2033" s="5">
        <v>1972</v>
      </c>
      <c r="B2033" s="138">
        <f>'Cap Outlay Deprec 26'!H8</f>
        <v>36161920</v>
      </c>
      <c r="D2033" s="2" t="str">
        <f t="shared" si="30"/>
        <v>Error?</v>
      </c>
    </row>
    <row r="2034" spans="1:4" x14ac:dyDescent="0.2">
      <c r="A2034" s="5">
        <v>1973</v>
      </c>
      <c r="B2034" s="138">
        <f>'Cap Outlay Deprec 26'!H10</f>
        <v>2602842</v>
      </c>
      <c r="D2034" s="2" t="str">
        <f t="shared" si="30"/>
        <v>Error?</v>
      </c>
    </row>
    <row r="2035" spans="1:4" x14ac:dyDescent="0.2">
      <c r="A2035" s="5">
        <v>1974</v>
      </c>
      <c r="B2035" s="138">
        <f>'Cap Outlay Deprec 26'!H12</f>
        <v>5720449</v>
      </c>
      <c r="D2035" s="2" t="str">
        <f t="shared" si="30"/>
        <v>Error?</v>
      </c>
    </row>
    <row r="2036" spans="1:4" x14ac:dyDescent="0.2">
      <c r="A2036" s="5">
        <v>1975</v>
      </c>
      <c r="B2036" s="138">
        <f>'Cap Outlay Deprec 26'!H13</f>
        <v>4364793</v>
      </c>
      <c r="D2036" s="2" t="str">
        <f t="shared" si="30"/>
        <v>Error?</v>
      </c>
    </row>
    <row r="2037" spans="1:4" x14ac:dyDescent="0.2">
      <c r="A2037" s="5">
        <v>1976</v>
      </c>
      <c r="B2037" s="138">
        <f>'Cap Outlay Deprec 26'!H16</f>
        <v>48850004</v>
      </c>
      <c r="C2037" s="2" t="s">
        <v>572</v>
      </c>
      <c r="D2037" s="2" t="str">
        <f t="shared" si="30"/>
        <v>Error?</v>
      </c>
    </row>
    <row r="2038" spans="1:4" x14ac:dyDescent="0.2">
      <c r="A2038" s="10">
        <v>1977</v>
      </c>
      <c r="D2038" s="2" t="str">
        <f t="shared" si="30"/>
        <v>OK</v>
      </c>
    </row>
    <row r="2039" spans="1:4" x14ac:dyDescent="0.2">
      <c r="A2039" s="5">
        <v>1978</v>
      </c>
      <c r="B2039" s="138">
        <f>'Cap Outlay Deprec 26'!I8</f>
        <v>2417667</v>
      </c>
      <c r="D2039" s="2" t="str">
        <f t="shared" si="30"/>
        <v>Error?</v>
      </c>
    </row>
    <row r="2040" spans="1:4" x14ac:dyDescent="0.2">
      <c r="A2040" s="5">
        <v>1979</v>
      </c>
      <c r="B2040" s="138">
        <f>'Cap Outlay Deprec 26'!I10</f>
        <v>185837</v>
      </c>
      <c r="D2040" s="2" t="str">
        <f t="shared" si="30"/>
        <v>Error?</v>
      </c>
    </row>
    <row r="2041" spans="1:4" x14ac:dyDescent="0.2">
      <c r="A2041" s="5">
        <v>1980</v>
      </c>
      <c r="B2041" s="138">
        <f>'Cap Outlay Deprec 26'!I12</f>
        <v>423623</v>
      </c>
      <c r="D2041" s="2" t="str">
        <f t="shared" si="30"/>
        <v>Error?</v>
      </c>
    </row>
    <row r="2042" spans="1:4" x14ac:dyDescent="0.2">
      <c r="A2042" s="5">
        <v>1981</v>
      </c>
      <c r="B2042" s="138">
        <f>'Cap Outlay Deprec 26'!I13</f>
        <v>583737</v>
      </c>
      <c r="D2042" s="2" t="str">
        <f t="shared" si="30"/>
        <v>Error?</v>
      </c>
    </row>
    <row r="2043" spans="1:4" x14ac:dyDescent="0.2">
      <c r="A2043" s="5">
        <v>1982</v>
      </c>
      <c r="B2043" s="138">
        <f>'Cap Outlay Deprec 26'!I16</f>
        <v>3610864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462145</v>
      </c>
      <c r="D2048" s="2" t="str">
        <f t="shared" si="31"/>
        <v>Error?</v>
      </c>
    </row>
    <row r="2049" spans="1:4" x14ac:dyDescent="0.2">
      <c r="A2049" s="5">
        <v>1988</v>
      </c>
      <c r="B2049" s="138">
        <f>'Cap Outlay Deprec 26'!J16</f>
        <v>462145</v>
      </c>
      <c r="C2049" s="2" t="s">
        <v>572</v>
      </c>
      <c r="D2049" s="2" t="str">
        <f t="shared" si="31"/>
        <v>Error?</v>
      </c>
    </row>
    <row r="2050" spans="1:4" x14ac:dyDescent="0.2">
      <c r="A2050" s="10">
        <v>1989</v>
      </c>
      <c r="D2050" s="2" t="str">
        <f t="shared" si="31"/>
        <v>OK</v>
      </c>
    </row>
    <row r="2051" spans="1:4" x14ac:dyDescent="0.2">
      <c r="A2051" s="5">
        <v>1990</v>
      </c>
      <c r="B2051" s="138">
        <f>'Cap Outlay Deprec 26'!K8</f>
        <v>38579587</v>
      </c>
      <c r="C2051" s="2" t="s">
        <v>572</v>
      </c>
      <c r="D2051" s="2" t="str">
        <f t="shared" si="31"/>
        <v>Error?</v>
      </c>
    </row>
    <row r="2052" spans="1:4" x14ac:dyDescent="0.2">
      <c r="A2052" s="5">
        <v>1991</v>
      </c>
      <c r="B2052" s="138">
        <f>'Cap Outlay Deprec 26'!K10</f>
        <v>2788679</v>
      </c>
      <c r="C2052" s="2" t="s">
        <v>572</v>
      </c>
      <c r="D2052" s="2" t="str">
        <f t="shared" si="31"/>
        <v>Error?</v>
      </c>
    </row>
    <row r="2053" spans="1:4" x14ac:dyDescent="0.2">
      <c r="A2053" s="5">
        <v>1992</v>
      </c>
      <c r="B2053" s="138">
        <f>'Cap Outlay Deprec 26'!K12</f>
        <v>6144072</v>
      </c>
      <c r="C2053" s="2" t="s">
        <v>572</v>
      </c>
      <c r="D2053" s="2" t="str">
        <f t="shared" si="31"/>
        <v>Error?</v>
      </c>
    </row>
    <row r="2054" spans="1:4" x14ac:dyDescent="0.2">
      <c r="A2054" s="5">
        <v>1993</v>
      </c>
      <c r="B2054" s="138">
        <f>'Cap Outlay Deprec 26'!K13</f>
        <v>4486385</v>
      </c>
      <c r="C2054" s="2" t="s">
        <v>572</v>
      </c>
      <c r="D2054" s="2" t="str">
        <f t="shared" si="31"/>
        <v>Error?</v>
      </c>
    </row>
    <row r="2055" spans="1:4" x14ac:dyDescent="0.2">
      <c r="A2055" s="5">
        <v>1994</v>
      </c>
      <c r="B2055" s="138">
        <f>'Cap Outlay Deprec 26'!K16</f>
        <v>51998723</v>
      </c>
      <c r="C2055" s="2" t="s">
        <v>572</v>
      </c>
      <c r="D2055" s="2" t="str">
        <f t="shared" si="31"/>
        <v>Error?</v>
      </c>
    </row>
    <row r="2056" spans="1:4" x14ac:dyDescent="0.2">
      <c r="A2056" s="5">
        <v>1995</v>
      </c>
      <c r="B2056" s="138">
        <f>'Cap Outlay Deprec 26'!L5</f>
        <v>4894309</v>
      </c>
      <c r="C2056" s="2" t="s">
        <v>572</v>
      </c>
      <c r="D2056" s="2" t="str">
        <f t="shared" si="31"/>
        <v>Error?</v>
      </c>
    </row>
    <row r="2057" spans="1:4" x14ac:dyDescent="0.2">
      <c r="A2057" s="5">
        <v>1996</v>
      </c>
      <c r="B2057" s="138">
        <f>'Cap Outlay Deprec 26'!L8</f>
        <v>64732313</v>
      </c>
      <c r="C2057" s="2" t="s">
        <v>572</v>
      </c>
      <c r="D2057" s="2" t="str">
        <f t="shared" si="31"/>
        <v>Error?</v>
      </c>
    </row>
    <row r="2058" spans="1:4" x14ac:dyDescent="0.2">
      <c r="A2058" s="5">
        <v>1997</v>
      </c>
      <c r="B2058" s="138">
        <f>'Cap Outlay Deprec 26'!L10</f>
        <v>1010363</v>
      </c>
      <c r="C2058" s="2" t="s">
        <v>572</v>
      </c>
      <c r="D2058" s="2" t="str">
        <f t="shared" si="31"/>
        <v>Error?</v>
      </c>
    </row>
    <row r="2059" spans="1:4" x14ac:dyDescent="0.2">
      <c r="A2059" s="5">
        <v>1998</v>
      </c>
      <c r="B2059" s="138">
        <f>'Cap Outlay Deprec 26'!L12</f>
        <v>1667714</v>
      </c>
      <c r="C2059" s="2" t="s">
        <v>572</v>
      </c>
      <c r="D2059" s="2" t="str">
        <f t="shared" si="31"/>
        <v>Error?</v>
      </c>
    </row>
    <row r="2060" spans="1:4" x14ac:dyDescent="0.2">
      <c r="A2060" s="5">
        <v>1999</v>
      </c>
      <c r="B2060" s="138">
        <f>'Cap Outlay Deprec 26'!L13</f>
        <v>3174406</v>
      </c>
      <c r="C2060" s="2" t="s">
        <v>572</v>
      </c>
      <c r="D2060" s="2" t="str">
        <f t="shared" si="31"/>
        <v>Error?</v>
      </c>
    </row>
    <row r="2061" spans="1:4" x14ac:dyDescent="0.2">
      <c r="A2061" s="5">
        <v>2000</v>
      </c>
      <c r="B2061" s="138">
        <f>'Cap Outlay Deprec 26'!L16</f>
        <v>75633084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5003399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355233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405115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1470392</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5665447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1815782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34138639</v>
      </c>
      <c r="C2551" s="2" t="s">
        <v>572</v>
      </c>
      <c r="D2551" s="2" t="str">
        <f t="shared" si="38"/>
        <v>Error?</v>
      </c>
    </row>
    <row r="2552" spans="1:4" x14ac:dyDescent="0.2">
      <c r="A2552" s="10">
        <v>2491</v>
      </c>
      <c r="D2552" s="2" t="str">
        <f t="shared" si="38"/>
        <v>OK</v>
      </c>
    </row>
    <row r="2553" spans="1:4" x14ac:dyDescent="0.2">
      <c r="A2553" s="5">
        <v>2492</v>
      </c>
      <c r="B2553" s="138">
        <f>'Acct Summary 7-8'!C6</f>
        <v>12024381</v>
      </c>
      <c r="C2553" s="2" t="s">
        <v>572</v>
      </c>
      <c r="D2553" s="2" t="str">
        <f t="shared" si="38"/>
        <v>Error?</v>
      </c>
    </row>
    <row r="2554" spans="1:4" x14ac:dyDescent="0.2">
      <c r="A2554" s="5">
        <v>2493</v>
      </c>
      <c r="B2554" s="138">
        <f>'Acct Summary 7-8'!C7</f>
        <v>2423309</v>
      </c>
      <c r="C2554" s="2" t="s">
        <v>572</v>
      </c>
      <c r="D2554" s="2" t="str">
        <f t="shared" si="38"/>
        <v>Error?</v>
      </c>
    </row>
    <row r="2555" spans="1:4" x14ac:dyDescent="0.2">
      <c r="A2555" s="5">
        <v>2494</v>
      </c>
      <c r="B2555" s="138">
        <f>'Acct Summary 7-8'!C8</f>
        <v>48586329</v>
      </c>
      <c r="C2555" s="2" t="s">
        <v>572</v>
      </c>
      <c r="D2555" s="2" t="str">
        <f t="shared" si="38"/>
        <v>Error?</v>
      </c>
    </row>
    <row r="2556" spans="1:4" x14ac:dyDescent="0.2">
      <c r="A2556" s="5">
        <v>2495</v>
      </c>
      <c r="B2556" s="138">
        <f>'Acct Summary 7-8'!C12</f>
        <v>29286926</v>
      </c>
      <c r="C2556" s="2" t="s">
        <v>572</v>
      </c>
      <c r="D2556" s="2" t="str">
        <f t="shared" si="38"/>
        <v>Error?</v>
      </c>
    </row>
    <row r="2557" spans="1:4" x14ac:dyDescent="0.2">
      <c r="A2557" s="5">
        <v>2496</v>
      </c>
      <c r="B2557" s="138">
        <f>'Acct Summary 7-8'!C13</f>
        <v>13630373</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5003399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47920698</v>
      </c>
      <c r="C2561" s="2" t="s">
        <v>572</v>
      </c>
      <c r="D2561" s="2" t="str">
        <f t="shared" si="39"/>
        <v>Error?</v>
      </c>
    </row>
    <row r="2562" spans="1:4" x14ac:dyDescent="0.2">
      <c r="A2562" s="5">
        <v>2501</v>
      </c>
      <c r="B2562" s="138">
        <f>'Acct Summary 7-8'!C20</f>
        <v>665631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4530679</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4530679</v>
      </c>
      <c r="C2568" s="2" t="s">
        <v>572</v>
      </c>
      <c r="D2568" s="2" t="str">
        <f t="shared" si="39"/>
        <v>Error?</v>
      </c>
    </row>
    <row r="2569" spans="1:4" x14ac:dyDescent="0.2">
      <c r="A2569" s="5">
        <v>2508</v>
      </c>
      <c r="B2569" s="138">
        <f>'Acct Summary 7-8'!D13</f>
        <v>4714682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4714682</v>
      </c>
      <c r="C2573" s="2" t="s">
        <v>572</v>
      </c>
      <c r="D2573" s="2" t="str">
        <f t="shared" si="39"/>
        <v>Error?</v>
      </c>
    </row>
    <row r="2574" spans="1:4" x14ac:dyDescent="0.2">
      <c r="A2574" s="5">
        <v>2513</v>
      </c>
      <c r="B2574" s="138">
        <f>'Acct Summary 7-8'!D20</f>
        <v>-184003</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1578260</v>
      </c>
      <c r="C2591" s="2" t="s">
        <v>572</v>
      </c>
      <c r="D2591" s="2" t="str">
        <f t="shared" si="39"/>
        <v>Error?</v>
      </c>
    </row>
    <row r="2592" spans="1:4" x14ac:dyDescent="0.2">
      <c r="A2592" s="10">
        <v>2531</v>
      </c>
      <c r="D2592" s="2" t="str">
        <f t="shared" si="39"/>
        <v>OK</v>
      </c>
    </row>
    <row r="2593" spans="1:4" x14ac:dyDescent="0.2">
      <c r="A2593" s="5">
        <v>2532</v>
      </c>
      <c r="B2593" s="138">
        <f>'Acct Summary 7-8'!F6</f>
        <v>3357314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4935574</v>
      </c>
      <c r="C2595" s="2" t="s">
        <v>572</v>
      </c>
      <c r="D2595" s="2" t="str">
        <f t="shared" si="39"/>
        <v>Error?</v>
      </c>
    </row>
    <row r="2596" spans="1:4" x14ac:dyDescent="0.2">
      <c r="A2596" s="5">
        <v>2535</v>
      </c>
      <c r="B2596" s="138">
        <f>'Acct Summary 7-8'!F13</f>
        <v>5194935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720701</v>
      </c>
      <c r="C2599" s="2" t="s">
        <v>572</v>
      </c>
      <c r="D2599" s="2" t="str">
        <f t="shared" si="39"/>
        <v>Error?</v>
      </c>
    </row>
    <row r="2600" spans="1:4" x14ac:dyDescent="0.2">
      <c r="A2600" s="5">
        <v>2539</v>
      </c>
      <c r="B2600" s="138">
        <f>'Acct Summary 7-8'!F17</f>
        <v>5915636</v>
      </c>
      <c r="C2600" s="2" t="s">
        <v>572</v>
      </c>
      <c r="D2600" s="2" t="str">
        <f t="shared" si="39"/>
        <v>Error?</v>
      </c>
    </row>
    <row r="2601" spans="1:4" x14ac:dyDescent="0.2">
      <c r="A2601" s="5">
        <v>2540</v>
      </c>
      <c r="B2601" s="138">
        <f>'Acct Summary 7-8'!F20</f>
        <v>-980062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2196362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2196362</v>
      </c>
      <c r="C2606" s="2" t="s">
        <v>572</v>
      </c>
      <c r="D2606" s="2" t="str">
        <f t="shared" si="39"/>
        <v>Error?</v>
      </c>
    </row>
    <row r="2607" spans="1:4" x14ac:dyDescent="0.2">
      <c r="A2607" s="5">
        <v>2546</v>
      </c>
      <c r="B2607" s="138">
        <f>'Acct Summary 7-8'!G12</f>
        <v>711627</v>
      </c>
      <c r="C2607" s="2" t="s">
        <v>572</v>
      </c>
      <c r="D2607" s="2" t="str">
        <f t="shared" si="39"/>
        <v>Error?</v>
      </c>
    </row>
    <row r="2608" spans="1:4" x14ac:dyDescent="0.2">
      <c r="A2608" s="5">
        <v>2547</v>
      </c>
      <c r="B2608" s="138">
        <f>'Acct Summary 7-8'!G13</f>
        <v>1526915</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2238542</v>
      </c>
      <c r="C2612" s="2" t="s">
        <v>572</v>
      </c>
      <c r="D2612" s="2" t="str">
        <f t="shared" si="39"/>
        <v>Error?</v>
      </c>
    </row>
    <row r="2613" spans="1:4" x14ac:dyDescent="0.2">
      <c r="A2613" s="5">
        <v>2552</v>
      </c>
      <c r="B2613" s="138">
        <f>'Acct Summary 7-8'!G20</f>
        <v>-42180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11239936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11239936</v>
      </c>
      <c r="C2632" s="2" t="s">
        <v>572</v>
      </c>
      <c r="D2632" s="2" t="str">
        <f t="shared" si="40"/>
        <v>Error?</v>
      </c>
    </row>
    <row r="2633" spans="1:4" x14ac:dyDescent="0.2">
      <c r="A2633" s="5">
        <v>2572</v>
      </c>
      <c r="B2633" s="138">
        <f>'Acct Summary 7-8'!E15</f>
        <v>96860</v>
      </c>
      <c r="C2633" s="2" t="s">
        <v>572</v>
      </c>
      <c r="D2633" s="2" t="str">
        <f t="shared" si="40"/>
        <v>Error?</v>
      </c>
    </row>
    <row r="2634" spans="1:4" x14ac:dyDescent="0.2">
      <c r="A2634" s="5">
        <v>2573</v>
      </c>
      <c r="B2634" s="138">
        <f>'Acct Summary 7-8'!E16</f>
        <v>11981778</v>
      </c>
      <c r="C2634" s="2" t="s">
        <v>572</v>
      </c>
      <c r="D2634" s="2" t="str">
        <f t="shared" si="40"/>
        <v>Error?</v>
      </c>
    </row>
    <row r="2635" spans="1:4" x14ac:dyDescent="0.2">
      <c r="A2635" s="5">
        <v>2574</v>
      </c>
      <c r="B2635" s="138">
        <f>'Acct Summary 7-8'!E17</f>
        <v>12078638</v>
      </c>
      <c r="C2635" s="2" t="s">
        <v>572</v>
      </c>
      <c r="D2635" s="2" t="str">
        <f t="shared" si="40"/>
        <v>Error?</v>
      </c>
    </row>
    <row r="2636" spans="1:4" x14ac:dyDescent="0.2">
      <c r="A2636" s="5">
        <v>2575</v>
      </c>
      <c r="B2636" s="138">
        <f>'Acct Summary 7-8'!E20</f>
        <v>-838702</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37339</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37339</v>
      </c>
      <c r="C2658" s="2" t="s">
        <v>572</v>
      </c>
      <c r="D2658" s="2" t="str">
        <f t="shared" si="40"/>
        <v>Error?</v>
      </c>
    </row>
    <row r="2659" spans="1:4" x14ac:dyDescent="0.2">
      <c r="A2659" s="5">
        <v>2598</v>
      </c>
      <c r="B2659" s="138">
        <f>'Acct Summary 7-8'!H13</f>
        <v>1387394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1387394</v>
      </c>
      <c r="C2661" s="2" t="s">
        <v>572</v>
      </c>
      <c r="D2661" s="2" t="str">
        <f t="shared" si="40"/>
        <v>Error?</v>
      </c>
    </row>
    <row r="2662" spans="1:4" x14ac:dyDescent="0.2">
      <c r="A2662" s="5">
        <v>2601</v>
      </c>
      <c r="B2662" s="138">
        <f>'Acct Summary 7-8'!H20</f>
        <v>-1350055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153979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16592017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4152</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16587865</v>
      </c>
      <c r="D2912" s="2" t="str">
        <f t="shared" si="44"/>
        <v>Error?</v>
      </c>
    </row>
    <row r="2913" spans="1:4" x14ac:dyDescent="0.2">
      <c r="A2913" s="5">
        <v>2852</v>
      </c>
      <c r="B2913" s="138">
        <f>'Assets-Liab 5-6'!I41</f>
        <v>16592017</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718586</v>
      </c>
      <c r="D3055" s="2" t="str">
        <f t="shared" si="46"/>
        <v>Error?</v>
      </c>
    </row>
    <row r="3056" spans="1:4" x14ac:dyDescent="0.2">
      <c r="A3056" s="5">
        <v>2995</v>
      </c>
      <c r="B3056" s="138">
        <f>'Expenditures 15-22'!D10</f>
        <v>66574</v>
      </c>
      <c r="D3056" s="2" t="str">
        <f t="shared" si="46"/>
        <v>Error?</v>
      </c>
    </row>
    <row r="3057" spans="1:4" x14ac:dyDescent="0.2">
      <c r="A3057" s="5">
        <v>2996</v>
      </c>
      <c r="B3057" s="138">
        <f>'Expenditures 15-22'!E10</f>
        <v>113391</v>
      </c>
      <c r="D3057" s="2" t="str">
        <f t="shared" si="46"/>
        <v>Error?</v>
      </c>
    </row>
    <row r="3058" spans="1:4" x14ac:dyDescent="0.2">
      <c r="A3058" s="5">
        <v>2997</v>
      </c>
      <c r="B3058" s="138">
        <f>'Expenditures 15-22'!F10</f>
        <v>144474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1071141</v>
      </c>
      <c r="C3062" s="2" t="s">
        <v>572</v>
      </c>
      <c r="D3062" s="2" t="str">
        <f t="shared" si="46"/>
        <v>Error?</v>
      </c>
    </row>
    <row r="3063" spans="1:4" x14ac:dyDescent="0.2">
      <c r="A3063" s="10">
        <v>3002</v>
      </c>
      <c r="D3063" s="2" t="str">
        <f t="shared" si="46"/>
        <v>OK</v>
      </c>
    </row>
    <row r="3064" spans="1:4" x14ac:dyDescent="0.2">
      <c r="A3064" s="5">
        <v>3003</v>
      </c>
      <c r="B3064" s="138">
        <f>'Expenditures 15-22'!D219</f>
        <v>9419</v>
      </c>
      <c r="D3064" s="2" t="str">
        <f t="shared" si="46"/>
        <v>Error?</v>
      </c>
    </row>
    <row r="3065" spans="1:4" x14ac:dyDescent="0.2">
      <c r="A3065" s="5">
        <v>3004</v>
      </c>
      <c r="B3065" s="138">
        <f>'Expenditures 15-22'!K219</f>
        <v>9419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11200000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362614</v>
      </c>
      <c r="C3225" s="2" t="s">
        <v>572</v>
      </c>
      <c r="D3225" s="2" t="str">
        <f t="shared" si="49"/>
        <v>Error?</v>
      </c>
    </row>
    <row r="3226" spans="1:4" x14ac:dyDescent="0.2">
      <c r="A3226" s="5">
        <v>3165</v>
      </c>
      <c r="B3226" s="138">
        <f>'Acct Summary 7-8'!I8</f>
        <v>362614</v>
      </c>
      <c r="C3226" s="2" t="s">
        <v>572</v>
      </c>
      <c r="D3226" s="2" t="str">
        <f t="shared" si="49"/>
        <v>Error?</v>
      </c>
    </row>
    <row r="3227" spans="1:4" x14ac:dyDescent="0.2">
      <c r="A3227" s="5">
        <v>3166</v>
      </c>
      <c r="B3227" s="138">
        <f>'Acct Summary 7-8'!I20</f>
        <v>362614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355233</v>
      </c>
      <c r="C3229" s="2" t="s">
        <v>572</v>
      </c>
      <c r="D3229" s="2" t="str">
        <f t="shared" si="49"/>
        <v>Error?</v>
      </c>
    </row>
    <row r="3230" spans="1:4" x14ac:dyDescent="0.2">
      <c r="A3230" s="5">
        <v>3169</v>
      </c>
      <c r="B3230" s="138">
        <f>'Acct Summary 7-8'!C75</f>
        <v>2000000</v>
      </c>
      <c r="D3230" s="2" t="str">
        <f t="shared" si="49"/>
        <v>Error?</v>
      </c>
    </row>
    <row r="3231" spans="1:4" x14ac:dyDescent="0.2">
      <c r="A3231" s="5">
        <v>3170</v>
      </c>
      <c r="B3231" s="138">
        <f>'Acct Summary 7-8'!C76</f>
        <v>2000000</v>
      </c>
      <c r="C3231" s="2" t="s">
        <v>572</v>
      </c>
      <c r="D3231" s="2" t="str">
        <f t="shared" si="49"/>
        <v>Error?</v>
      </c>
    </row>
    <row r="3232" spans="1:4" x14ac:dyDescent="0.2">
      <c r="A3232" s="5">
        <v>3171</v>
      </c>
      <c r="B3232" s="138">
        <f>'Acct Summary 7-8'!C77</f>
        <v>-1644767</v>
      </c>
      <c r="C3232" s="2" t="s">
        <v>572</v>
      </c>
      <c r="D3232" s="2" t="str">
        <f t="shared" si="49"/>
        <v>Error?</v>
      </c>
    </row>
    <row r="3233" spans="1:4" x14ac:dyDescent="0.2">
      <c r="A3233" s="5">
        <v>3172</v>
      </c>
      <c r="B3233" s="138">
        <f>'Acct Summary 7-8'!C78</f>
        <v>-979136</v>
      </c>
      <c r="C3233" s="2" t="s">
        <v>572</v>
      </c>
      <c r="D3233" s="2" t="str">
        <f t="shared" si="49"/>
        <v>Error?</v>
      </c>
    </row>
    <row r="3234" spans="1:4" x14ac:dyDescent="0.2">
      <c r="A3234" s="5">
        <v>3173</v>
      </c>
      <c r="B3234" s="138">
        <f>'Acct Summary 7-8'!D43</f>
        <v>2000000</v>
      </c>
      <c r="D3234" s="2" t="str">
        <f t="shared" si="49"/>
        <v>Error?</v>
      </c>
    </row>
    <row r="3235" spans="1:4" x14ac:dyDescent="0.2">
      <c r="A3235" s="5">
        <v>3174</v>
      </c>
      <c r="B3235" s="138">
        <f>'Acct Summary 7-8'!D44</f>
        <v>2000000</v>
      </c>
      <c r="C3235" s="2" t="s">
        <v>572</v>
      </c>
      <c r="D3235" s="2" t="str">
        <f t="shared" si="49"/>
        <v>Error?</v>
      </c>
    </row>
    <row r="3236" spans="1:4" x14ac:dyDescent="0.2">
      <c r="A3236" s="5">
        <v>3175</v>
      </c>
      <c r="B3236" s="138">
        <f>'Acct Summary 7-8'!D75</f>
        <v>2000000</v>
      </c>
      <c r="D3236" s="2" t="str">
        <f t="shared" si="49"/>
        <v>Error?</v>
      </c>
    </row>
    <row r="3237" spans="1:4" x14ac:dyDescent="0.2">
      <c r="A3237" s="5">
        <v>3176</v>
      </c>
      <c r="B3237" s="138">
        <f>'Acct Summary 7-8'!D76</f>
        <v>2000000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-184003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682171</v>
      </c>
      <c r="D3251" s="2" t="str">
        <f t="shared" si="49"/>
        <v>Error?</v>
      </c>
    </row>
    <row r="3252" spans="1:4" x14ac:dyDescent="0.2">
      <c r="A3252" s="5">
        <v>3191</v>
      </c>
      <c r="B3252" s="138">
        <f>'Acct Summary 7-8'!F44</f>
        <v>695671</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695671</v>
      </c>
      <c r="C3255" s="2" t="s">
        <v>572</v>
      </c>
      <c r="D3255" s="2" t="str">
        <f t="shared" si="49"/>
        <v>Error?</v>
      </c>
    </row>
    <row r="3256" spans="1:4" x14ac:dyDescent="0.2">
      <c r="A3256" s="5">
        <v>3195</v>
      </c>
      <c r="B3256" s="138">
        <f>'Acct Summary 7-8'!F78</f>
        <v>-284391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-42180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11200000</v>
      </c>
      <c r="C3274" s="2" t="s">
        <v>572</v>
      </c>
      <c r="D3274" s="2" t="str">
        <f t="shared" si="50"/>
        <v>Error?</v>
      </c>
    </row>
    <row r="3275" spans="1:4" x14ac:dyDescent="0.2">
      <c r="A3275" s="5">
        <v>3214</v>
      </c>
      <c r="B3275" s="138">
        <f>'Acct Summary 7-8'!E75</f>
        <v>11013006</v>
      </c>
      <c r="D3275" s="2" t="str">
        <f t="shared" si="50"/>
        <v>Error?</v>
      </c>
    </row>
    <row r="3276" spans="1:4" x14ac:dyDescent="0.2">
      <c r="A3276" s="5">
        <v>3215</v>
      </c>
      <c r="B3276" s="138">
        <f>'Acct Summary 7-8'!E76</f>
        <v>11013006</v>
      </c>
      <c r="C3276" s="2" t="s">
        <v>572</v>
      </c>
      <c r="D3276" s="2" t="str">
        <f t="shared" si="50"/>
        <v>Error?</v>
      </c>
    </row>
    <row r="3277" spans="1:4" x14ac:dyDescent="0.2">
      <c r="A3277" s="5">
        <v>3216</v>
      </c>
      <c r="B3277" s="138">
        <f>'Acct Summary 7-8'!E77</f>
        <v>186994</v>
      </c>
      <c r="C3277" s="2" t="s">
        <v>572</v>
      </c>
      <c r="D3277" s="2" t="str">
        <f t="shared" si="50"/>
        <v>Error?</v>
      </c>
    </row>
    <row r="3278" spans="1:4" x14ac:dyDescent="0.2">
      <c r="A3278" s="5">
        <v>3217</v>
      </c>
      <c r="B3278" s="138">
        <f>'Acct Summary 7-8'!E78</f>
        <v>-651708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2000000</v>
      </c>
      <c r="D3295" s="2" t="str">
        <f t="shared" si="50"/>
        <v>Error?</v>
      </c>
    </row>
    <row r="3296" spans="1:4" x14ac:dyDescent="0.2">
      <c r="A3296" s="5">
        <v>3235</v>
      </c>
      <c r="B3296" s="138">
        <f>'Acct Summary 7-8'!H44</f>
        <v>2000000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2000000</v>
      </c>
      <c r="C3299" s="2" t="s">
        <v>572</v>
      </c>
      <c r="D3299" s="2" t="str">
        <f t="shared" si="50"/>
        <v>Error?</v>
      </c>
    </row>
    <row r="3300" spans="1:4" x14ac:dyDescent="0.2">
      <c r="A3300" s="5">
        <v>3239</v>
      </c>
      <c r="B3300" s="138">
        <f>'Acct Summary 7-8'!H78</f>
        <v>649945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355233</v>
      </c>
      <c r="C3318" s="2" t="s">
        <v>572</v>
      </c>
      <c r="D3318" s="2" t="str">
        <f t="shared" si="50"/>
        <v>Error?</v>
      </c>
    </row>
    <row r="3319" spans="1:4" x14ac:dyDescent="0.2">
      <c r="A3319" s="5">
        <v>3258</v>
      </c>
      <c r="B3319" s="138">
        <f>'Acct Summary 7-8'!I77</f>
        <v>-355233</v>
      </c>
      <c r="C3319" s="2" t="s">
        <v>572</v>
      </c>
      <c r="D3319" s="2" t="str">
        <f t="shared" si="50"/>
        <v>Error?</v>
      </c>
    </row>
    <row r="3320" spans="1:4" x14ac:dyDescent="0.2">
      <c r="A3320" s="5">
        <v>3259</v>
      </c>
      <c r="B3320" s="138">
        <f>'Acct Summary 7-8'!I78</f>
        <v>7381</v>
      </c>
      <c r="C3320" s="2" t="s">
        <v>572</v>
      </c>
      <c r="D3320" s="2" t="str">
        <f t="shared" si="50"/>
        <v>Error?</v>
      </c>
    </row>
    <row r="3321" spans="1:4" x14ac:dyDescent="0.2">
      <c r="A3321" s="5">
        <v>3260</v>
      </c>
      <c r="B3321" s="138">
        <f>'Acct Summary 7-8'!I79</f>
        <v>16580484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16587865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4781668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883376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329997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848415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124294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6058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7010521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234205</v>
      </c>
      <c r="D3387" s="2" t="str">
        <f t="shared" si="51"/>
        <v>Error?</v>
      </c>
    </row>
    <row r="3388" spans="1:4" x14ac:dyDescent="0.2">
      <c r="A3388" s="5">
        <v>3327</v>
      </c>
      <c r="B3388" s="138">
        <f>'Expenditures 15-22'!D217</f>
        <v>330951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234205</v>
      </c>
      <c r="C3390" s="2" t="s">
        <v>572</v>
      </c>
      <c r="D3390" s="2" t="str">
        <f t="shared" si="51"/>
        <v>Error?</v>
      </c>
    </row>
    <row r="3391" spans="1:4" x14ac:dyDescent="0.2">
      <c r="A3391" s="5">
        <v>3330</v>
      </c>
      <c r="B3391" s="138">
        <f>'Expenditures 15-22'!K217</f>
        <v>330951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12783263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450563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4556572</v>
      </c>
      <c r="D3417" s="2" t="str">
        <f t="shared" si="52"/>
        <v>Error?</v>
      </c>
    </row>
    <row r="3418" spans="1:4" x14ac:dyDescent="0.2">
      <c r="A3418" s="10">
        <v>3357</v>
      </c>
      <c r="D3418" s="2" t="str">
        <f t="shared" si="52"/>
        <v>OK</v>
      </c>
    </row>
    <row r="3419" spans="1:4" x14ac:dyDescent="0.2">
      <c r="A3419" s="5">
        <v>3358</v>
      </c>
      <c r="B3419" s="138">
        <f>'Assets-Liab 5-6'!F4</f>
        <v>951028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1801454</v>
      </c>
      <c r="D3425" s="2" t="str">
        <f t="shared" si="52"/>
        <v>Error?</v>
      </c>
    </row>
    <row r="3426" spans="1:4" x14ac:dyDescent="0.2">
      <c r="A3426" s="10">
        <v>3365</v>
      </c>
      <c r="D3426" s="2" t="str">
        <f t="shared" si="52"/>
        <v>OK</v>
      </c>
    </row>
    <row r="3427" spans="1:4" x14ac:dyDescent="0.2">
      <c r="A3427" s="5">
        <v>3366</v>
      </c>
      <c r="B3427" s="138">
        <f>'Assets-Liab 5-6'!I4</f>
        <v>16592017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1089383</v>
      </c>
      <c r="C3446" s="2" t="s">
        <v>572</v>
      </c>
      <c r="D3446" s="2" t="str">
        <f t="shared" si="52"/>
        <v>Error?</v>
      </c>
    </row>
    <row r="3447" spans="1:4" x14ac:dyDescent="0.2">
      <c r="A3447" s="5">
        <v>3386</v>
      </c>
      <c r="B3447" s="138">
        <f>'Tax Sched 23'!D16</f>
        <v>520155</v>
      </c>
      <c r="C3447" s="2" t="s">
        <v>572</v>
      </c>
      <c r="D3447" s="2" t="str">
        <f t="shared" si="52"/>
        <v>Error?</v>
      </c>
    </row>
    <row r="3448" spans="1:4" x14ac:dyDescent="0.2">
      <c r="A3448" s="5">
        <v>3387</v>
      </c>
      <c r="B3448" s="138">
        <f>'Tax Sched 23'!C16</f>
        <v>569228</v>
      </c>
      <c r="D3448" s="2" t="str">
        <f t="shared" si="52"/>
        <v>Error?</v>
      </c>
    </row>
    <row r="3449" spans="1:4" x14ac:dyDescent="0.2">
      <c r="A3449" s="5">
        <v>3388</v>
      </c>
      <c r="B3449" s="138">
        <f>'Tax Sched 23'!F16</f>
        <v>580083</v>
      </c>
      <c r="C3449" s="2" t="s">
        <v>572</v>
      </c>
      <c r="D3449" s="2" t="str">
        <f t="shared" si="52"/>
        <v>Error?</v>
      </c>
    </row>
    <row r="3450" spans="1:4" x14ac:dyDescent="0.2">
      <c r="A3450" s="5">
        <v>3389</v>
      </c>
      <c r="B3450" s="138">
        <f>'Tax Sched 23'!E16</f>
        <v>1149311</v>
      </c>
      <c r="D3450" s="2" t="str">
        <f t="shared" si="52"/>
        <v>Error?</v>
      </c>
    </row>
    <row r="3451" spans="1:4" x14ac:dyDescent="0.2">
      <c r="A3451" s="5">
        <v>3390</v>
      </c>
      <c r="B3451" s="138">
        <f>'Cap Outlay Deprec 26'!C15</f>
        <v>110462</v>
      </c>
      <c r="D3451" s="2" t="str">
        <f t="shared" si="52"/>
        <v>Error?</v>
      </c>
    </row>
    <row r="3452" spans="1:4" x14ac:dyDescent="0.2">
      <c r="A3452" s="5">
        <v>3391</v>
      </c>
      <c r="B3452" s="138">
        <f>'Cap Outlay Deprec 26'!D15</f>
        <v>153979</v>
      </c>
      <c r="D3452" s="2" t="str">
        <f t="shared" si="52"/>
        <v>Error?</v>
      </c>
    </row>
    <row r="3453" spans="1:4" x14ac:dyDescent="0.2">
      <c r="A3453" s="5">
        <v>3392</v>
      </c>
      <c r="B3453" s="138">
        <f>'Cap Outlay Deprec 26'!E15</f>
        <v>110462</v>
      </c>
      <c r="D3453" s="2" t="str">
        <f t="shared" si="52"/>
        <v>Error?</v>
      </c>
    </row>
    <row r="3454" spans="1:4" x14ac:dyDescent="0.2">
      <c r="A3454" s="5">
        <v>3393</v>
      </c>
      <c r="B3454" s="138">
        <f>'Cap Outlay Deprec 26'!F15</f>
        <v>153979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153979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13500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21513196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70099525</v>
      </c>
      <c r="C4122" s="2" t="s">
        <v>572</v>
      </c>
      <c r="D4122" s="2" t="str">
        <f t="shared" si="63"/>
        <v>Error?</v>
      </c>
    </row>
    <row r="4123" spans="1:4" x14ac:dyDescent="0.2">
      <c r="A4123" s="5">
        <v>4062</v>
      </c>
      <c r="B4123" s="138">
        <f>'Acct Summary 7-8'!D10</f>
        <v>4530679</v>
      </c>
      <c r="C4123" s="2" t="s">
        <v>572</v>
      </c>
      <c r="D4123" s="2" t="str">
        <f t="shared" si="63"/>
        <v>Error?</v>
      </c>
    </row>
    <row r="4124" spans="1:4" x14ac:dyDescent="0.2">
      <c r="A4124" s="5">
        <v>4063</v>
      </c>
      <c r="B4124" s="138">
        <f>'Acct Summary 7-8'!E10</f>
        <v>11239936</v>
      </c>
      <c r="C4124" s="2" t="s">
        <v>572</v>
      </c>
      <c r="D4124" s="2" t="str">
        <f t="shared" si="63"/>
        <v>Error?</v>
      </c>
    </row>
    <row r="4125" spans="1:4" x14ac:dyDescent="0.2">
      <c r="A4125" s="5">
        <v>4064</v>
      </c>
      <c r="B4125" s="138">
        <f>'Acct Summary 7-8'!F10</f>
        <v>4935574</v>
      </c>
      <c r="C4125" s="2" t="s">
        <v>572</v>
      </c>
      <c r="D4125" s="2" t="str">
        <f t="shared" si="63"/>
        <v>Error?</v>
      </c>
    </row>
    <row r="4126" spans="1:4" x14ac:dyDescent="0.2">
      <c r="A4126" s="5">
        <v>4065</v>
      </c>
      <c r="B4126" s="138">
        <f>'Acct Summary 7-8'!G10</f>
        <v>2196362</v>
      </c>
      <c r="C4126" s="2" t="s">
        <v>572</v>
      </c>
      <c r="D4126" s="2" t="str">
        <f t="shared" si="63"/>
        <v>Error?</v>
      </c>
    </row>
    <row r="4127" spans="1:4" x14ac:dyDescent="0.2">
      <c r="A4127" s="5">
        <v>4066</v>
      </c>
      <c r="B4127" s="138">
        <f>'Acct Summary 7-8'!H10</f>
        <v>37339</v>
      </c>
      <c r="C4127" s="2" t="s">
        <v>572</v>
      </c>
      <c r="D4127" s="2" t="str">
        <f t="shared" si="63"/>
        <v>Error?</v>
      </c>
    </row>
    <row r="4128" spans="1:4" x14ac:dyDescent="0.2">
      <c r="A4128" s="5">
        <v>4067</v>
      </c>
      <c r="B4128" s="138">
        <f>'Acct Summary 7-8'!I10</f>
        <v>362614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21513196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69433894</v>
      </c>
      <c r="C4136" s="2" t="s">
        <v>572</v>
      </c>
      <c r="D4136" s="2" t="str">
        <f t="shared" si="63"/>
        <v>Error?</v>
      </c>
    </row>
    <row r="4137" spans="1:4" x14ac:dyDescent="0.2">
      <c r="A4137" s="5">
        <v>4076</v>
      </c>
      <c r="B4137" s="138">
        <f>'Acct Summary 7-8'!D19</f>
        <v>4714682</v>
      </c>
      <c r="C4137" s="2" t="s">
        <v>572</v>
      </c>
      <c r="D4137" s="2" t="str">
        <f t="shared" si="63"/>
        <v>Error?</v>
      </c>
    </row>
    <row r="4138" spans="1:4" x14ac:dyDescent="0.2">
      <c r="A4138" s="5">
        <v>4077</v>
      </c>
      <c r="B4138" s="138">
        <f>'Acct Summary 7-8'!E19</f>
        <v>12078638</v>
      </c>
      <c r="C4138" s="2" t="s">
        <v>572</v>
      </c>
      <c r="D4138" s="2" t="str">
        <f t="shared" si="63"/>
        <v>Error?</v>
      </c>
    </row>
    <row r="4139" spans="1:4" x14ac:dyDescent="0.2">
      <c r="A4139" s="5">
        <v>4078</v>
      </c>
      <c r="B4139" s="138">
        <f>'Acct Summary 7-8'!F19</f>
        <v>5915636</v>
      </c>
      <c r="C4139" s="2" t="s">
        <v>572</v>
      </c>
      <c r="D4139" s="2" t="str">
        <f t="shared" si="63"/>
        <v>Error?</v>
      </c>
    </row>
    <row r="4140" spans="1:4" x14ac:dyDescent="0.2">
      <c r="A4140" s="5">
        <v>4079</v>
      </c>
      <c r="B4140" s="138">
        <f>'Acct Summary 7-8'!G19</f>
        <v>2238542</v>
      </c>
      <c r="C4140" s="2" t="s">
        <v>572</v>
      </c>
      <c r="D4140" s="2" t="str">
        <f t="shared" si="63"/>
        <v>Error?</v>
      </c>
    </row>
    <row r="4141" spans="1:4" x14ac:dyDescent="0.2">
      <c r="A4141" s="5">
        <v>4080</v>
      </c>
      <c r="B4141" s="138">
        <f>'Acct Summary 7-8'!H19</f>
        <v>1387394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55225766</v>
      </c>
      <c r="C4171" s="2" t="s">
        <v>572</v>
      </c>
      <c r="D4171" s="2" t="str">
        <f t="shared" si="64"/>
        <v>Error?</v>
      </c>
    </row>
    <row r="4172" spans="1:4" x14ac:dyDescent="0.2">
      <c r="A4172" s="5">
        <v>4111</v>
      </c>
      <c r="B4172" s="138">
        <f>'Short-Term Long-Term Debt 24'!J49</f>
        <v>49560319</v>
      </c>
      <c r="C4172" s="2" t="s">
        <v>572</v>
      </c>
      <c r="D4172" s="2" t="str">
        <f t="shared" si="64"/>
        <v>Error?</v>
      </c>
    </row>
    <row r="4173" spans="1:4" x14ac:dyDescent="0.2">
      <c r="A4173" s="5">
        <v>4112</v>
      </c>
      <c r="B4173" s="138">
        <f>'Short-Term Long-Term Debt 24'!H49</f>
        <v>9414873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-10555000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669873</v>
      </c>
      <c r="D4210" s="2" t="str">
        <f t="shared" si="64"/>
        <v>Error?</v>
      </c>
    </row>
    <row r="4211" spans="1:4" x14ac:dyDescent="0.2">
      <c r="A4211" s="5">
        <v>4150</v>
      </c>
      <c r="B4211" s="138">
        <f>'Expenditures 15-22'!K206</f>
        <v>669873</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3756.5309999999999</v>
      </c>
      <c r="C4265" s="2" t="s">
        <v>572</v>
      </c>
      <c r="D4265" s="2" t="str">
        <f t="shared" si="65"/>
        <v>Error?</v>
      </c>
      <c r="E4265" s="128"/>
    </row>
    <row r="4266" spans="1:5" x14ac:dyDescent="0.2">
      <c r="A4266" s="12">
        <v>4205</v>
      </c>
      <c r="B4266" s="138">
        <f>('FP Info 3'!F10)*100000</f>
        <v>613</v>
      </c>
      <c r="C4266" s="2" t="s">
        <v>572</v>
      </c>
      <c r="D4266" s="2" t="str">
        <f t="shared" si="65"/>
        <v>Error?</v>
      </c>
      <c r="E4266" s="128"/>
    </row>
    <row r="4267" spans="1:5" x14ac:dyDescent="0.2">
      <c r="A4267" s="12">
        <v>4206</v>
      </c>
      <c r="B4267" s="138">
        <f>('FP Info 3'!H10)*100000</f>
        <v>195</v>
      </c>
      <c r="C4267" s="2" t="s">
        <v>572</v>
      </c>
      <c r="D4267" s="2" t="str">
        <f t="shared" si="65"/>
        <v>Error?</v>
      </c>
      <c r="E4267" s="128"/>
    </row>
    <row r="4268" spans="1:5" x14ac:dyDescent="0.2">
      <c r="A4268" s="12">
        <v>4207</v>
      </c>
      <c r="B4268" s="138">
        <f>('FP Info 3'!J10)*100000</f>
        <v>4565</v>
      </c>
      <c r="C4268" s="2" t="s">
        <v>572</v>
      </c>
      <c r="D4268" s="2" t="str">
        <f t="shared" si="65"/>
        <v>Error?</v>
      </c>
    </row>
    <row r="4269" spans="1:5" x14ac:dyDescent="0.2">
      <c r="A4269" s="12">
        <v>4208</v>
      </c>
      <c r="B4269" s="138">
        <f>'FP Info 3'!J16</f>
        <v>29632312</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56744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344728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14735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57351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89453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6427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766207459</v>
      </c>
      <c r="D4995" s="2" t="str">
        <f t="shared" si="77"/>
        <v>Error?</v>
      </c>
    </row>
    <row r="4996" spans="1:4" x14ac:dyDescent="0.2">
      <c r="A4996" s="12">
        <v>4935</v>
      </c>
      <c r="B4996" s="138">
        <f>'FP Info 3'!H31</f>
        <v>105736629.34200001</v>
      </c>
      <c r="D4996" s="2" t="str">
        <f t="shared" si="77"/>
        <v>Error?</v>
      </c>
    </row>
    <row r="4997" spans="1:4" x14ac:dyDescent="0.2">
      <c r="A4997" s="12">
        <v>4936</v>
      </c>
      <c r="B4997" s="138">
        <f>'FP Info 3'!H37</f>
        <v>55225766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27510365</v>
      </c>
      <c r="D5061" s="2" t="str">
        <f t="shared" si="78"/>
        <v>Error?</v>
      </c>
    </row>
    <row r="5062" spans="1:4" x14ac:dyDescent="0.2">
      <c r="A5062" s="10">
        <v>5001</v>
      </c>
      <c r="D5062" s="2" t="str">
        <f t="shared" si="78"/>
        <v>OK</v>
      </c>
    </row>
    <row r="5063" spans="1:4" x14ac:dyDescent="0.2">
      <c r="A5063" s="5">
        <v>5002</v>
      </c>
      <c r="B5063" s="138">
        <f>'Revenues 9-14'!C7</f>
        <v>4074093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31584458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189804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189804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65635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65635</v>
      </c>
      <c r="C5087" s="2" t="s">
        <v>572</v>
      </c>
      <c r="D5087" s="2" t="str">
        <f t="shared" si="78"/>
        <v>Error?</v>
      </c>
    </row>
    <row r="5088" spans="1:4" x14ac:dyDescent="0.2">
      <c r="A5088" s="5">
        <v>5027</v>
      </c>
      <c r="B5088" s="138">
        <f>'Revenues 9-14'!C65</f>
        <v>208997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208997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423968</v>
      </c>
      <c r="C5096" s="2" t="s">
        <v>572</v>
      </c>
      <c r="D5096" s="2" t="str">
        <f t="shared" si="78"/>
        <v>Error?</v>
      </c>
    </row>
    <row r="5097" spans="1:4" x14ac:dyDescent="0.2">
      <c r="A5097" s="5">
        <v>5036</v>
      </c>
      <c r="B5097" s="138">
        <f>'Revenues 9-14'!C77</f>
        <v>28986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248865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277851</v>
      </c>
      <c r="C5102" s="2" t="s">
        <v>572</v>
      </c>
      <c r="D5102" s="2" t="str">
        <f t="shared" si="78"/>
        <v>Error?</v>
      </c>
    </row>
    <row r="5103" spans="1:4" x14ac:dyDescent="0.2">
      <c r="A5103" s="5">
        <v>5042</v>
      </c>
      <c r="B5103" s="138">
        <f>'Revenues 9-14'!C84</f>
        <v>503730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503730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884196</v>
      </c>
      <c r="D5119" s="2" t="str">
        <f t="shared" ref="D5119:D5182" si="79">IF(ISBLANK(B5119),"OK",IF(A5119-B5119=0,"OK","Error?"))</f>
        <v>Error?</v>
      </c>
    </row>
    <row r="5120" spans="1:4" x14ac:dyDescent="0.2">
      <c r="A5120" s="5">
        <v>5059</v>
      </c>
      <c r="B5120" s="138">
        <f>'Revenues 9-14'!C108</f>
        <v>884196</v>
      </c>
      <c r="C5120" s="2" t="s">
        <v>572</v>
      </c>
      <c r="D5120" s="2" t="str">
        <f t="shared" si="79"/>
        <v>Error?</v>
      </c>
    </row>
    <row r="5121" spans="1:4" x14ac:dyDescent="0.2">
      <c r="A5121" s="5">
        <v>5060</v>
      </c>
      <c r="B5121" s="138">
        <f>'Revenues 9-14'!C109</f>
        <v>34138639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10828186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10828186</v>
      </c>
      <c r="C5132" s="2" t="s">
        <v>572</v>
      </c>
      <c r="D5132" s="2" t="str">
        <f t="shared" si="79"/>
        <v>Error?</v>
      </c>
    </row>
    <row r="5133" spans="1:4" x14ac:dyDescent="0.2">
      <c r="A5133" s="5">
        <v>5072</v>
      </c>
      <c r="B5133" s="138">
        <f>'Revenues 9-14'!C125</f>
        <v>761956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761956</v>
      </c>
      <c r="C5147" s="2" t="s">
        <v>572</v>
      </c>
      <c r="D5147" s="2" t="str">
        <f t="shared" si="79"/>
        <v>Error?</v>
      </c>
    </row>
    <row r="5148" spans="1:4" x14ac:dyDescent="0.2">
      <c r="A5148" s="5">
        <v>5087</v>
      </c>
      <c r="B5148" s="138">
        <f>'Revenues 9-14'!C134</f>
        <v>24102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24102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11782</v>
      </c>
      <c r="D5167" s="2" t="str">
        <f t="shared" si="79"/>
        <v>Error?</v>
      </c>
    </row>
    <row r="5168" spans="1:4" x14ac:dyDescent="0.2">
      <c r="A5168" s="5">
        <v>5107</v>
      </c>
      <c r="B5168" s="138">
        <f>'Revenues 9-14'!C148</f>
        <v>31190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360738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1196195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12024381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549346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106199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655545</v>
      </c>
      <c r="C5246" s="2" t="s">
        <v>572</v>
      </c>
      <c r="D5246" s="2" t="str">
        <f t="shared" si="80"/>
        <v>Error?</v>
      </c>
    </row>
    <row r="5247" spans="1:4" x14ac:dyDescent="0.2">
      <c r="A5247" s="5">
        <v>5186</v>
      </c>
      <c r="B5247" s="138">
        <f>'Revenues 9-14'!C200</f>
        <v>533233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14735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533233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31470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586123</v>
      </c>
      <c r="D5278" s="2" t="str">
        <f t="shared" si="81"/>
        <v>Error?</v>
      </c>
    </row>
    <row r="5279" spans="1:4" x14ac:dyDescent="0.2">
      <c r="A5279" s="5">
        <v>5218</v>
      </c>
      <c r="B5279" s="138">
        <f>'Revenues 9-14'!C214</f>
        <v>29281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646874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23944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23944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702</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2423309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2423309</v>
      </c>
      <c r="C5326" s="2" t="s">
        <v>572</v>
      </c>
      <c r="D5326" s="2" t="str">
        <f t="shared" si="82"/>
        <v>Error?</v>
      </c>
    </row>
    <row r="5327" spans="1:5" x14ac:dyDescent="0.2">
      <c r="A5327" s="5">
        <v>5266</v>
      </c>
      <c r="B5327" s="138">
        <f>'Revenues 9-14'!C268</f>
        <v>48586329</v>
      </c>
      <c r="C5327" s="2" t="s">
        <v>572</v>
      </c>
      <c r="D5327" s="2" t="str">
        <f t="shared" si="82"/>
        <v>Error?</v>
      </c>
    </row>
    <row r="5328" spans="1:5" x14ac:dyDescent="0.2">
      <c r="A5328" s="5">
        <v>5267</v>
      </c>
      <c r="B5328" s="138">
        <f>'Revenues 9-14'!D5</f>
        <v>4510892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4510892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10571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10571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7125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2091</v>
      </c>
      <c r="D5354" s="2" t="str">
        <f t="shared" si="82"/>
        <v>Error?</v>
      </c>
    </row>
    <row r="5355" spans="1:4" x14ac:dyDescent="0.2">
      <c r="A5355" s="5">
        <v>5294</v>
      </c>
      <c r="B5355" s="138">
        <f>'Revenues 9-14'!D108</f>
        <v>9216</v>
      </c>
      <c r="C5355" s="2" t="s">
        <v>572</v>
      </c>
      <c r="D5355" s="2" t="str">
        <f t="shared" si="82"/>
        <v>Error?</v>
      </c>
    </row>
    <row r="5356" spans="1:4" x14ac:dyDescent="0.2">
      <c r="A5356" s="5">
        <v>5295</v>
      </c>
      <c r="B5356" s="138">
        <f>'Revenues 9-14'!D109</f>
        <v>4530679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4530679</v>
      </c>
      <c r="C5508" s="2" t="s">
        <v>572</v>
      </c>
      <c r="D5508" s="2" t="str">
        <f t="shared" si="85"/>
        <v>Error?</v>
      </c>
    </row>
    <row r="5509" spans="1:4" x14ac:dyDescent="0.2">
      <c r="A5509" s="5">
        <v>5448</v>
      </c>
      <c r="B5509" s="138">
        <f>'Revenues 9-14'!E5</f>
        <v>11163939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11163939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71497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71497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4500</v>
      </c>
      <c r="D5525" s="2" t="str">
        <f t="shared" si="85"/>
        <v>Error?</v>
      </c>
    </row>
    <row r="5526" spans="1:4" x14ac:dyDescent="0.2">
      <c r="A5526" s="5">
        <v>5465</v>
      </c>
      <c r="B5526" s="138">
        <f>'Revenues 9-14'!E108</f>
        <v>4500</v>
      </c>
      <c r="C5526" s="2" t="s">
        <v>572</v>
      </c>
      <c r="D5526" s="2" t="str">
        <f t="shared" si="85"/>
        <v>Error?</v>
      </c>
    </row>
    <row r="5527" spans="1:4" x14ac:dyDescent="0.2">
      <c r="A5527" s="5">
        <v>5466</v>
      </c>
      <c r="B5527" s="138">
        <f>'Revenues 9-14'!E109</f>
        <v>11239936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11239936</v>
      </c>
      <c r="C5552" s="2" t="s">
        <v>572</v>
      </c>
      <c r="D5552" s="2" t="str">
        <f t="shared" si="85"/>
        <v>Error?</v>
      </c>
    </row>
    <row r="5553" spans="1:4" x14ac:dyDescent="0.2">
      <c r="A5553" s="5">
        <v>5492</v>
      </c>
      <c r="B5553" s="138">
        <f>'Revenues 9-14'!F5</f>
        <v>1522012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1522012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11300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29649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40949</v>
      </c>
      <c r="C5579" s="2" t="s">
        <v>572</v>
      </c>
      <c r="D5579" s="2" t="str">
        <f t="shared" si="86"/>
        <v>Error?</v>
      </c>
    </row>
    <row r="5580" spans="1:4" x14ac:dyDescent="0.2">
      <c r="A5580" s="5">
        <v>5519</v>
      </c>
      <c r="B5580" s="138">
        <f>'Revenues 9-14'!F65</f>
        <v>15299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15299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1578260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1584573</v>
      </c>
      <c r="D5615" s="2" t="str">
        <f t="shared" si="86"/>
        <v>Error?</v>
      </c>
    </row>
    <row r="5616" spans="1:4" x14ac:dyDescent="0.2">
      <c r="A5616" s="10">
        <v>5555</v>
      </c>
      <c r="D5616" s="2" t="str">
        <f t="shared" si="86"/>
        <v>OK</v>
      </c>
    </row>
    <row r="5617" spans="1:5" x14ac:dyDescent="0.2">
      <c r="A5617" s="5">
        <v>5556</v>
      </c>
      <c r="B5617" s="138">
        <f>'Revenues 9-14'!F153</f>
        <v>1772741</v>
      </c>
      <c r="D5617" s="2" t="str">
        <f t="shared" si="86"/>
        <v>Error?</v>
      </c>
    </row>
    <row r="5618" spans="1:5" x14ac:dyDescent="0.2">
      <c r="A5618" s="5">
        <v>5557</v>
      </c>
      <c r="B5618" s="138">
        <f>'Revenues 9-14'!F155</f>
        <v>3357314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3357314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3357314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4935574</v>
      </c>
      <c r="C5720" s="2" t="s">
        <v>572</v>
      </c>
      <c r="D5720" s="2" t="str">
        <f t="shared" si="88"/>
        <v>Error?</v>
      </c>
    </row>
    <row r="5721" spans="1:4" x14ac:dyDescent="0.2">
      <c r="A5721" s="5">
        <v>5660</v>
      </c>
      <c r="B5721" s="138">
        <f>'Revenues 9-14'!G5</f>
        <v>1085171</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1089383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2174554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572</v>
      </c>
      <c r="D5730" s="2" t="str">
        <f t="shared" si="88"/>
        <v>Error?</v>
      </c>
    </row>
    <row r="5731" spans="1:4" x14ac:dyDescent="0.2">
      <c r="A5731" s="5">
        <v>5670</v>
      </c>
      <c r="B5731" s="138">
        <f>'Revenues 9-14'!G65</f>
        <v>1808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1808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2196362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4827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4827</v>
      </c>
      <c r="C5881" s="2" t="s">
        <v>572</v>
      </c>
      <c r="D5881" s="2" t="str">
        <f t="shared" si="90"/>
        <v>Error?</v>
      </c>
    </row>
    <row r="5882" spans="1:4" x14ac:dyDescent="0.2">
      <c r="A5882" s="5">
        <v>5821</v>
      </c>
      <c r="B5882" s="138">
        <f>'Revenues 9-14'!H96</f>
        <v>32512</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32512</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37339</v>
      </c>
      <c r="C5915" s="2" t="s">
        <v>572</v>
      </c>
      <c r="D5915" s="2" t="str">
        <f t="shared" si="91"/>
        <v>Error?</v>
      </c>
    </row>
    <row r="5916" spans="1:4" x14ac:dyDescent="0.2">
      <c r="A5916" s="5">
        <v>5855</v>
      </c>
      <c r="B5916" s="138">
        <f>'Revenues 9-14'!I5</f>
        <v>7381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7381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355233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355233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362614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2196362</v>
      </c>
      <c r="C6024" s="2" t="s">
        <v>572</v>
      </c>
      <c r="D6024" s="2" t="str">
        <f t="shared" si="93"/>
        <v>Error?</v>
      </c>
    </row>
    <row r="6025" spans="1:5" x14ac:dyDescent="0.2">
      <c r="A6025" s="5">
        <v>5964</v>
      </c>
      <c r="B6025" s="138">
        <f>'Revenues 9-14'!H109</f>
        <v>37339</v>
      </c>
      <c r="C6025" s="2" t="s">
        <v>572</v>
      </c>
      <c r="D6025" s="2" t="str">
        <f t="shared" si="93"/>
        <v>Error?</v>
      </c>
    </row>
    <row r="6026" spans="1:5" x14ac:dyDescent="0.2">
      <c r="A6026" s="5">
        <v>5965</v>
      </c>
      <c r="B6026" s="138">
        <f>'Revenues 9-14'!I109</f>
        <v>362614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423968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109154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4041.1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1108875</v>
      </c>
      <c r="D6083" s="2" t="str">
        <f t="shared" si="94"/>
        <v>Error?</v>
      </c>
      <c r="E6083" s="2" t="s">
        <v>190</v>
      </c>
    </row>
    <row r="6084" spans="1:5" x14ac:dyDescent="0.2">
      <c r="A6084">
        <v>6023</v>
      </c>
      <c r="B6084" s="138">
        <f>'Assets-Liab 5-6'!F7</f>
        <v>519364</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14328</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30888</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30888</v>
      </c>
      <c r="D6124" s="2" t="str">
        <f t="shared" si="94"/>
        <v>Error?</v>
      </c>
      <c r="E6124" s="2" t="s">
        <v>190</v>
      </c>
    </row>
    <row r="6125" spans="1:5" x14ac:dyDescent="0.2">
      <c r="A6125">
        <v>6064</v>
      </c>
      <c r="B6125" s="138">
        <f>'Assets-Liab 5-6'!C25</f>
        <v>1613614</v>
      </c>
      <c r="D6125" s="2" t="str">
        <f t="shared" si="94"/>
        <v>Error?</v>
      </c>
      <c r="E6125" s="2" t="s">
        <v>190</v>
      </c>
    </row>
    <row r="6126" spans="1:5" x14ac:dyDescent="0.2">
      <c r="A6126">
        <v>6065</v>
      </c>
      <c r="B6126" s="138">
        <f>'Assets-Liab 5-6'!D25</f>
        <v>45448</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10241</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4152</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30888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30888</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848671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848671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848671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852408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852408</v>
      </c>
      <c r="D6229" s="2" t="str">
        <f t="shared" si="96"/>
        <v>Error?</v>
      </c>
      <c r="E6229" s="2" t="s">
        <v>190</v>
      </c>
    </row>
    <row r="6230" spans="1:5" x14ac:dyDescent="0.2">
      <c r="A6230">
        <v>6169</v>
      </c>
      <c r="B6230" s="138">
        <f>'Acct Summary 7-8'!J20</f>
        <v>-3737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-3737</v>
      </c>
      <c r="D6263" s="2" t="str">
        <f t="shared" si="96"/>
        <v>Error?</v>
      </c>
      <c r="E6263" s="2" t="s">
        <v>190</v>
      </c>
    </row>
    <row r="6264" spans="1:5" x14ac:dyDescent="0.2">
      <c r="A6264">
        <v>6203</v>
      </c>
      <c r="B6264" s="138">
        <f>'Acct Summary 7-8'!J79</f>
        <v>34625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30888</v>
      </c>
      <c r="D6266" s="2" t="str">
        <f t="shared" si="96"/>
        <v>Error?</v>
      </c>
      <c r="E6266" s="2" t="s">
        <v>190</v>
      </c>
    </row>
    <row r="6267" spans="1:5" x14ac:dyDescent="0.2">
      <c r="A6267">
        <v>6206</v>
      </c>
      <c r="B6267" s="138">
        <f>'Acct Summary 7-8'!C82</f>
        <v>-979136</v>
      </c>
      <c r="D6267" s="2" t="str">
        <f t="shared" si="96"/>
        <v>Error?</v>
      </c>
      <c r="E6267" s="2" t="s">
        <v>190</v>
      </c>
    </row>
    <row r="6268" spans="1:5" x14ac:dyDescent="0.2">
      <c r="A6268">
        <v>6207</v>
      </c>
      <c r="B6268" s="138">
        <f>'Acct Summary 7-8'!D82</f>
        <v>-184003</v>
      </c>
      <c r="D6268" s="2" t="str">
        <f t="shared" si="96"/>
        <v>Error?</v>
      </c>
      <c r="E6268" s="2" t="s">
        <v>190</v>
      </c>
    </row>
    <row r="6269" spans="1:5" x14ac:dyDescent="0.2">
      <c r="A6269">
        <v>6208</v>
      </c>
      <c r="B6269" s="138">
        <f>'Acct Summary 7-8'!E82</f>
        <v>-651708</v>
      </c>
      <c r="D6269" s="2" t="str">
        <f t="shared" si="96"/>
        <v>Error?</v>
      </c>
      <c r="E6269" s="2" t="s">
        <v>190</v>
      </c>
    </row>
    <row r="6270" spans="1:5" x14ac:dyDescent="0.2">
      <c r="A6270">
        <v>6209</v>
      </c>
      <c r="B6270" s="138">
        <f>'Acct Summary 7-8'!F82</f>
        <v>-284391</v>
      </c>
      <c r="D6270" s="2" t="str">
        <f t="shared" si="96"/>
        <v>Error?</v>
      </c>
      <c r="E6270" s="2" t="s">
        <v>190</v>
      </c>
    </row>
    <row r="6271" spans="1:5" x14ac:dyDescent="0.2">
      <c r="A6271">
        <v>6210</v>
      </c>
      <c r="B6271" s="138">
        <f>'Acct Summary 7-8'!G82</f>
        <v>-42180</v>
      </c>
      <c r="D6271" s="2" t="str">
        <f t="shared" ref="D6271:D6334" si="97">IF(ISBLANK(B6271),"OK",IF(A6271-B6271=0,"OK","Error?"))</f>
        <v>Error?</v>
      </c>
      <c r="E6271" s="2" t="s">
        <v>190</v>
      </c>
    </row>
    <row r="6272" spans="1:5" x14ac:dyDescent="0.2">
      <c r="A6272">
        <v>6211</v>
      </c>
      <c r="B6272" s="138">
        <f>'Acct Summary 7-8'!H82</f>
        <v>649945</v>
      </c>
      <c r="D6272" s="2" t="str">
        <f t="shared" si="97"/>
        <v>Error?</v>
      </c>
      <c r="E6272" s="2" t="s">
        <v>190</v>
      </c>
    </row>
    <row r="6273" spans="1:5" x14ac:dyDescent="0.2">
      <c r="A6273">
        <v>6212</v>
      </c>
      <c r="B6273" s="138">
        <f>'Acct Summary 7-8'!I82</f>
        <v>7381</v>
      </c>
      <c r="D6273" s="2" t="str">
        <f t="shared" si="97"/>
        <v>Error?</v>
      </c>
      <c r="E6273" s="2" t="s">
        <v>190</v>
      </c>
    </row>
    <row r="6274" spans="1:5" x14ac:dyDescent="0.2">
      <c r="A6274">
        <v>6213</v>
      </c>
      <c r="B6274" s="138">
        <f>'Acct Summary 7-8'!J82</f>
        <v>-3737</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-8.7665973673419328E-2</v>
      </c>
      <c r="D6276" s="2" t="str">
        <f t="shared" si="97"/>
        <v>Error?</v>
      </c>
      <c r="E6276" s="2" t="s">
        <v>190</v>
      </c>
    </row>
    <row r="6277" spans="1:5" x14ac:dyDescent="0.2">
      <c r="A6277">
        <v>6216</v>
      </c>
      <c r="B6277" s="138">
        <f>'Acct Summary 7-8'!D83</f>
        <v>-0.45419942485467091</v>
      </c>
      <c r="D6277" s="2" t="str">
        <f t="shared" si="97"/>
        <v>Error?</v>
      </c>
      <c r="E6277" s="2" t="s">
        <v>190</v>
      </c>
    </row>
    <row r="6278" spans="1:5" x14ac:dyDescent="0.2">
      <c r="A6278">
        <v>6217</v>
      </c>
      <c r="B6278" s="138">
        <f>'Acct Summary 7-8'!E83</f>
        <v>-0.1150320530754237</v>
      </c>
      <c r="D6278" s="2" t="str">
        <f t="shared" si="97"/>
        <v>Error?</v>
      </c>
      <c r="E6278" s="2" t="s">
        <v>190</v>
      </c>
    </row>
    <row r="6279" spans="1:5" x14ac:dyDescent="0.2">
      <c r="A6279">
        <v>6218</v>
      </c>
      <c r="B6279" s="138">
        <f>'Acct Summary 7-8'!F83</f>
        <v>-0.1934116888557609</v>
      </c>
      <c r="D6279" s="2" t="str">
        <f t="shared" si="97"/>
        <v>Error?</v>
      </c>
      <c r="E6279" s="2" t="s">
        <v>190</v>
      </c>
    </row>
    <row r="6280" spans="1:5" x14ac:dyDescent="0.2">
      <c r="A6280">
        <v>6219</v>
      </c>
      <c r="B6280" s="138">
        <f>'Acct Summary 7-8'!G83</f>
        <v>4.1187384044526905</v>
      </c>
      <c r="D6280" s="2" t="str">
        <f t="shared" si="97"/>
        <v>Error?</v>
      </c>
      <c r="E6280" s="2" t="s">
        <v>190</v>
      </c>
    </row>
    <row r="6281" spans="1:5" x14ac:dyDescent="0.2">
      <c r="A6281">
        <v>6220</v>
      </c>
      <c r="B6281" s="138">
        <f>'Acct Summary 7-8'!H83</f>
        <v>0.35794219790701748</v>
      </c>
      <c r="D6281" s="2" t="str">
        <f t="shared" si="97"/>
        <v>Error?</v>
      </c>
      <c r="E6281" s="2" t="s">
        <v>190</v>
      </c>
    </row>
    <row r="6282" spans="1:5" x14ac:dyDescent="0.2">
      <c r="A6282">
        <v>6221</v>
      </c>
      <c r="B6282" s="138">
        <f>'Acct Summary 7-8'!I83</f>
        <v>4.4496383350117692E-4</v>
      </c>
      <c r="D6282" s="2" t="str">
        <f t="shared" si="97"/>
        <v>Error?</v>
      </c>
      <c r="E6282" s="2" t="s">
        <v>190</v>
      </c>
    </row>
    <row r="6283" spans="1:5" x14ac:dyDescent="0.2">
      <c r="A6283">
        <v>6222</v>
      </c>
      <c r="B6283" s="138">
        <f>'Acct Summary 7-8'!J83</f>
        <v>-0.12098549598549599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814100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814100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34571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34571</v>
      </c>
      <c r="D6351" s="2" t="str">
        <f t="shared" si="98"/>
        <v>Error?</v>
      </c>
      <c r="E6351" s="2" t="s">
        <v>190</v>
      </c>
    </row>
    <row r="6352" spans="1:5" x14ac:dyDescent="0.2">
      <c r="A6352">
        <v>6291</v>
      </c>
      <c r="B6352" s="138">
        <f>'Revenues 9-14'!J109</f>
        <v>848671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36713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28116</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23930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88759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3221</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3221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563</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563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21291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21291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25075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456458</v>
      </c>
      <c r="D6981" s="2" t="str">
        <f t="shared" si="108"/>
        <v>Error?</v>
      </c>
    </row>
    <row r="6982" spans="1:4" x14ac:dyDescent="0.2">
      <c r="A6982">
        <v>6921</v>
      </c>
      <c r="B6982" s="138">
        <f>'Expenditures 15-22'!K85</f>
        <v>456458</v>
      </c>
      <c r="D6982" s="2" t="str">
        <f t="shared" si="108"/>
        <v>Error?</v>
      </c>
    </row>
    <row r="6983" spans="1:4" x14ac:dyDescent="0.2">
      <c r="A6983">
        <v>6922</v>
      </c>
      <c r="B6983" s="138">
        <f>'Expenditures 15-22'!H86</f>
        <v>4546941</v>
      </c>
      <c r="D6983" s="2" t="str">
        <f t="shared" si="108"/>
        <v>Error?</v>
      </c>
    </row>
    <row r="6984" spans="1:4" x14ac:dyDescent="0.2">
      <c r="A6984">
        <v>6923</v>
      </c>
      <c r="B6984" s="138">
        <f>'Expenditures 15-22'!K86</f>
        <v>4546941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5003399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113834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4728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4728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4728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852408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4728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848671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3240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3240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50828</v>
      </c>
      <c r="D7067" s="2" t="str">
        <f t="shared" si="109"/>
        <v>Error?</v>
      </c>
    </row>
    <row r="7068" spans="1:4" x14ac:dyDescent="0.2">
      <c r="A7068">
        <v>7007</v>
      </c>
      <c r="B7068" s="138">
        <f>'Expenditures 15-22'!K205</f>
        <v>50828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3240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585978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585978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13914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13914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226016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226016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17500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17500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852408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852408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852408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852408</v>
      </c>
      <c r="D7224" s="2" t="str">
        <f t="shared" si="111"/>
        <v>Error?</v>
      </c>
    </row>
    <row r="7225" spans="1:4" x14ac:dyDescent="0.2">
      <c r="A7225">
        <v>7164</v>
      </c>
      <c r="B7225" s="138">
        <f>'Expenditures 15-22'!K343</f>
        <v>-3737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121802</v>
      </c>
      <c r="D7624" s="2" t="str">
        <f t="shared" si="124"/>
        <v>Error?</v>
      </c>
      <c r="E7624" s="2" t="s">
        <v>19</v>
      </c>
    </row>
    <row r="7625" spans="1:5" x14ac:dyDescent="0.2">
      <c r="A7625">
        <f t="shared" si="123"/>
        <v>7564</v>
      </c>
      <c r="B7625" s="138">
        <f>'Cap Outlay Deprec 26'!I17</f>
        <v>12180.2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3623044.2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4074093</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96860</v>
      </c>
      <c r="D7777" s="2" t="str">
        <f t="shared" si="127"/>
        <v>Error?</v>
      </c>
      <c r="E7777" s="4" t="s">
        <v>1850</v>
      </c>
    </row>
    <row r="7778" spans="1:5" x14ac:dyDescent="0.2">
      <c r="A7778">
        <v>7717</v>
      </c>
      <c r="B7778" s="138">
        <f>'Expenditures 15-22'!K157</f>
        <v>96860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1425941</v>
      </c>
      <c r="D7797" s="2" t="str">
        <f t="shared" si="127"/>
        <v>Error?</v>
      </c>
      <c r="E7797" s="4" t="s">
        <v>1899</v>
      </c>
    </row>
    <row r="7798" spans="1:5" x14ac:dyDescent="0.2">
      <c r="A7798">
        <v>7737</v>
      </c>
      <c r="B7798" s="138">
        <f>'Contracts Paid in CY 29'!F142</f>
        <v>75000</v>
      </c>
      <c r="D7798" s="2" t="str">
        <f t="shared" si="127"/>
        <v>Error?</v>
      </c>
      <c r="E7798" s="4" t="s">
        <v>1899</v>
      </c>
    </row>
    <row r="7799" spans="1:5" x14ac:dyDescent="0.2">
      <c r="A7799">
        <v>7738</v>
      </c>
      <c r="B7799" s="138">
        <f>'Contracts Paid in CY 29'!G142</f>
        <v>1350941</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42578125" style="1176" customWidth="1"/>
    <col min="3" max="3" width="9.140625" style="1180"/>
    <col min="4" max="4" width="13" style="1180" customWidth="1"/>
    <col min="5" max="5" width="16" style="1180" customWidth="1"/>
    <col min="6" max="6" width="4.140625" style="1180" customWidth="1"/>
    <col min="7" max="7" width="3.5703125" style="1180" customWidth="1"/>
    <col min="8" max="8" width="9.5703125" style="1180" customWidth="1"/>
    <col min="9" max="9" width="10.5703125" style="1180" customWidth="1"/>
    <col min="10" max="10" width="5" style="1180" customWidth="1"/>
    <col min="11" max="11" width="6.5703125" style="1180" customWidth="1"/>
    <col min="12" max="12" width="12.85546875" style="1180" customWidth="1"/>
    <col min="13" max="13" width="2.5703125" style="1180" customWidth="1"/>
    <col min="14" max="14" width="13.140625" style="1180" customWidth="1"/>
    <col min="15" max="15" width="7.140625" style="1180" customWidth="1"/>
    <col min="16" max="16" width="7" style="1180" customWidth="1"/>
    <col min="17" max="17" width="9.570312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9" t="s">
        <v>1190</v>
      </c>
      <c r="B2" s="2419"/>
      <c r="C2" s="2419"/>
      <c r="D2" s="2419"/>
      <c r="E2" s="2419"/>
      <c r="F2" s="2419"/>
      <c r="G2" s="2419"/>
      <c r="H2" s="2419"/>
      <c r="I2" s="2419"/>
      <c r="J2" s="2419"/>
      <c r="K2" s="2419"/>
      <c r="L2" s="2419"/>
    </row>
    <row r="3" spans="1:29" ht="13.5" customHeight="1" x14ac:dyDescent="0.2">
      <c r="A3" s="2405" t="s">
        <v>1189</v>
      </c>
      <c r="B3" s="2405"/>
      <c r="C3" s="2405"/>
      <c r="D3" s="2405"/>
      <c r="E3" s="2405"/>
      <c r="F3" s="2405"/>
      <c r="G3" s="2405"/>
      <c r="H3" s="2405"/>
      <c r="I3" s="2405"/>
      <c r="J3" s="2405"/>
      <c r="K3" s="2405"/>
      <c r="L3" s="2405"/>
    </row>
    <row r="4" spans="1:29" ht="13.5" customHeight="1" x14ac:dyDescent="0.2">
      <c r="A4" s="2419" t="s">
        <v>1983</v>
      </c>
      <c r="B4" s="2436"/>
      <c r="C4" s="2436"/>
      <c r="D4" s="2436"/>
      <c r="E4" s="2436"/>
      <c r="F4" s="2436"/>
      <c r="G4" s="2436"/>
      <c r="H4" s="2436"/>
      <c r="I4" s="2436"/>
      <c r="J4" s="2436"/>
      <c r="K4" s="2436"/>
      <c r="L4" s="24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9" t="str">
        <f>COVER!A17</f>
        <v>Wauconda CUSD 118</v>
      </c>
      <c r="B7" s="2400"/>
      <c r="C7" s="2400"/>
      <c r="D7" s="2437"/>
      <c r="E7" s="2438">
        <f>COVER!A13</f>
        <v>34049118026</v>
      </c>
      <c r="F7" s="2439"/>
      <c r="G7" s="2406" t="str">
        <f>COVER!T23</f>
        <v>066.00534</v>
      </c>
      <c r="H7" s="2407"/>
      <c r="I7" s="2407"/>
      <c r="J7" s="2407"/>
      <c r="K7" s="2407"/>
      <c r="L7" s="2408"/>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9"/>
      <c r="B9" s="2410"/>
      <c r="C9" s="2410"/>
      <c r="D9" s="2410"/>
      <c r="E9" s="2410"/>
      <c r="F9" s="2411"/>
      <c r="G9" s="2412" t="str">
        <f>COVER!T13</f>
        <v>EVANS, MARSHALL &amp; PEASE, P.C.</v>
      </c>
      <c r="H9" s="2413"/>
      <c r="I9" s="2413"/>
      <c r="J9" s="2413"/>
      <c r="K9" s="2413"/>
      <c r="L9" s="2414"/>
    </row>
    <row r="10" spans="1:29" ht="13.5" customHeight="1" x14ac:dyDescent="0.2">
      <c r="A10" s="2396">
        <f>COVER!A38</f>
        <v>0</v>
      </c>
      <c r="B10" s="2397"/>
      <c r="C10" s="2397"/>
      <c r="D10" s="2397"/>
      <c r="E10" s="2397"/>
      <c r="F10" s="2398"/>
      <c r="G10" s="2412" t="str">
        <f>COVER!T17</f>
        <v>1875 HICKS ROAD</v>
      </c>
      <c r="H10" s="2425"/>
      <c r="I10" s="2425"/>
      <c r="J10" s="2425"/>
      <c r="K10" s="2425"/>
      <c r="L10" s="2426"/>
    </row>
    <row r="11" spans="1:29" ht="13.5" customHeight="1" x14ac:dyDescent="0.2">
      <c r="A11" s="1184" t="s">
        <v>1518</v>
      </c>
      <c r="B11" s="1185"/>
      <c r="C11" s="1186"/>
      <c r="D11" s="1191"/>
      <c r="E11" s="1186"/>
      <c r="F11" s="1190"/>
      <c r="G11" s="2412" t="str">
        <f>COVER!T19</f>
        <v>ROLLING MEADOWS</v>
      </c>
      <c r="H11" s="2425"/>
      <c r="I11" s="2425"/>
      <c r="J11" s="2425"/>
      <c r="K11" s="2425"/>
      <c r="L11" s="2426"/>
    </row>
    <row r="12" spans="1:29" ht="13.5" customHeight="1" x14ac:dyDescent="0.2">
      <c r="A12" s="2430" t="s">
        <v>1517</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1519</v>
      </c>
      <c r="H13" s="2421"/>
      <c r="I13" s="2433" t="str">
        <f>COVER!T25</f>
        <v>JEFF@EMPCPA.COM</v>
      </c>
      <c r="J13" s="2434"/>
      <c r="K13" s="2434"/>
      <c r="L13" s="2435"/>
    </row>
    <row r="14" spans="1:29" ht="13.5" customHeight="1" x14ac:dyDescent="0.2">
      <c r="A14" s="2412" t="str">
        <f>COVER!A19</f>
        <v>555 MAIN ST.</v>
      </c>
      <c r="B14" s="2425"/>
      <c r="C14" s="2425"/>
      <c r="D14" s="2425"/>
      <c r="E14" s="2425"/>
      <c r="F14" s="2426"/>
      <c r="G14" s="1195" t="s">
        <v>1184</v>
      </c>
      <c r="H14" s="1193"/>
      <c r="I14" s="1193"/>
      <c r="J14" s="1193"/>
      <c r="K14" s="1193"/>
      <c r="L14" s="1194"/>
    </row>
    <row r="15" spans="1:29" ht="13.5" customHeight="1" x14ac:dyDescent="0.2">
      <c r="A15" s="2412" t="str">
        <f>COVER!A21</f>
        <v xml:space="preserve">WAUCONDA   </v>
      </c>
      <c r="B15" s="2425"/>
      <c r="C15" s="2425"/>
      <c r="D15" s="2425"/>
      <c r="E15" s="2425"/>
      <c r="F15" s="2426"/>
      <c r="G15" s="2422" t="str">
        <f>COVER!T15</f>
        <v>JEFFERY M. ROLLEFSON, C.P.A.</v>
      </c>
      <c r="H15" s="2423"/>
      <c r="I15" s="2423"/>
      <c r="J15" s="2423"/>
      <c r="K15" s="2423"/>
      <c r="L15" s="2424"/>
    </row>
    <row r="16" spans="1:29" ht="12.2" customHeight="1" x14ac:dyDescent="0.2">
      <c r="A16" s="2402">
        <f>COVER!A25</f>
        <v>60084</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5" t="s">
        <v>1183</v>
      </c>
      <c r="H17" s="1193"/>
      <c r="I17" s="1193"/>
      <c r="J17" s="1193"/>
      <c r="K17" s="1197" t="s">
        <v>1182</v>
      </c>
      <c r="L17" s="1190"/>
      <c r="M17" s="1183"/>
    </row>
    <row r="18" spans="1:13" ht="12.2" customHeight="1" x14ac:dyDescent="0.2">
      <c r="A18" s="2396"/>
      <c r="B18" s="2397"/>
      <c r="C18" s="2397"/>
      <c r="D18" s="2397"/>
      <c r="E18" s="2397"/>
      <c r="F18" s="2398"/>
      <c r="G18" s="2399" t="str">
        <f>COVER!T21</f>
        <v>847-221-5700</v>
      </c>
      <c r="H18" s="2400"/>
      <c r="I18" s="2400"/>
      <c r="J18" s="2400"/>
      <c r="K18" s="2399" t="str">
        <f>COVER!X21</f>
        <v>847-221-5701</v>
      </c>
      <c r="L18" s="24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3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1.1"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1.1"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5"/>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B11" sqref="B11"/>
    </sheetView>
  </sheetViews>
  <sheetFormatPr defaultColWidth="10.5703125" defaultRowHeight="11.25" x14ac:dyDescent="0.2"/>
  <cols>
    <col min="1" max="1" width="1.5703125" style="1215" customWidth="1"/>
    <col min="2" max="2" width="2.5703125" style="1219" customWidth="1"/>
    <col min="3" max="3" width="3.42578125" style="1229" customWidth="1"/>
    <col min="4" max="4" width="97.5703125" style="1219" customWidth="1"/>
    <col min="5" max="5" width="4.140625" style="1219" customWidth="1"/>
    <col min="6" max="16384" width="10.5703125" style="1219"/>
  </cols>
  <sheetData>
    <row r="1" spans="1:11" s="1212" customFormat="1" ht="12.75" x14ac:dyDescent="0.2">
      <c r="A1" s="2440" t="str">
        <f>'Single Audit Cover'!A7</f>
        <v>Wauconda CUSD 118</v>
      </c>
      <c r="B1" s="2436"/>
      <c r="C1" s="2436"/>
      <c r="D1" s="2436"/>
    </row>
    <row r="2" spans="1:11" s="1212" customFormat="1" ht="12.75" x14ac:dyDescent="0.2">
      <c r="A2" s="2441">
        <f>'Single Audit Cover'!E7</f>
        <v>34049118026</v>
      </c>
      <c r="B2" s="2442"/>
      <c r="C2" s="2442"/>
      <c r="D2" s="2442"/>
    </row>
    <row r="3" spans="1:11" s="1212" customFormat="1" ht="12.75" x14ac:dyDescent="0.2">
      <c r="A3" s="2440" t="s">
        <v>1512</v>
      </c>
      <c r="B3" s="2436"/>
      <c r="C3" s="2436"/>
      <c r="D3" s="243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5703125" defaultRowHeight="12.75" x14ac:dyDescent="0.2"/>
  <cols>
    <col min="1" max="1" width="31.85546875" style="317" customWidth="1"/>
    <col min="2" max="2" width="29.5703125" style="1255" customWidth="1"/>
    <col min="3" max="3" width="1.42578125" style="1255" customWidth="1"/>
    <col min="4" max="4" width="24.42578125" style="1256" customWidth="1"/>
    <col min="5" max="5" width="5" style="317" customWidth="1"/>
    <col min="6" max="16384" width="15.5703125" style="317"/>
  </cols>
  <sheetData>
    <row r="1" spans="1:5" x14ac:dyDescent="0.2">
      <c r="A1" s="2444" t="str">
        <f>'Single Audit Cover'!A7</f>
        <v>Wauconda CUSD 118</v>
      </c>
      <c r="B1" s="2444"/>
      <c r="C1" s="2444"/>
      <c r="D1" s="2444"/>
      <c r="E1" s="2444"/>
    </row>
    <row r="2" spans="1:5" x14ac:dyDescent="0.2">
      <c r="A2" s="2445">
        <f>'Single Audit Cover'!E7</f>
        <v>34049118026</v>
      </c>
      <c r="B2" s="2445"/>
      <c r="C2" s="2445"/>
      <c r="D2" s="2445"/>
      <c r="E2" s="2445"/>
    </row>
    <row r="3" spans="1:5" ht="4.5" customHeight="1" x14ac:dyDescent="0.2"/>
    <row r="4" spans="1:5" x14ac:dyDescent="0.2">
      <c r="A4" s="2444" t="s">
        <v>1244</v>
      </c>
      <c r="B4" s="2444"/>
      <c r="C4" s="2444"/>
      <c r="D4" s="2444"/>
      <c r="E4" s="2444"/>
    </row>
    <row r="5" spans="1:5" x14ac:dyDescent="0.2">
      <c r="A5" s="2447" t="str">
        <f>'Single Audit Cover'!A4</f>
        <v>Year Ending June 30, 2019</v>
      </c>
      <c r="B5" s="2447"/>
      <c r="C5" s="2447"/>
      <c r="D5" s="2447"/>
      <c r="E5" s="2447"/>
    </row>
    <row r="6" spans="1:5" x14ac:dyDescent="0.2">
      <c r="A6" s="2444" t="s">
        <v>1243</v>
      </c>
      <c r="B6" s="2444"/>
      <c r="C6" s="2444"/>
      <c r="D6" s="2444"/>
      <c r="E6" s="2444"/>
    </row>
    <row r="8" spans="1:5" x14ac:dyDescent="0.2">
      <c r="A8" s="1257" t="s">
        <v>1242</v>
      </c>
    </row>
    <row r="10" spans="1:5" x14ac:dyDescent="0.2">
      <c r="A10" s="1258" t="s">
        <v>1241</v>
      </c>
      <c r="B10" s="1259" t="s">
        <v>1240</v>
      </c>
      <c r="C10" s="1259"/>
      <c r="D10" s="1260">
        <f>SUM('Acct Summary 7-8'!C7:K7)</f>
        <v>2423309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109154</v>
      </c>
    </row>
    <row r="15" spans="1:5" x14ac:dyDescent="0.2">
      <c r="A15" s="1258"/>
      <c r="B15" s="1259"/>
      <c r="C15" s="1259"/>
    </row>
    <row r="16" spans="1:5" x14ac:dyDescent="0.2">
      <c r="A16" s="1258" t="s">
        <v>1839</v>
      </c>
      <c r="B16" s="1259"/>
      <c r="C16" s="1259"/>
    </row>
    <row r="17" spans="1:4" x14ac:dyDescent="0.2">
      <c r="A17" s="1258" t="s">
        <v>2054</v>
      </c>
      <c r="B17" s="1259" t="s">
        <v>1235</v>
      </c>
      <c r="C17" s="1259"/>
      <c r="D17" s="1261">
        <f>-SUM('Revenues 9-14'!C264:D264,'Revenues 9-14'!F264:G264)</f>
        <v>-344728</v>
      </c>
    </row>
    <row r="19" spans="1:4" ht="13.5" thickBot="1" x14ac:dyDescent="0.25">
      <c r="A19" s="1262" t="s">
        <v>1234</v>
      </c>
      <c r="D19" s="1263">
        <f>SUM(D10:D17)</f>
        <v>2187735</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6"/>
      <c r="B24" s="2446"/>
      <c r="D24" s="1265"/>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1232</v>
      </c>
      <c r="D32" s="1260">
        <f>SUM(D19:D30)</f>
        <v>2187735</v>
      </c>
    </row>
    <row r="33" spans="1:4" x14ac:dyDescent="0.2">
      <c r="D33" s="1266"/>
    </row>
    <row r="34" spans="1:4" x14ac:dyDescent="0.2">
      <c r="A34" s="317" t="s">
        <v>1231</v>
      </c>
    </row>
    <row r="35" spans="1:4" x14ac:dyDescent="0.2">
      <c r="A35" s="317" t="s">
        <v>1230</v>
      </c>
      <c r="B35" s="1255" t="s">
        <v>1229</v>
      </c>
      <c r="D35" s="1267">
        <v>2187735</v>
      </c>
    </row>
    <row r="37" spans="1:4" x14ac:dyDescent="0.2">
      <c r="A37" s="1257" t="s">
        <v>1228</v>
      </c>
    </row>
    <row r="39" spans="1:4" ht="13.35" customHeight="1" x14ac:dyDescent="0.2">
      <c r="A39" s="1264" t="s">
        <v>1227</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1226</v>
      </c>
      <c r="C47" s="1269"/>
      <c r="D47" s="1270">
        <f>SUM(D35:D45)</f>
        <v>2187735</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4" zoomScaleNormal="100" workbookViewId="0">
      <selection activeCell="C28" sqref="C28"/>
    </sheetView>
  </sheetViews>
  <sheetFormatPr defaultColWidth="33.5703125" defaultRowHeight="12.75" x14ac:dyDescent="0.2"/>
  <cols>
    <col min="1" max="1" width="0.140625" style="317" customWidth="1"/>
    <col min="2" max="2" width="32.85546875" style="317" customWidth="1"/>
    <col min="3" max="3" width="8.5703125" style="1354" customWidth="1"/>
    <col min="4" max="4" width="12.5703125" style="1355" customWidth="1"/>
    <col min="5" max="6" width="11.5703125" style="317" customWidth="1"/>
    <col min="7" max="7" width="11.5703125" style="1255" customWidth="1"/>
    <col min="8" max="8" width="13.5703125" style="1255" bestFit="1" customWidth="1"/>
    <col min="9" max="9" width="11.5703125" style="1255" customWidth="1"/>
    <col min="10" max="10" width="13.5703125" style="1255" customWidth="1"/>
    <col min="11" max="12" width="11.5703125" style="1255" customWidth="1"/>
    <col min="13" max="13" width="11.5703125" style="317" customWidth="1"/>
    <col min="14" max="14" width="2.5703125" style="317" customWidth="1"/>
    <col min="15" max="16384" width="33.5703125" style="317"/>
  </cols>
  <sheetData>
    <row r="1" spans="2:14" ht="11.85" customHeight="1" x14ac:dyDescent="0.2">
      <c r="B1" s="2405" t="str">
        <f>'Single Audit Cover'!A7</f>
        <v>Wauconda CUSD 118</v>
      </c>
      <c r="C1" s="2448"/>
      <c r="D1" s="2448"/>
      <c r="E1" s="2448"/>
      <c r="F1" s="2448"/>
      <c r="G1" s="2448"/>
      <c r="H1" s="2448"/>
      <c r="I1" s="2448"/>
      <c r="J1" s="2448"/>
      <c r="K1" s="2448"/>
      <c r="L1" s="2448"/>
      <c r="M1" s="2448"/>
    </row>
    <row r="2" spans="2:14" ht="15" x14ac:dyDescent="0.2">
      <c r="B2" s="2449">
        <f>'Single Audit Cover'!E7</f>
        <v>34049118026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7" t="s">
        <v>2094</v>
      </c>
      <c r="C11" s="1335"/>
      <c r="D11" s="1336"/>
      <c r="E11" s="1337"/>
      <c r="F11" s="1337"/>
      <c r="G11" s="1337"/>
      <c r="H11" s="1337"/>
      <c r="I11" s="1337"/>
      <c r="J11" s="1337"/>
      <c r="K11" s="1337"/>
      <c r="L11" s="1337"/>
      <c r="M11" s="1337"/>
    </row>
    <row r="12" spans="2:14" ht="20.100000000000001" customHeight="1" x14ac:dyDescent="0.2">
      <c r="B12" s="1948" t="s">
        <v>2095</v>
      </c>
      <c r="C12" s="1338"/>
      <c r="D12" s="1339"/>
      <c r="E12" s="1340"/>
      <c r="F12" s="1340"/>
      <c r="G12" s="1340"/>
      <c r="H12" s="1340"/>
      <c r="I12" s="1340"/>
      <c r="J12" s="1340"/>
      <c r="K12" s="1340"/>
      <c r="L12" s="1337"/>
      <c r="M12" s="1340"/>
    </row>
    <row r="13" spans="2:14" ht="20.100000000000001" customHeight="1" x14ac:dyDescent="0.2">
      <c r="B13" s="1334" t="s">
        <v>2096</v>
      </c>
      <c r="C13" s="1338">
        <v>84.01</v>
      </c>
      <c r="D13" s="1339" t="s">
        <v>2097</v>
      </c>
      <c r="E13" s="1340">
        <v>436791</v>
      </c>
      <c r="F13" s="1340">
        <v>155312</v>
      </c>
      <c r="G13" s="1340">
        <v>592103</v>
      </c>
      <c r="H13" s="1340"/>
      <c r="I13" s="1340"/>
      <c r="J13" s="1340"/>
      <c r="K13" s="1340"/>
      <c r="L13" s="1337">
        <f t="shared" ref="L13:L23" si="0">+G13+I13+K13</f>
        <v>592103</v>
      </c>
      <c r="M13" s="1340">
        <v>758414</v>
      </c>
    </row>
    <row r="14" spans="2:14" ht="20.100000000000001" customHeight="1" x14ac:dyDescent="0.2">
      <c r="B14" s="1334" t="s">
        <v>2096</v>
      </c>
      <c r="C14" s="1338">
        <v>84.01</v>
      </c>
      <c r="D14" s="1339" t="s">
        <v>2098</v>
      </c>
      <c r="E14" s="1340"/>
      <c r="F14" s="1340">
        <v>377921</v>
      </c>
      <c r="G14" s="1340"/>
      <c r="H14" s="1340"/>
      <c r="I14" s="1340">
        <v>440176</v>
      </c>
      <c r="J14" s="1340"/>
      <c r="K14" s="1340"/>
      <c r="L14" s="1337">
        <f t="shared" si="0"/>
        <v>440176</v>
      </c>
      <c r="M14" s="1340">
        <v>549970</v>
      </c>
    </row>
    <row r="15" spans="2:14" ht="20.100000000000001" customHeight="1" x14ac:dyDescent="0.2">
      <c r="B15" s="1334" t="s">
        <v>2100</v>
      </c>
      <c r="C15" s="1338">
        <v>84.376999999999995</v>
      </c>
      <c r="D15" s="1339" t="s">
        <v>2099</v>
      </c>
      <c r="E15" s="1340"/>
      <c r="F15" s="1340"/>
      <c r="G15" s="1340"/>
      <c r="H15" s="1340"/>
      <c r="I15" s="1340">
        <v>28223</v>
      </c>
      <c r="J15" s="1340"/>
      <c r="K15" s="1340"/>
      <c r="L15" s="1337">
        <f t="shared" si="0"/>
        <v>28223</v>
      </c>
      <c r="M15" s="1340">
        <v>30000</v>
      </c>
    </row>
    <row r="16" spans="2:14" ht="20.100000000000001" customHeight="1" x14ac:dyDescent="0.2">
      <c r="B16" s="1334" t="s">
        <v>2101</v>
      </c>
      <c r="C16" s="1338">
        <v>84.424000000000007</v>
      </c>
      <c r="D16" s="1339" t="s">
        <v>2102</v>
      </c>
      <c r="E16" s="1340"/>
      <c r="F16" s="1340">
        <v>14735</v>
      </c>
      <c r="G16" s="1340"/>
      <c r="H16" s="1340"/>
      <c r="I16" s="1340">
        <v>21491</v>
      </c>
      <c r="J16" s="1340"/>
      <c r="K16" s="1340"/>
      <c r="L16" s="1337">
        <f t="shared" si="0"/>
        <v>21491</v>
      </c>
      <c r="M16" s="1340">
        <v>37757</v>
      </c>
    </row>
    <row r="17" spans="2:14" ht="20.100000000000001" customHeight="1" x14ac:dyDescent="0.2">
      <c r="B17" s="1334" t="s">
        <v>2103</v>
      </c>
      <c r="C17" s="1338">
        <v>84.364999999999995</v>
      </c>
      <c r="D17" s="1339" t="s">
        <v>2104</v>
      </c>
      <c r="E17" s="1340">
        <v>2869</v>
      </c>
      <c r="F17" s="1340">
        <v>702</v>
      </c>
      <c r="G17" s="1340">
        <v>3098</v>
      </c>
      <c r="H17" s="1340"/>
      <c r="I17" s="1340">
        <v>473</v>
      </c>
      <c r="J17" s="1340"/>
      <c r="K17" s="1340"/>
      <c r="L17" s="1337">
        <f t="shared" si="0"/>
        <v>3571</v>
      </c>
      <c r="M17" s="1340">
        <v>5071</v>
      </c>
    </row>
    <row r="18" spans="2:14" ht="20.100000000000001" customHeight="1" x14ac:dyDescent="0.2">
      <c r="B18" s="1334" t="s">
        <v>2103</v>
      </c>
      <c r="C18" s="1338">
        <v>84.364999999999995</v>
      </c>
      <c r="D18" s="1339" t="s">
        <v>2105</v>
      </c>
      <c r="E18" s="1340"/>
      <c r="F18" s="1340"/>
      <c r="G18" s="1340"/>
      <c r="H18" s="1340"/>
      <c r="I18" s="1340"/>
      <c r="J18" s="1340"/>
      <c r="K18" s="1340"/>
      <c r="L18" s="1337" t="s">
        <v>2106</v>
      </c>
      <c r="M18" s="1340">
        <v>1500</v>
      </c>
    </row>
    <row r="19" spans="2:14" ht="20.100000000000001" customHeight="1" x14ac:dyDescent="0.2">
      <c r="B19" s="1334" t="s">
        <v>2107</v>
      </c>
      <c r="C19" s="1338">
        <v>84.364999999999995</v>
      </c>
      <c r="D19" s="1339" t="s">
        <v>2108</v>
      </c>
      <c r="E19" s="1340">
        <v>40009</v>
      </c>
      <c r="F19" s="1340">
        <v>16914</v>
      </c>
      <c r="G19" s="1340">
        <v>43467</v>
      </c>
      <c r="H19" s="1340"/>
      <c r="I19" s="1340">
        <v>13456</v>
      </c>
      <c r="J19" s="1340"/>
      <c r="K19" s="1340"/>
      <c r="L19" s="1337">
        <f t="shared" si="0"/>
        <v>56923</v>
      </c>
      <c r="M19" s="1340">
        <v>78467</v>
      </c>
    </row>
    <row r="20" spans="2:14" ht="20.100000000000001" customHeight="1" x14ac:dyDescent="0.2">
      <c r="B20" s="1334" t="s">
        <v>2107</v>
      </c>
      <c r="C20" s="1338">
        <v>84.364999999999995</v>
      </c>
      <c r="D20" s="1339" t="s">
        <v>2109</v>
      </c>
      <c r="E20" s="1340"/>
      <c r="F20" s="1340">
        <v>40437</v>
      </c>
      <c r="G20" s="1340"/>
      <c r="H20" s="1340"/>
      <c r="I20" s="1340">
        <v>45939</v>
      </c>
      <c r="J20" s="1340"/>
      <c r="K20" s="1340"/>
      <c r="L20" s="1337" t="s">
        <v>2106</v>
      </c>
      <c r="M20" s="1340">
        <v>88195</v>
      </c>
    </row>
    <row r="21" spans="2:14" ht="20.100000000000001" customHeight="1" x14ac:dyDescent="0.2">
      <c r="B21" s="1334" t="s">
        <v>2110</v>
      </c>
      <c r="C21" s="1338">
        <v>84.367000000000004</v>
      </c>
      <c r="D21" s="1339" t="s">
        <v>2111</v>
      </c>
      <c r="E21" s="1340">
        <v>106997</v>
      </c>
      <c r="F21" s="1340">
        <v>29533</v>
      </c>
      <c r="G21" s="1340">
        <v>136530</v>
      </c>
      <c r="H21" s="1340"/>
      <c r="I21" s="1340"/>
      <c r="J21" s="1340"/>
      <c r="K21" s="1340"/>
      <c r="L21" s="1337">
        <f t="shared" si="0"/>
        <v>136530</v>
      </c>
      <c r="M21" s="1340">
        <v>163183</v>
      </c>
    </row>
    <row r="22" spans="2:14" ht="20.100000000000001" customHeight="1" x14ac:dyDescent="0.2">
      <c r="B22" s="1334" t="s">
        <v>2110</v>
      </c>
      <c r="C22" s="1338">
        <v>84.367000000000004</v>
      </c>
      <c r="D22" s="1339" t="s">
        <v>2112</v>
      </c>
      <c r="E22" s="1340"/>
      <c r="F22" s="1340">
        <v>59920</v>
      </c>
      <c r="G22" s="1340"/>
      <c r="H22" s="1340"/>
      <c r="I22" s="1340">
        <v>73252</v>
      </c>
      <c r="J22" s="1340"/>
      <c r="K22" s="1340"/>
      <c r="L22" s="1337" t="s">
        <v>2106</v>
      </c>
      <c r="M22" s="1340">
        <v>130628</v>
      </c>
    </row>
    <row r="23" spans="2:14" ht="20.100000000000001" customHeight="1" x14ac:dyDescent="0.2">
      <c r="B23" s="1334" t="s">
        <v>2119</v>
      </c>
      <c r="C23" s="1338">
        <v>84.027000000000001</v>
      </c>
      <c r="D23" s="1339" t="s">
        <v>2120</v>
      </c>
      <c r="E23" s="1340"/>
      <c r="F23" s="1340">
        <v>29281</v>
      </c>
      <c r="G23" s="1340"/>
      <c r="H23" s="1340"/>
      <c r="I23" s="1340">
        <v>29281</v>
      </c>
      <c r="J23" s="1340"/>
      <c r="K23" s="1340"/>
      <c r="L23" s="1337">
        <f t="shared" si="0"/>
        <v>29281</v>
      </c>
      <c r="M23" s="1340" t="s">
        <v>2117</v>
      </c>
    </row>
    <row r="24" spans="2:14" ht="20.100000000000001" customHeight="1" x14ac:dyDescent="0.2">
      <c r="B24" s="1948"/>
      <c r="C24" s="1338"/>
      <c r="D24" s="1339"/>
      <c r="E24" s="1340"/>
      <c r="F24" s="1340"/>
      <c r="G24" s="1340"/>
      <c r="H24" s="1340"/>
      <c r="I24" s="1340"/>
      <c r="J24" s="1340"/>
      <c r="K24" s="1340"/>
      <c r="L24" s="1337"/>
      <c r="M24" s="1340"/>
    </row>
    <row r="25" spans="2:14" ht="20.100000000000001" customHeight="1" x14ac:dyDescent="0.2">
      <c r="B25" s="1948" t="s">
        <v>2113</v>
      </c>
      <c r="C25" s="1338"/>
      <c r="D25" s="1339"/>
      <c r="E25" s="1340"/>
      <c r="F25" s="1340"/>
      <c r="G25" s="1340"/>
      <c r="H25" s="1340"/>
      <c r="I25" s="1340"/>
      <c r="J25" s="1340"/>
      <c r="K25" s="1340"/>
      <c r="L25" s="1337"/>
      <c r="M25" s="1340"/>
    </row>
    <row r="26" spans="2:14" ht="20.100000000000001" customHeight="1" x14ac:dyDescent="0.2">
      <c r="B26" s="1334" t="s">
        <v>2114</v>
      </c>
      <c r="C26" s="1338">
        <v>84.048000000000002</v>
      </c>
      <c r="D26" s="1339" t="s">
        <v>2115</v>
      </c>
      <c r="E26" s="1340">
        <v>23845</v>
      </c>
      <c r="F26" s="1340"/>
      <c r="G26" s="1340">
        <v>23845</v>
      </c>
      <c r="H26" s="1340"/>
      <c r="I26" s="1340"/>
      <c r="J26" s="1340"/>
      <c r="K26" s="1340"/>
      <c r="L26" s="1337">
        <f t="shared" ref="L26:L27" si="1">+G26+I26+K26</f>
        <v>23845</v>
      </c>
      <c r="M26" s="1340" t="s">
        <v>2117</v>
      </c>
    </row>
    <row r="27" spans="2:14" ht="20.100000000000001" customHeight="1" x14ac:dyDescent="0.2">
      <c r="B27" s="1334" t="s">
        <v>2114</v>
      </c>
      <c r="C27" s="1338">
        <v>84.048000000000002</v>
      </c>
      <c r="D27" s="1339" t="s">
        <v>2116</v>
      </c>
      <c r="E27" s="1340"/>
      <c r="F27" s="1340">
        <v>23944</v>
      </c>
      <c r="G27" s="1340"/>
      <c r="H27" s="1340"/>
      <c r="I27" s="1340">
        <v>23944</v>
      </c>
      <c r="J27" s="1340"/>
      <c r="K27" s="1340"/>
      <c r="L27" s="1337">
        <f t="shared" si="1"/>
        <v>23944</v>
      </c>
      <c r="M27" s="1340" t="s">
        <v>2117</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L16 L17 L19 L21 L26:L27 L2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F42A6-CDCD-47DD-8A75-77E92C1C7EB8}">
  <dimension ref="B1:N152"/>
  <sheetViews>
    <sheetView showGridLines="0" zoomScaleNormal="100" workbookViewId="0">
      <selection activeCell="F13" sqref="F13"/>
    </sheetView>
  </sheetViews>
  <sheetFormatPr defaultColWidth="33.5703125" defaultRowHeight="12.75" x14ac:dyDescent="0.2"/>
  <cols>
    <col min="1" max="1" width="0.140625" style="317" customWidth="1"/>
    <col min="2" max="2" width="32.85546875" style="317" customWidth="1"/>
    <col min="3" max="3" width="8.5703125" style="1354" customWidth="1"/>
    <col min="4" max="4" width="12.5703125" style="1355" customWidth="1"/>
    <col min="5" max="6" width="11.5703125" style="317" customWidth="1"/>
    <col min="7" max="7" width="11.5703125" style="1255" customWidth="1"/>
    <col min="8" max="8" width="13.5703125" style="1255" bestFit="1" customWidth="1"/>
    <col min="9" max="9" width="11.5703125" style="1255" customWidth="1"/>
    <col min="10" max="10" width="13.5703125" style="1255" customWidth="1"/>
    <col min="11" max="12" width="11.5703125" style="1255" customWidth="1"/>
    <col min="13" max="13" width="11.5703125" style="317" customWidth="1"/>
    <col min="14" max="14" width="2.5703125" style="317" customWidth="1"/>
    <col min="15" max="16384" width="33.5703125" style="317"/>
  </cols>
  <sheetData>
    <row r="1" spans="2:14" ht="11.85" customHeight="1" x14ac:dyDescent="0.2">
      <c r="B1" s="2405" t="str">
        <f>'Single Audit Cover'!A7</f>
        <v>Wauconda CUSD 118</v>
      </c>
      <c r="C1" s="2448"/>
      <c r="D1" s="2448"/>
      <c r="E1" s="2448"/>
      <c r="F1" s="2448"/>
      <c r="G1" s="2448"/>
      <c r="H1" s="2448"/>
      <c r="I1" s="2448"/>
      <c r="J1" s="2448"/>
      <c r="K1" s="2448"/>
      <c r="L1" s="2448"/>
      <c r="M1" s="2448"/>
    </row>
    <row r="2" spans="2:14" ht="15" x14ac:dyDescent="0.2">
      <c r="B2" s="2449">
        <f>'Single Audit Cover'!E7</f>
        <v>34049118026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8" t="s">
        <v>2118</v>
      </c>
      <c r="C11" s="1335"/>
      <c r="D11" s="1336"/>
      <c r="E11" s="1337"/>
      <c r="F11" s="1337"/>
      <c r="G11" s="1337"/>
      <c r="H11" s="1337"/>
      <c r="I11" s="1337"/>
      <c r="J11" s="1337"/>
      <c r="K11" s="1337"/>
      <c r="L11" s="1337"/>
      <c r="M11" s="1337"/>
    </row>
    <row r="12" spans="2:14" ht="20.100000000000001" customHeight="1" x14ac:dyDescent="0.2">
      <c r="B12" s="1334" t="s">
        <v>2121</v>
      </c>
      <c r="C12" s="1338">
        <v>84.173000000000002</v>
      </c>
      <c r="D12" s="1339" t="s">
        <v>2122</v>
      </c>
      <c r="E12" s="1340">
        <v>19102</v>
      </c>
      <c r="F12" s="1340"/>
      <c r="G12" s="1340">
        <v>19102</v>
      </c>
      <c r="H12" s="1340"/>
      <c r="I12" s="1340"/>
      <c r="J12" s="1340"/>
      <c r="K12" s="1340"/>
      <c r="L12" s="1337">
        <f t="shared" ref="L12:L15" si="0">+G12+I12+K12</f>
        <v>19102</v>
      </c>
      <c r="M12" s="1340" t="s">
        <v>2117</v>
      </c>
    </row>
    <row r="13" spans="2:14" ht="20.100000000000001" customHeight="1" x14ac:dyDescent="0.2">
      <c r="B13" s="1334" t="s">
        <v>2121</v>
      </c>
      <c r="C13" s="1338">
        <v>84.173000000000002</v>
      </c>
      <c r="D13" s="1339" t="s">
        <v>2123</v>
      </c>
      <c r="E13" s="1340"/>
      <c r="F13" s="1340">
        <v>31470</v>
      </c>
      <c r="G13" s="1340"/>
      <c r="H13" s="1340"/>
      <c r="I13" s="1340">
        <v>31470</v>
      </c>
      <c r="J13" s="1340"/>
      <c r="K13" s="1340"/>
      <c r="L13" s="1337">
        <f t="shared" si="0"/>
        <v>31470</v>
      </c>
      <c r="M13" s="1340" t="s">
        <v>2117</v>
      </c>
    </row>
    <row r="14" spans="2:14" ht="20.100000000000001" customHeight="1" x14ac:dyDescent="0.2">
      <c r="B14" s="1334" t="s">
        <v>2124</v>
      </c>
      <c r="C14" s="1338">
        <v>84.027000000000001</v>
      </c>
      <c r="D14" s="1339" t="s">
        <v>2125</v>
      </c>
      <c r="E14" s="1340">
        <v>513037</v>
      </c>
      <c r="F14" s="1340"/>
      <c r="G14" s="1340">
        <v>513037</v>
      </c>
      <c r="H14" s="1340"/>
      <c r="I14" s="1340"/>
      <c r="J14" s="1340"/>
      <c r="K14" s="1340"/>
      <c r="L14" s="1337">
        <f t="shared" si="0"/>
        <v>513037</v>
      </c>
      <c r="M14" s="1340" t="s">
        <v>2117</v>
      </c>
    </row>
    <row r="15" spans="2:14" ht="20.100000000000001" customHeight="1" x14ac:dyDescent="0.2">
      <c r="B15" s="1334" t="s">
        <v>2124</v>
      </c>
      <c r="C15" s="1338">
        <v>84.027000000000001</v>
      </c>
      <c r="D15" s="1339" t="s">
        <v>2126</v>
      </c>
      <c r="E15" s="1340"/>
      <c r="F15" s="1340">
        <v>586123</v>
      </c>
      <c r="G15" s="1340"/>
      <c r="H15" s="1340"/>
      <c r="I15" s="1340">
        <v>586123</v>
      </c>
      <c r="J15" s="1340"/>
      <c r="K15" s="1340"/>
      <c r="L15" s="1337">
        <f t="shared" si="0"/>
        <v>586123</v>
      </c>
      <c r="M15" s="1340" t="s">
        <v>2117</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951" t="s">
        <v>2127</v>
      </c>
      <c r="C17" s="1338"/>
      <c r="D17" s="1339"/>
      <c r="E17" s="1340"/>
      <c r="F17" s="1949">
        <f>SUM(' SEFA'!F13:F27)+SUM(' SEFA (2)'!F12:F16)</f>
        <v>1366292</v>
      </c>
      <c r="G17" s="1340"/>
      <c r="H17" s="1340"/>
      <c r="I17" s="1949">
        <f>SUM(' SEFA'!I13:I27)+SUM(' SEFA (2)'!I12:I16)</f>
        <v>1293828</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947" t="s">
        <v>2128</v>
      </c>
      <c r="C19" s="1338"/>
      <c r="D19" s="1339"/>
      <c r="E19" s="1340"/>
      <c r="F19" s="1340"/>
      <c r="G19" s="1340"/>
      <c r="H19" s="1340"/>
      <c r="I19" s="1340"/>
      <c r="J19" s="1340"/>
      <c r="K19" s="1340"/>
      <c r="L19" s="1337"/>
      <c r="M19" s="1340"/>
    </row>
    <row r="20" spans="2:14" ht="20.100000000000001" customHeight="1" x14ac:dyDescent="0.2">
      <c r="B20" s="1948" t="s">
        <v>2095</v>
      </c>
      <c r="C20" s="1338"/>
      <c r="D20" s="1339"/>
      <c r="E20" s="1340"/>
      <c r="F20" s="1340"/>
      <c r="G20" s="1340"/>
      <c r="H20" s="1340"/>
      <c r="I20" s="1340"/>
      <c r="J20" s="1340"/>
      <c r="K20" s="1340"/>
      <c r="L20" s="1337"/>
      <c r="M20" s="1340"/>
    </row>
    <row r="21" spans="2:14" ht="20.100000000000001" customHeight="1" x14ac:dyDescent="0.2">
      <c r="B21" s="1334" t="s">
        <v>2129</v>
      </c>
      <c r="C21" s="1338">
        <v>10.555</v>
      </c>
      <c r="D21" s="1339" t="s">
        <v>2130</v>
      </c>
      <c r="E21" s="1340">
        <v>465973</v>
      </c>
      <c r="F21" s="1340">
        <v>96974</v>
      </c>
      <c r="G21" s="1340">
        <v>465973</v>
      </c>
      <c r="H21" s="1340"/>
      <c r="I21" s="1340">
        <v>96974</v>
      </c>
      <c r="J21" s="1340"/>
      <c r="K21" s="1340"/>
      <c r="L21" s="1337">
        <f t="shared" ref="L21:L22" si="1">+G21+I21+K21</f>
        <v>562947</v>
      </c>
      <c r="M21" s="1340" t="s">
        <v>2117</v>
      </c>
    </row>
    <row r="22" spans="2:14" ht="20.100000000000001" customHeight="1" x14ac:dyDescent="0.2">
      <c r="B22" s="1334" t="s">
        <v>2129</v>
      </c>
      <c r="C22" s="1338">
        <v>10.555</v>
      </c>
      <c r="D22" s="1339" t="s">
        <v>2131</v>
      </c>
      <c r="E22" s="1340"/>
      <c r="F22" s="1340">
        <v>452372</v>
      </c>
      <c r="G22" s="1340"/>
      <c r="H22" s="1340"/>
      <c r="I22" s="1340">
        <v>452372</v>
      </c>
      <c r="J22" s="1340"/>
      <c r="K22" s="1340"/>
      <c r="L22" s="1337">
        <f t="shared" si="1"/>
        <v>452372</v>
      </c>
      <c r="M22" s="1340" t="s">
        <v>2117</v>
      </c>
    </row>
    <row r="23" spans="2:14" ht="20.100000000000001" customHeight="1" x14ac:dyDescent="0.2">
      <c r="B23" s="1334" t="s">
        <v>2132</v>
      </c>
      <c r="C23" s="1338">
        <v>10.553000000000001</v>
      </c>
      <c r="D23" s="1339" t="s">
        <v>2133</v>
      </c>
      <c r="E23" s="1340">
        <v>95309</v>
      </c>
      <c r="F23" s="1340">
        <v>16970</v>
      </c>
      <c r="G23" s="1340">
        <v>95309</v>
      </c>
      <c r="H23" s="1340"/>
      <c r="I23" s="1340">
        <v>16970</v>
      </c>
      <c r="J23" s="1340"/>
      <c r="K23" s="1340"/>
      <c r="L23" s="1337">
        <f t="shared" ref="L23:L25" si="2">+G23+I23+K23</f>
        <v>112279</v>
      </c>
      <c r="M23" s="1340" t="s">
        <v>2117</v>
      </c>
    </row>
    <row r="24" spans="2:14" ht="20.100000000000001" customHeight="1" x14ac:dyDescent="0.2">
      <c r="B24" s="1334" t="s">
        <v>2132</v>
      </c>
      <c r="C24" s="1338">
        <v>10.553000000000001</v>
      </c>
      <c r="D24" s="1339" t="s">
        <v>2134</v>
      </c>
      <c r="E24" s="1340"/>
      <c r="F24" s="1340">
        <v>89229</v>
      </c>
      <c r="G24" s="1340"/>
      <c r="H24" s="1340"/>
      <c r="I24" s="1340">
        <v>89229</v>
      </c>
      <c r="J24" s="1340"/>
      <c r="K24" s="1340"/>
      <c r="L24" s="1337">
        <f t="shared" si="2"/>
        <v>89229</v>
      </c>
      <c r="M24" s="1340" t="s">
        <v>2117</v>
      </c>
    </row>
    <row r="25" spans="2:14" ht="20.100000000000001" customHeight="1" x14ac:dyDescent="0.2">
      <c r="B25" s="1334" t="s">
        <v>2135</v>
      </c>
      <c r="C25" s="1338">
        <v>10.555</v>
      </c>
      <c r="D25" s="1339" t="s">
        <v>2136</v>
      </c>
      <c r="E25" s="1340"/>
      <c r="F25" s="1340">
        <v>84845</v>
      </c>
      <c r="G25" s="1340"/>
      <c r="H25" s="1340"/>
      <c r="I25" s="1340">
        <v>84845</v>
      </c>
      <c r="J25" s="1340"/>
      <c r="K25" s="1340"/>
      <c r="L25" s="1337">
        <f t="shared" si="2"/>
        <v>84845</v>
      </c>
      <c r="M25" s="1340" t="s">
        <v>2117</v>
      </c>
    </row>
    <row r="26" spans="2:14" ht="20.100000000000001" customHeight="1" x14ac:dyDescent="0.2">
      <c r="B26" s="1334" t="s">
        <v>2137</v>
      </c>
      <c r="C26" s="1338">
        <v>10.555</v>
      </c>
      <c r="D26" s="1339" t="s">
        <v>2136</v>
      </c>
      <c r="E26" s="1340"/>
      <c r="F26" s="1340">
        <v>24309</v>
      </c>
      <c r="G26" s="1340"/>
      <c r="H26" s="1340"/>
      <c r="I26" s="1340">
        <v>24309</v>
      </c>
      <c r="J26" s="1340"/>
      <c r="K26" s="1340"/>
      <c r="L26" s="1337">
        <f t="shared" ref="L26" si="3">+G26+I26+K26</f>
        <v>24309</v>
      </c>
      <c r="M26" s="1340" t="s">
        <v>2117</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2:L15 F17 L21:L26 I1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3" colorId="8" zoomScale="110" zoomScaleNormal="110" workbookViewId="0">
      <selection activeCell="T14" sqref="T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1167</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3" t="s">
        <v>1632</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312</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1322</v>
      </c>
      <c r="B70" s="2086"/>
      <c r="C70" s="2086"/>
      <c r="D70" s="2086"/>
      <c r="E70" s="2087"/>
      <c r="F70" s="2087"/>
      <c r="G70" s="2087"/>
      <c r="H70" s="2087"/>
      <c r="I70" s="208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1319</v>
      </c>
      <c r="B83" s="2088"/>
      <c r="C83" s="2088"/>
      <c r="D83" s="208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2152</v>
      </c>
      <c r="D114" s="207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1329</v>
      </c>
      <c r="D117" s="2081"/>
      <c r="E117" s="2082"/>
      <c r="F117" s="2082"/>
      <c r="G117" s="2082"/>
      <c r="H117" s="208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D8ECA-05D0-49D6-9BA9-BC74446EF5E5}">
  <dimension ref="B1:N152"/>
  <sheetViews>
    <sheetView showGridLines="0" topLeftCell="A5"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5703125" style="1354" customWidth="1"/>
    <col min="4" max="4" width="12.5703125" style="1355" customWidth="1"/>
    <col min="5" max="6" width="11.5703125" style="317" customWidth="1"/>
    <col min="7" max="7" width="11.5703125" style="1255" customWidth="1"/>
    <col min="8" max="8" width="13.5703125" style="1255" bestFit="1" customWidth="1"/>
    <col min="9" max="9" width="11.5703125" style="1255" customWidth="1"/>
    <col min="10" max="10" width="13.5703125" style="1255" customWidth="1"/>
    <col min="11" max="12" width="11.5703125" style="1255" customWidth="1"/>
    <col min="13" max="13" width="11.5703125" style="317" customWidth="1"/>
    <col min="14" max="14" width="2.5703125" style="317" customWidth="1"/>
    <col min="15" max="16384" width="33.5703125" style="317"/>
  </cols>
  <sheetData>
    <row r="1" spans="2:14" ht="11.85" customHeight="1" x14ac:dyDescent="0.2">
      <c r="B1" s="2405" t="str">
        <f>'Single Audit Cover'!A7</f>
        <v>Wauconda CUSD 118</v>
      </c>
      <c r="C1" s="2448"/>
      <c r="D1" s="2448"/>
      <c r="E1" s="2448"/>
      <c r="F1" s="2448"/>
      <c r="G1" s="2448"/>
      <c r="H1" s="2448"/>
      <c r="I1" s="2448"/>
      <c r="J1" s="2448"/>
      <c r="K1" s="2448"/>
      <c r="L1" s="2448"/>
      <c r="M1" s="2448"/>
    </row>
    <row r="2" spans="2:14" ht="15" x14ac:dyDescent="0.2">
      <c r="B2" s="2449">
        <f>'Single Audit Cover'!E7</f>
        <v>34049118026</v>
      </c>
      <c r="C2" s="2449"/>
      <c r="D2" s="2449"/>
      <c r="E2" s="2449"/>
      <c r="F2" s="2449"/>
      <c r="G2" s="2449"/>
      <c r="H2" s="2449"/>
      <c r="I2" s="2449"/>
      <c r="J2" s="2449"/>
      <c r="K2" s="2449"/>
      <c r="L2" s="2449"/>
      <c r="M2" s="2449"/>
      <c r="N2" s="1299"/>
    </row>
    <row r="3" spans="2:14" ht="15" x14ac:dyDescent="0.2">
      <c r="B3" s="2450" t="s">
        <v>1218</v>
      </c>
      <c r="C3" s="2450"/>
      <c r="D3" s="2450"/>
      <c r="E3" s="2450"/>
      <c r="F3" s="2450"/>
      <c r="G3" s="2450"/>
      <c r="H3" s="2450"/>
      <c r="I3" s="2450"/>
      <c r="J3" s="2450"/>
      <c r="K3" s="2450"/>
      <c r="L3" s="2450"/>
      <c r="M3" s="2450"/>
      <c r="N3" s="1299"/>
    </row>
    <row r="4" spans="2:14" ht="15" x14ac:dyDescent="0.2">
      <c r="B4" s="2451" t="str">
        <f>'Single Audit Cover'!A4</f>
        <v>Year Ending June 30, 2019</v>
      </c>
      <c r="C4" s="2451"/>
      <c r="D4" s="2451"/>
      <c r="E4" s="2451"/>
      <c r="F4" s="2451"/>
      <c r="G4" s="2451"/>
      <c r="H4" s="2451"/>
      <c r="I4" s="2451"/>
      <c r="J4" s="2451"/>
      <c r="K4" s="2451"/>
      <c r="L4" s="2451"/>
      <c r="M4" s="2451"/>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51" t="s">
        <v>2138</v>
      </c>
      <c r="C11" s="1335"/>
      <c r="D11" s="1336"/>
      <c r="E11" s="1337"/>
      <c r="F11" s="1950">
        <f>SUM(' SEFA (2)'!F21:F27)</f>
        <v>764699</v>
      </c>
      <c r="G11" s="1337"/>
      <c r="H11" s="1337"/>
      <c r="I11" s="1950">
        <f>SUM(' SEFA (2)'!I21:I27)</f>
        <v>764699</v>
      </c>
      <c r="J11" s="1337"/>
      <c r="K11" s="1337"/>
      <c r="L11" s="1337"/>
      <c r="M11" s="1337"/>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947" t="s">
        <v>2139</v>
      </c>
      <c r="C13" s="1338"/>
      <c r="D13" s="1339"/>
      <c r="E13" s="1340"/>
      <c r="F13" s="1340"/>
      <c r="G13" s="1340"/>
      <c r="H13" s="1340"/>
      <c r="I13" s="1340"/>
      <c r="J13" s="1340"/>
      <c r="K13" s="1340"/>
      <c r="L13" s="1337"/>
      <c r="M13" s="1340"/>
    </row>
    <row r="14" spans="2:14" ht="20.100000000000001" customHeight="1" x14ac:dyDescent="0.2">
      <c r="B14" s="1948" t="s">
        <v>2140</v>
      </c>
      <c r="C14" s="1338"/>
      <c r="D14" s="1339"/>
      <c r="E14" s="1340"/>
      <c r="F14" s="1340"/>
      <c r="G14" s="1340"/>
      <c r="H14" s="1340"/>
      <c r="I14" s="1340"/>
      <c r="J14" s="1340"/>
      <c r="K14" s="1340"/>
      <c r="L14" s="1337"/>
      <c r="M14" s="1340"/>
    </row>
    <row r="15" spans="2:14" ht="20.100000000000001" customHeight="1" x14ac:dyDescent="0.2">
      <c r="B15" s="1334" t="s">
        <v>2141</v>
      </c>
      <c r="C15" s="1338">
        <v>93.778000000000006</v>
      </c>
      <c r="D15" s="1339" t="s">
        <v>2142</v>
      </c>
      <c r="E15" s="1340">
        <v>82861</v>
      </c>
      <c r="F15" s="1340"/>
      <c r="G15" s="1340">
        <v>82861</v>
      </c>
      <c r="H15" s="1340"/>
      <c r="I15" s="1340"/>
      <c r="J15" s="1340"/>
      <c r="K15" s="1340"/>
      <c r="L15" s="1337">
        <f t="shared" ref="L15:L16" si="0">+G15+I15+K15</f>
        <v>82861</v>
      </c>
      <c r="M15" s="1340" t="s">
        <v>2117</v>
      </c>
    </row>
    <row r="16" spans="2:14" ht="20.100000000000001" customHeight="1" x14ac:dyDescent="0.2">
      <c r="B16" s="1334" t="s">
        <v>2141</v>
      </c>
      <c r="C16" s="1338">
        <v>93.778000000000006</v>
      </c>
      <c r="D16" s="1339" t="s">
        <v>2136</v>
      </c>
      <c r="E16" s="1340"/>
      <c r="F16" s="1340">
        <v>56744</v>
      </c>
      <c r="G16" s="1340"/>
      <c r="H16" s="1340"/>
      <c r="I16" s="1340">
        <v>56744</v>
      </c>
      <c r="J16" s="1340"/>
      <c r="K16" s="1340"/>
      <c r="L16" s="1337">
        <f t="shared" si="0"/>
        <v>56744</v>
      </c>
      <c r="M16" s="1340" t="s">
        <v>2117</v>
      </c>
    </row>
    <row r="17" spans="2:14" ht="20.100000000000001" customHeight="1" x14ac:dyDescent="0.2">
      <c r="B17" s="1952"/>
      <c r="C17" s="1338"/>
      <c r="D17" s="1339"/>
      <c r="E17" s="1340"/>
      <c r="F17" s="1340"/>
      <c r="G17" s="1340"/>
      <c r="H17" s="1340"/>
      <c r="I17" s="1340"/>
      <c r="J17" s="1340"/>
      <c r="K17" s="1340"/>
      <c r="L17" s="1337"/>
      <c r="M17" s="1340"/>
    </row>
    <row r="18" spans="2:14" ht="20.100000000000001" customHeight="1" x14ac:dyDescent="0.2">
      <c r="B18" s="1951" t="s">
        <v>2143</v>
      </c>
      <c r="C18" s="1338"/>
      <c r="D18" s="1339"/>
      <c r="E18" s="1340"/>
      <c r="F18" s="1949">
        <f>SUM(F16:F17)</f>
        <v>56744</v>
      </c>
      <c r="G18" s="1340"/>
      <c r="H18" s="1340"/>
      <c r="I18" s="1949">
        <f>SUM(I16:I17)</f>
        <v>56744</v>
      </c>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953" t="s">
        <v>2144</v>
      </c>
      <c r="C20" s="1338"/>
      <c r="D20" s="1339"/>
      <c r="E20" s="1340"/>
      <c r="F20" s="1954">
        <f>+' SEFA (2)'!F17+' SEFA (3)'!F11+' SEFA (3)'!F18</f>
        <v>2187735</v>
      </c>
      <c r="G20" s="1340"/>
      <c r="H20" s="1340"/>
      <c r="I20" s="1954">
        <f>+' SEFA (2)'!I17+' SEFA (3)'!I11+' SEFA (3)'!I18</f>
        <v>2115271</v>
      </c>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11 I11 L15:L16 F18 I18 F20 I20"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Normal="100" workbookViewId="0">
      <selection activeCell="C44" sqref="C44"/>
    </sheetView>
  </sheetViews>
  <sheetFormatPr defaultColWidth="8" defaultRowHeight="12.75" x14ac:dyDescent="0.2"/>
  <cols>
    <col min="1" max="1" width="1.42578125" style="317" customWidth="1"/>
    <col min="2" max="2" width="53.42578125" style="317" customWidth="1"/>
    <col min="3" max="3" width="14" style="1255" customWidth="1"/>
    <col min="4" max="4" width="16.5703125" style="1255" customWidth="1"/>
    <col min="5" max="5" width="7.5703125" style="317" customWidth="1"/>
    <col min="6" max="6" width="2.5703125" style="317" customWidth="1"/>
    <col min="7" max="7" width="3.42578125" style="317" customWidth="1"/>
    <col min="8" max="16384" width="8" style="317"/>
  </cols>
  <sheetData>
    <row r="1" spans="1:7" ht="13.5" customHeight="1" x14ac:dyDescent="0.2">
      <c r="A1" s="2453" t="str">
        <f>'Single Audit Cover'!A7</f>
        <v>Wauconda CUSD 118</v>
      </c>
      <c r="B1" s="2453"/>
      <c r="C1" s="2453"/>
      <c r="D1" s="2453"/>
      <c r="E1" s="2453"/>
      <c r="F1" s="2453"/>
    </row>
    <row r="2" spans="1:7" ht="13.5" customHeight="1" x14ac:dyDescent="0.2">
      <c r="A2" s="2449">
        <f>'Single Audit Cover'!E7</f>
        <v>34049118026</v>
      </c>
      <c r="B2" s="2449"/>
      <c r="C2" s="2449"/>
      <c r="D2" s="2449"/>
      <c r="E2" s="2449"/>
      <c r="F2" s="2449"/>
      <c r="G2" s="1272"/>
    </row>
    <row r="3" spans="1:7" ht="15.75" customHeight="1" x14ac:dyDescent="0.2">
      <c r="A3" s="2454" t="s">
        <v>1270</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1727</v>
      </c>
      <c r="C6" s="317"/>
      <c r="D6" s="317"/>
    </row>
    <row r="7" spans="1:7" ht="60.95" customHeight="1" x14ac:dyDescent="0.2">
      <c r="A7" s="2452" t="s">
        <v>2145</v>
      </c>
      <c r="B7" s="2452"/>
      <c r="C7" s="2452"/>
      <c r="D7" s="2452"/>
      <c r="E7" s="2452"/>
      <c r="F7" s="245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27.6" customHeight="1" x14ac:dyDescent="0.2">
      <c r="A13" s="2452" t="s">
        <v>2146</v>
      </c>
      <c r="B13" s="2452"/>
      <c r="C13" s="2452"/>
      <c r="D13" s="2452"/>
      <c r="E13" s="2452"/>
      <c r="F13" s="2452"/>
    </row>
    <row r="14" spans="1:7" ht="9.75" customHeight="1" x14ac:dyDescent="0.2">
      <c r="C14" s="1257"/>
      <c r="D14" s="1257"/>
    </row>
    <row r="15" spans="1:7" ht="13.5" customHeight="1" x14ac:dyDescent="0.2">
      <c r="C15" s="1846" t="s">
        <v>1269</v>
      </c>
      <c r="D15" s="2457" t="s">
        <v>1268</v>
      </c>
      <c r="E15" s="2457"/>
      <c r="F15" s="2457"/>
    </row>
    <row r="16" spans="1:7" ht="13.5" customHeight="1" x14ac:dyDescent="0.2">
      <c r="A16" s="1279"/>
      <c r="B16" s="1273" t="s">
        <v>1267</v>
      </c>
      <c r="C16" s="1846" t="s">
        <v>1266</v>
      </c>
      <c r="D16" s="2458" t="s">
        <v>1587</v>
      </c>
      <c r="E16" s="2458"/>
      <c r="F16" s="2458"/>
    </row>
    <row r="17" spans="1:6" ht="20.45" customHeight="1" x14ac:dyDescent="0.2">
      <c r="A17" s="1280"/>
      <c r="B17" s="1281" t="s">
        <v>2147</v>
      </c>
      <c r="C17" s="1282"/>
      <c r="D17" s="2456"/>
      <c r="E17" s="2456"/>
      <c r="F17" s="2456"/>
    </row>
    <row r="18" spans="1:6" ht="20.85" customHeight="1" x14ac:dyDescent="0.2">
      <c r="A18" s="1280"/>
      <c r="B18" s="1281"/>
      <c r="C18" s="1282"/>
      <c r="D18" s="2456"/>
      <c r="E18" s="2456"/>
      <c r="F18" s="2456"/>
    </row>
    <row r="19" spans="1:6" ht="20.85" customHeight="1" x14ac:dyDescent="0.2">
      <c r="A19" s="1280"/>
      <c r="B19" s="1281"/>
      <c r="C19" s="1282"/>
      <c r="D19" s="2456"/>
      <c r="E19" s="2456"/>
      <c r="F19" s="2456"/>
    </row>
    <row r="20" spans="1:6" ht="20.85" customHeight="1" x14ac:dyDescent="0.2">
      <c r="A20" s="1280"/>
      <c r="B20" s="1281"/>
      <c r="C20" s="1282"/>
      <c r="D20" s="2456"/>
      <c r="E20" s="2456"/>
      <c r="F20" s="2456"/>
    </row>
    <row r="21" spans="1:6" ht="20.85" customHeight="1" x14ac:dyDescent="0.2">
      <c r="A21" s="1280"/>
      <c r="B21" s="1281"/>
      <c r="C21" s="1282"/>
      <c r="D21" s="2456"/>
      <c r="E21" s="2456"/>
      <c r="F21" s="2456"/>
    </row>
    <row r="22" spans="1:6" ht="20.85" customHeight="1" x14ac:dyDescent="0.2">
      <c r="A22" s="1280"/>
      <c r="B22" s="1281"/>
      <c r="C22" s="1282"/>
      <c r="D22" s="2456"/>
      <c r="E22" s="2456"/>
      <c r="F22" s="2456"/>
    </row>
    <row r="23" spans="1:6" ht="20.85" customHeight="1" x14ac:dyDescent="0.2">
      <c r="A23" s="1280"/>
      <c r="B23" s="1281"/>
      <c r="C23" s="1282"/>
      <c r="D23" s="2456"/>
      <c r="E23" s="2456"/>
      <c r="F23" s="2456"/>
    </row>
    <row r="24" spans="1:6" ht="20.85" customHeight="1" x14ac:dyDescent="0.2">
      <c r="A24" s="1280"/>
      <c r="B24" s="1281"/>
      <c r="C24" s="1282"/>
      <c r="D24" s="2456"/>
      <c r="E24" s="2456"/>
      <c r="F24" s="2456"/>
    </row>
    <row r="25" spans="1:6" ht="20.85" customHeight="1" x14ac:dyDescent="0.2">
      <c r="A25" s="1280"/>
      <c r="B25" s="1281"/>
      <c r="C25" s="1282"/>
      <c r="D25" s="2456"/>
      <c r="E25" s="2456"/>
      <c r="F25" s="2456"/>
    </row>
    <row r="26" spans="1:6" ht="20.85" customHeight="1" x14ac:dyDescent="0.2">
      <c r="A26" s="1280"/>
      <c r="B26" s="1281"/>
      <c r="C26" s="1282"/>
      <c r="D26" s="2456"/>
      <c r="E26" s="2456"/>
      <c r="F26" s="2456"/>
    </row>
    <row r="27" spans="1:6" ht="20.85" customHeight="1" x14ac:dyDescent="0.2">
      <c r="A27" s="1280"/>
      <c r="B27" s="1281"/>
      <c r="C27" s="1282"/>
      <c r="D27" s="2456"/>
      <c r="E27" s="2456"/>
      <c r="F27" s="2456"/>
    </row>
    <row r="28" spans="1:6" ht="20.85" customHeight="1" x14ac:dyDescent="0.2">
      <c r="A28" s="1280"/>
      <c r="B28" s="1281"/>
      <c r="C28" s="1282"/>
      <c r="D28" s="2456"/>
      <c r="E28" s="2456"/>
      <c r="F28" s="2456"/>
    </row>
    <row r="29" spans="1:6" ht="20.85" customHeight="1" x14ac:dyDescent="0.2">
      <c r="A29" s="1280"/>
      <c r="B29" s="1281"/>
      <c r="C29" s="1282"/>
      <c r="D29" s="2456"/>
      <c r="E29" s="2456"/>
      <c r="F29" s="245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60" t="s">
        <v>2148</v>
      </c>
      <c r="B32" s="2460"/>
      <c r="C32" s="2460"/>
      <c r="D32" s="2460"/>
      <c r="E32" s="2460"/>
      <c r="F32" s="2460"/>
    </row>
    <row r="33" spans="1:6" ht="13.5" customHeight="1" x14ac:dyDescent="0.2">
      <c r="A33" s="328" t="s">
        <v>1433</v>
      </c>
      <c r="B33" s="328"/>
      <c r="C33" s="1285">
        <v>84845</v>
      </c>
      <c r="D33" s="1903"/>
      <c r="E33" s="1283"/>
    </row>
    <row r="34" spans="1:6" ht="13.5" customHeight="1" x14ac:dyDescent="0.2">
      <c r="A34" s="328" t="s">
        <v>1834</v>
      </c>
      <c r="B34" s="328"/>
      <c r="C34" s="1286">
        <v>24309</v>
      </c>
      <c r="D34" s="1903" t="s">
        <v>1588</v>
      </c>
      <c r="E34" s="2461">
        <f>+C33+C34</f>
        <v>109154</v>
      </c>
      <c r="F34" s="2462"/>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99</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1589</v>
      </c>
      <c r="C49" s="2463"/>
      <c r="D49" s="2463"/>
      <c r="E49" s="1396"/>
    </row>
    <row r="50" spans="1:5" s="1297" customFormat="1" ht="3.75" customHeight="1" x14ac:dyDescent="0.2">
      <c r="A50" s="1296"/>
      <c r="B50" s="1845"/>
      <c r="C50" s="1845"/>
      <c r="D50" s="1845"/>
      <c r="E50" s="1396"/>
    </row>
    <row r="51" spans="1:5" s="1297" customFormat="1" ht="20.25" customHeight="1" x14ac:dyDescent="0.2">
      <c r="A51" s="1298">
        <v>6</v>
      </c>
      <c r="B51" s="2459" t="s">
        <v>1550</v>
      </c>
      <c r="C51" s="2459"/>
      <c r="D51" s="2459"/>
    </row>
    <row r="52" spans="1:5" ht="14.25" customHeight="1" x14ac:dyDescent="0.2">
      <c r="A52" s="1298"/>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5" zoomScale="110" zoomScaleNormal="110" workbookViewId="0">
      <selection activeCell="E52" sqref="E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42578125" style="317" customWidth="1"/>
    <col min="5" max="5" width="5.42578125" style="1255"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Wauconda CUSD 118</v>
      </c>
      <c r="C1" s="2469"/>
      <c r="D1" s="2469"/>
      <c r="E1" s="2469"/>
      <c r="F1" s="2469"/>
      <c r="G1" s="2469"/>
      <c r="H1" s="2469"/>
      <c r="I1" s="2469"/>
      <c r="J1" s="1406"/>
    </row>
    <row r="2" spans="2:10" s="317" customFormat="1" ht="12.75" customHeight="1" x14ac:dyDescent="0.2">
      <c r="B2" s="2470">
        <f>'Single Audit Cover'!E7</f>
        <v>34049118026</v>
      </c>
      <c r="C2" s="2471"/>
      <c r="D2" s="2471"/>
      <c r="E2" s="2471"/>
      <c r="F2" s="2471"/>
      <c r="G2" s="2471"/>
      <c r="H2" s="2471"/>
      <c r="I2" s="2471"/>
      <c r="J2" s="1406"/>
    </row>
    <row r="3" spans="2:10" s="317" customFormat="1" ht="12.75" customHeight="1" x14ac:dyDescent="0.2">
      <c r="B3" s="2472" t="s">
        <v>1284</v>
      </c>
      <c r="C3" s="2473"/>
      <c r="D3" s="2473"/>
      <c r="E3" s="2473"/>
      <c r="F3" s="2473"/>
      <c r="G3" s="2473"/>
      <c r="H3" s="2473"/>
      <c r="I3" s="2473"/>
      <c r="J3" s="1407"/>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2" t="s">
        <v>1283</v>
      </c>
      <c r="C7" s="2473"/>
      <c r="D7" s="2473"/>
      <c r="E7" s="2473"/>
      <c r="F7" s="2473"/>
      <c r="G7" s="2473"/>
      <c r="H7" s="2473"/>
      <c r="I7" s="247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4" t="s">
        <v>2149</v>
      </c>
      <c r="D11" s="2474"/>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5" t="s">
        <v>2149</v>
      </c>
      <c r="E29" s="2475"/>
      <c r="F29" s="2475"/>
      <c r="G29" s="2475"/>
      <c r="H29" s="2475"/>
      <c r="I29" s="2475"/>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6" t="s">
        <v>1747</v>
      </c>
      <c r="D37" s="2477"/>
      <c r="E37" s="2477"/>
      <c r="F37" s="2478"/>
      <c r="G37" s="2476" t="s">
        <v>1591</v>
      </c>
      <c r="H37" s="2477"/>
      <c r="I37" s="2478"/>
    </row>
    <row r="38" spans="2:9" ht="16.5" customHeight="1" x14ac:dyDescent="0.2">
      <c r="B38" s="1428">
        <v>84.01</v>
      </c>
      <c r="C38" s="2464" t="s">
        <v>2150</v>
      </c>
      <c r="D38" s="2465"/>
      <c r="E38" s="2465"/>
      <c r="F38" s="2466"/>
      <c r="G38" s="2479">
        <v>440176</v>
      </c>
      <c r="H38" s="2480"/>
      <c r="I38" s="2481"/>
    </row>
    <row r="39" spans="2:9" ht="16.5" customHeight="1" x14ac:dyDescent="0.2">
      <c r="B39" s="1428"/>
      <c r="C39" s="2464"/>
      <c r="D39" s="2465"/>
      <c r="E39" s="2465"/>
      <c r="F39" s="2466"/>
      <c r="G39" s="2467"/>
      <c r="H39" s="2467"/>
      <c r="I39" s="2467"/>
    </row>
    <row r="40" spans="2:9" ht="16.5" customHeight="1" x14ac:dyDescent="0.2">
      <c r="B40" s="1428"/>
      <c r="C40" s="2464"/>
      <c r="D40" s="2465"/>
      <c r="E40" s="2465"/>
      <c r="F40" s="2466"/>
      <c r="G40" s="2467"/>
      <c r="H40" s="2467"/>
      <c r="I40" s="2467"/>
    </row>
    <row r="41" spans="2:9" ht="16.5" customHeight="1" x14ac:dyDescent="0.2">
      <c r="B41" s="1428"/>
      <c r="C41" s="2464"/>
      <c r="D41" s="2465"/>
      <c r="E41" s="2465"/>
      <c r="F41" s="2466"/>
      <c r="G41" s="2467"/>
      <c r="H41" s="2467"/>
      <c r="I41" s="2467"/>
    </row>
    <row r="42" spans="2:9" ht="16.5" customHeight="1" x14ac:dyDescent="0.2">
      <c r="B42" s="1428"/>
      <c r="C42" s="2464"/>
      <c r="D42" s="2465"/>
      <c r="E42" s="2465"/>
      <c r="F42" s="2466"/>
      <c r="G42" s="2467"/>
      <c r="H42" s="2467"/>
      <c r="I42" s="2467"/>
    </row>
    <row r="43" spans="2:9" ht="16.5" customHeight="1" x14ac:dyDescent="0.2">
      <c r="B43" s="1428"/>
      <c r="C43" s="2482" t="s">
        <v>1592</v>
      </c>
      <c r="D43" s="2483"/>
      <c r="E43" s="2483"/>
      <c r="F43" s="2484"/>
      <c r="G43" s="2485">
        <f>SUM(G38:I42)</f>
        <v>440176</v>
      </c>
      <c r="H43" s="2485"/>
      <c r="I43" s="2485"/>
    </row>
    <row r="44" spans="2:9" ht="12.75" customHeight="1" x14ac:dyDescent="0.2"/>
    <row r="45" spans="2:9" ht="12.75" customHeight="1" x14ac:dyDescent="0.2">
      <c r="B45" s="1419" t="s">
        <v>2057</v>
      </c>
      <c r="D45" s="2486">
        <v>2115271</v>
      </c>
      <c r="E45" s="2487"/>
    </row>
    <row r="46" spans="2:9" ht="5.25" customHeight="1" x14ac:dyDescent="0.2">
      <c r="B46" s="1429"/>
      <c r="D46" s="1430"/>
      <c r="E46" s="1431"/>
    </row>
    <row r="47" spans="2:9" ht="12.75" customHeight="1" x14ac:dyDescent="0.2">
      <c r="B47" s="1297" t="s">
        <v>1593</v>
      </c>
      <c r="C47" s="1297"/>
      <c r="D47" s="1432">
        <f>+G43/D45</f>
        <v>0.20809437655978832</v>
      </c>
      <c r="E47" s="1433"/>
      <c r="F47" s="1434"/>
      <c r="I47" s="1435"/>
    </row>
    <row r="48" spans="2:9" ht="9.9499999999999993" customHeight="1" x14ac:dyDescent="0.2"/>
    <row r="49" spans="1:9" x14ac:dyDescent="0.2">
      <c r="B49" s="1365" t="s">
        <v>1272</v>
      </c>
      <c r="C49" s="1279"/>
      <c r="D49" s="1279"/>
      <c r="E49" s="2488">
        <v>750000</v>
      </c>
      <c r="F49" s="2488"/>
      <c r="G49" s="2488"/>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F12" sqref="F12"/>
    </sheetView>
  </sheetViews>
  <sheetFormatPr defaultColWidth="9.140625" defaultRowHeight="12.75" x14ac:dyDescent="0.2"/>
  <cols>
    <col min="1" max="1" width="1.5703125" style="317" customWidth="1"/>
    <col min="2" max="2" width="21.42578125" style="317" customWidth="1"/>
    <col min="3" max="3" width="9.5703125" style="317" bestFit="1"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Wauconda CUSD 118</v>
      </c>
      <c r="C1" s="2468"/>
      <c r="D1" s="2468"/>
      <c r="E1" s="2468"/>
      <c r="F1" s="2468"/>
      <c r="G1" s="2468"/>
      <c r="H1" s="2468"/>
      <c r="I1" s="2468"/>
      <c r="J1" s="2468"/>
      <c r="K1" s="2468"/>
      <c r="L1" s="1371"/>
      <c r="M1" s="1371"/>
    </row>
    <row r="2" spans="1:13" ht="12" customHeight="1" x14ac:dyDescent="0.2">
      <c r="B2" s="2470">
        <f>'Single Audit Cover'!E7</f>
        <v>34049118026</v>
      </c>
      <c r="C2" s="2470"/>
      <c r="D2" s="2470"/>
      <c r="E2" s="2470"/>
      <c r="F2" s="2470"/>
      <c r="G2" s="2470"/>
      <c r="H2" s="2470"/>
      <c r="I2" s="2470"/>
      <c r="J2" s="2470"/>
      <c r="K2" s="2470"/>
      <c r="L2" s="1372"/>
      <c r="M2" s="1373"/>
    </row>
    <row r="3" spans="1:13" ht="10.35" customHeight="1" x14ac:dyDescent="0.2">
      <c r="B3" s="2491" t="s">
        <v>1284</v>
      </c>
      <c r="C3" s="2491"/>
      <c r="D3" s="2491"/>
      <c r="E3" s="2491"/>
      <c r="F3" s="2491"/>
      <c r="G3" s="2491"/>
      <c r="H3" s="2491"/>
      <c r="I3" s="2491"/>
      <c r="J3" s="2491"/>
      <c r="K3" s="2491"/>
      <c r="L3" s="1374"/>
      <c r="M3" s="1374"/>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2" t="s">
        <v>1295</v>
      </c>
      <c r="C7" s="2492"/>
      <c r="D7" s="2493"/>
      <c r="E7" s="2493"/>
      <c r="F7" s="2493"/>
      <c r="G7" s="2493"/>
      <c r="H7" s="2493"/>
      <c r="I7" s="2493"/>
      <c r="J7" s="2493"/>
      <c r="K7" s="249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2151</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90"/>
      <c r="C14" s="2490"/>
      <c r="D14" s="2490"/>
      <c r="E14" s="2490"/>
      <c r="F14" s="2490"/>
      <c r="G14" s="2490"/>
      <c r="H14" s="2490"/>
      <c r="I14" s="2490"/>
      <c r="J14" s="2490"/>
      <c r="K14" s="249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90"/>
      <c r="C17" s="2490"/>
      <c r="D17" s="2490"/>
      <c r="E17" s="2490"/>
      <c r="F17" s="2490"/>
      <c r="G17" s="2490"/>
      <c r="H17" s="2490"/>
      <c r="I17" s="2490"/>
      <c r="J17" s="2490"/>
      <c r="K17" s="2490"/>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4"/>
      <c r="C20" s="2494"/>
      <c r="D20" s="2490"/>
      <c r="E20" s="2490"/>
      <c r="F20" s="2490"/>
      <c r="G20" s="2490"/>
      <c r="H20" s="2490"/>
      <c r="I20" s="2490"/>
      <c r="J20" s="2490"/>
      <c r="K20" s="2490"/>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90"/>
      <c r="C23" s="2490"/>
      <c r="D23" s="2490"/>
      <c r="E23" s="2490"/>
      <c r="F23" s="2490"/>
      <c r="G23" s="2490"/>
      <c r="H23" s="2490"/>
      <c r="I23" s="2490"/>
      <c r="J23" s="2490"/>
      <c r="K23" s="2490"/>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90"/>
      <c r="C26" s="2490"/>
      <c r="D26" s="2490"/>
      <c r="E26" s="2490"/>
      <c r="F26" s="2490"/>
      <c r="G26" s="2490"/>
      <c r="H26" s="2490"/>
      <c r="I26" s="2490"/>
      <c r="J26" s="2490"/>
      <c r="K26" s="2490"/>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9"/>
      <c r="C29" s="2489"/>
      <c r="D29" s="2490"/>
      <c r="E29" s="2490"/>
      <c r="F29" s="2490"/>
      <c r="G29" s="2490"/>
      <c r="H29" s="2490"/>
      <c r="I29" s="2490"/>
      <c r="J29" s="2490"/>
      <c r="K29" s="24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9"/>
      <c r="C32" s="2489"/>
      <c r="D32" s="2490"/>
      <c r="E32" s="2490"/>
      <c r="F32" s="2490"/>
      <c r="G32" s="2490"/>
      <c r="H32" s="2490"/>
      <c r="I32" s="2490"/>
      <c r="J32" s="2490"/>
      <c r="K32" s="249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6" sqref="B6:K6"/>
    </sheetView>
  </sheetViews>
  <sheetFormatPr defaultColWidth="9.140625" defaultRowHeight="12.75" x14ac:dyDescent="0.2"/>
  <cols>
    <col min="1" max="1" width="1.5703125" style="317" customWidth="1"/>
    <col min="2" max="2" width="21.5703125" style="317" customWidth="1"/>
    <col min="3" max="3" width="9.5703125" style="317" bestFit="1" customWidth="1"/>
    <col min="4" max="4" width="4.5703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Wauconda CUSD 118</v>
      </c>
      <c r="C1" s="2495"/>
      <c r="D1" s="2495"/>
      <c r="E1" s="2495"/>
      <c r="F1" s="2495"/>
      <c r="G1" s="2495"/>
      <c r="H1" s="2495"/>
      <c r="I1" s="2495"/>
      <c r="J1" s="2495"/>
      <c r="K1" s="2495"/>
      <c r="L1" s="1449"/>
    </row>
    <row r="2" spans="1:12" ht="12.75" customHeight="1" x14ac:dyDescent="0.2">
      <c r="B2" s="2496">
        <f>'Single Audit Cover'!E7</f>
        <v>34049118026</v>
      </c>
      <c r="C2" s="2496"/>
      <c r="D2" s="2496"/>
      <c r="E2" s="2496"/>
      <c r="F2" s="2496"/>
      <c r="G2" s="2496"/>
      <c r="H2" s="2496"/>
      <c r="I2" s="2496"/>
      <c r="J2" s="2496"/>
      <c r="K2" s="2496"/>
      <c r="L2" s="1450"/>
    </row>
    <row r="3" spans="1:12" ht="12.75" customHeight="1" x14ac:dyDescent="0.2">
      <c r="B3" s="2491" t="s">
        <v>1284</v>
      </c>
      <c r="C3" s="2491"/>
      <c r="D3" s="2491"/>
      <c r="E3" s="2491"/>
      <c r="F3" s="2491"/>
      <c r="G3" s="2491"/>
      <c r="H3" s="2491"/>
      <c r="I3" s="2491"/>
      <c r="J3" s="2491"/>
      <c r="K3" s="2491"/>
      <c r="L3" s="1374"/>
    </row>
    <row r="4" spans="1:12" ht="12.75" customHeight="1" x14ac:dyDescent="0.2">
      <c r="B4" s="2491" t="str">
        <f>'Single Audit Cover'!A4</f>
        <v>Year Ending June 30, 2019</v>
      </c>
      <c r="C4" s="2491"/>
      <c r="D4" s="2491"/>
      <c r="E4" s="2491"/>
      <c r="F4" s="2491"/>
      <c r="G4" s="2491"/>
      <c r="H4" s="2491"/>
      <c r="I4" s="2491"/>
      <c r="J4" s="2491"/>
      <c r="K4" s="2491"/>
      <c r="L4" s="1374"/>
    </row>
    <row r="5" spans="1:12" ht="5.25" customHeight="1" x14ac:dyDescent="0.2">
      <c r="B5" s="1257" t="s">
        <v>1168</v>
      </c>
      <c r="C5" s="1257"/>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2151</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5"/>
      <c r="G12" s="2475"/>
      <c r="H12" s="2475"/>
      <c r="I12" s="2475"/>
      <c r="J12" s="2475"/>
      <c r="K12" s="247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8"/>
      <c r="E14" s="2498"/>
      <c r="F14" s="2498"/>
      <c r="H14" s="1459" t="s">
        <v>1302</v>
      </c>
      <c r="I14" s="2499"/>
      <c r="J14" s="2499"/>
      <c r="K14" s="2499"/>
      <c r="L14" s="322"/>
    </row>
    <row r="15" spans="1:12" ht="9.6"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9"/>
      <c r="E16" s="2499"/>
      <c r="F16" s="2499"/>
      <c r="G16" s="2499"/>
      <c r="H16" s="2499"/>
      <c r="I16" s="2499"/>
      <c r="J16" s="2499"/>
      <c r="K16" s="2499"/>
      <c r="L16" s="322"/>
    </row>
    <row r="17" spans="2:12" ht="13.5" customHeight="1" x14ac:dyDescent="0.2">
      <c r="B17" s="1384" t="s">
        <v>1300</v>
      </c>
      <c r="C17" s="1384"/>
      <c r="D17" s="2500"/>
      <c r="E17" s="2500"/>
      <c r="F17" s="2500"/>
      <c r="G17" s="2500"/>
      <c r="H17" s="2500"/>
      <c r="I17" s="2500"/>
      <c r="J17" s="2500"/>
      <c r="K17" s="2500"/>
      <c r="L17" s="322"/>
    </row>
    <row r="18" spans="2:12" ht="9.6"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90"/>
      <c r="C20" s="2490"/>
      <c r="D20" s="2490"/>
      <c r="E20" s="2490"/>
      <c r="F20" s="2490"/>
      <c r="G20" s="2490"/>
      <c r="H20" s="2490"/>
      <c r="I20" s="2490"/>
      <c r="J20" s="2490"/>
      <c r="K20" s="249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79" customFormat="1" ht="12.75" customHeight="1" x14ac:dyDescent="0.2">
      <c r="B1" s="2468" t="str">
        <f>'Single Audit Cover'!A7</f>
        <v>Wauconda CUSD 118</v>
      </c>
      <c r="C1" s="2468"/>
      <c r="D1" s="2468"/>
      <c r="E1" s="1469"/>
    </row>
    <row r="2" spans="2:5" s="1279" customFormat="1" ht="12.75" customHeight="1" x14ac:dyDescent="0.2">
      <c r="B2" s="2470">
        <f>'Single Audit Cover'!E7</f>
        <v>34049118026</v>
      </c>
      <c r="C2" s="2470"/>
      <c r="D2" s="2470"/>
      <c r="E2" s="1470"/>
    </row>
    <row r="3" spans="2:5" ht="12.75" customHeight="1" x14ac:dyDescent="0.2">
      <c r="B3" s="2491" t="s">
        <v>1762</v>
      </c>
      <c r="C3" s="2491"/>
      <c r="D3" s="2491"/>
      <c r="E3" s="1271"/>
    </row>
    <row r="4" spans="2:5" s="1279" customFormat="1" ht="12.75" customHeight="1" x14ac:dyDescent="0.2">
      <c r="B4" s="2501" t="str">
        <f>'Single Audit Cover'!A4</f>
        <v>Year Ending June 30, 2019</v>
      </c>
      <c r="C4" s="2501"/>
      <c r="D4" s="2501"/>
      <c r="E4" s="1471"/>
    </row>
    <row r="5" spans="2:5" s="1279" customFormat="1" ht="40.3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2147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14" sqref="T14"/>
    </sheetView>
  </sheetViews>
  <sheetFormatPr defaultColWidth="9.140625" defaultRowHeight="12" x14ac:dyDescent="0.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x14ac:dyDescent="0.2">
      <c r="A1" s="2099" t="s">
        <v>385</v>
      </c>
      <c r="B1" s="2099"/>
      <c r="C1" s="2099"/>
      <c r="D1" s="2099"/>
      <c r="E1" s="2099"/>
      <c r="F1" s="2099"/>
      <c r="G1" s="2099"/>
      <c r="H1" s="2099"/>
      <c r="I1" s="2099"/>
      <c r="J1" s="2099"/>
      <c r="K1" s="2099"/>
      <c r="L1" s="2099"/>
      <c r="M1" s="2099"/>
      <c r="N1" s="346"/>
    </row>
    <row r="2" spans="1:14" ht="11.1"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766207459</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3.7565309999999998E-2</v>
      </c>
      <c r="E10" s="356" t="s">
        <v>1004</v>
      </c>
      <c r="F10" s="355">
        <v>6.13E-3</v>
      </c>
      <c r="G10" s="356" t="s">
        <v>1004</v>
      </c>
      <c r="H10" s="355">
        <v>1.9499999999999999E-3</v>
      </c>
      <c r="I10" s="356" t="s">
        <v>1005</v>
      </c>
      <c r="J10" s="1732">
        <f>ROUND(D10+F10+H10,5)</f>
        <v>4.5650000000000003E-2</v>
      </c>
      <c r="K10" s="222"/>
      <c r="L10" s="355">
        <v>1.0000000000000001E-5</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58415196</v>
      </c>
      <c r="E16" s="356"/>
      <c r="F16" s="1733">
        <f>SUM('Acct Summary 7-8'!C17,'Acct Summary 7-8'!D17,'Acct Summary 7-8'!F17)</f>
        <v>58551016</v>
      </c>
      <c r="G16" s="356"/>
      <c r="H16" s="1733">
        <f>SUM(D16-F16)</f>
        <v>-135820</v>
      </c>
      <c r="I16" s="222"/>
      <c r="J16" s="1733">
        <f>SUM('Acct Summary 7-8'!C81,'Acct Summary 7-8'!D81,'Acct Summary 7-8'!F81,'Acct Summary 7-8'!I81)</f>
        <v>29632312</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105736629.34200001</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55225766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9" zoomScale="80" zoomScaleNormal="80" workbookViewId="0">
      <selection activeCell="T14" sqref="T14"/>
    </sheetView>
  </sheetViews>
  <sheetFormatPr defaultColWidth="9.140625" defaultRowHeight="12" x14ac:dyDescent="0.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555</v>
      </c>
      <c r="B2" s="2118"/>
      <c r="C2" s="2118"/>
      <c r="D2" s="2118"/>
      <c r="E2" s="2118"/>
      <c r="F2" s="2118"/>
      <c r="G2" s="2118"/>
      <c r="H2" s="2118"/>
      <c r="I2" s="2118"/>
      <c r="J2" s="2118"/>
      <c r="K2" s="2118"/>
      <c r="L2" s="2118"/>
      <c r="M2" s="2118"/>
      <c r="N2" s="2118"/>
      <c r="O2" s="2118"/>
      <c r="P2" s="2118"/>
      <c r="Q2" s="2118"/>
      <c r="R2" s="2118"/>
    </row>
    <row r="3" spans="1:18" ht="12.75" x14ac:dyDescent="0.2">
      <c r="A3" s="2119" t="s">
        <v>1412</v>
      </c>
      <c r="B3" s="2119"/>
      <c r="C3" s="2119"/>
      <c r="D3" s="2119"/>
      <c r="E3" s="2119"/>
      <c r="F3" s="2119"/>
      <c r="G3" s="2119"/>
      <c r="H3" s="2119"/>
      <c r="I3" s="2119"/>
      <c r="J3" s="2119"/>
      <c r="K3" s="2119"/>
      <c r="L3" s="2119"/>
      <c r="M3" s="2119"/>
      <c r="N3" s="2119"/>
      <c r="O3" s="2119"/>
      <c r="P3" s="2119"/>
      <c r="Q3" s="2119"/>
      <c r="R3" s="2119"/>
    </row>
    <row r="4" spans="1:18" x14ac:dyDescent="0.2">
      <c r="A4" s="2120" t="s">
        <v>1553</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Wauconda CUSD 118</v>
      </c>
      <c r="E7" s="391"/>
      <c r="G7" s="252"/>
      <c r="H7" s="387"/>
      <c r="I7" s="387"/>
      <c r="J7" s="387"/>
      <c r="K7" s="387"/>
      <c r="L7" s="329"/>
      <c r="M7" s="329"/>
      <c r="N7" s="329"/>
      <c r="O7" s="329"/>
      <c r="P7" s="329"/>
    </row>
    <row r="8" spans="1:18" ht="12.75" x14ac:dyDescent="0.2">
      <c r="A8" s="329"/>
      <c r="B8" s="329"/>
      <c r="C8" s="389" t="s">
        <v>1124</v>
      </c>
      <c r="D8" s="392">
        <f>COVER!A13</f>
        <v>34049118026</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29622071</v>
      </c>
      <c r="I12" s="404"/>
      <c r="J12" s="404"/>
      <c r="K12" s="405">
        <f>TRUNC((H12/H13*100000),5)/100000</f>
        <v>0.50709529409999998</v>
      </c>
      <c r="L12" s="406"/>
      <c r="M12" s="360" t="s">
        <v>1143</v>
      </c>
      <c r="N12" s="360"/>
      <c r="O12" s="407">
        <v>0.35</v>
      </c>
      <c r="P12" s="218"/>
      <c r="Q12" s="218"/>
    </row>
    <row r="13" spans="1:18" s="408" customFormat="1" ht="12.75" x14ac:dyDescent="0.2">
      <c r="A13" s="218"/>
      <c r="B13" s="401"/>
      <c r="C13" s="2116" t="s">
        <v>1323</v>
      </c>
      <c r="D13" s="2117"/>
      <c r="E13" s="218"/>
      <c r="F13" s="409" t="s">
        <v>792</v>
      </c>
      <c r="G13" s="402"/>
      <c r="H13" s="403">
        <f>SUM('Acct Summary 7-8'!C8+'Acct Summary 7-8'!D8+'Acct Summary 7-8'!F8+'Acct Summary 7-8'!I8)+H14</f>
        <v>58415196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58551016</v>
      </c>
      <c r="I17" s="404"/>
      <c r="J17" s="416"/>
      <c r="K17" s="405">
        <f>TRUNC((H17/H18*100000),5)/100000</f>
        <v>1.0023250799000001</v>
      </c>
      <c r="L17" s="406"/>
      <c r="M17" s="417" t="s">
        <v>1170</v>
      </c>
      <c r="O17" s="418" t="str">
        <f>IF(AND(O16="2", J20 &gt; 2),"1",IF(AND(O16 = "1", J20 &gt; 2),"2",IF(AND(O16="1", J20 &gt;1),"1","0")))</f>
        <v>0</v>
      </c>
      <c r="P17" s="218"/>
    </row>
    <row r="18" spans="1:18" s="408" customFormat="1" ht="11.25" x14ac:dyDescent="0.2">
      <c r="A18" s="218"/>
      <c r="B18" s="401"/>
      <c r="C18" s="2116" t="s">
        <v>1316</v>
      </c>
      <c r="D18" s="2117"/>
      <c r="E18" s="218"/>
      <c r="F18" s="419" t="s">
        <v>793</v>
      </c>
      <c r="G18" s="402"/>
      <c r="H18" s="403">
        <f>SUM('Acct Summary 7-8'!C8+'Acct Summary 7-8'!D8+'Acct Summary 7-8'!F8+'Acct Summary 7-8'!I8)+H19</f>
        <v>58415196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175.08873309999998</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3" t="s">
        <v>1411</v>
      </c>
      <c r="D24" s="2113"/>
      <c r="E24" s="218"/>
      <c r="F24" s="218" t="s">
        <v>444</v>
      </c>
      <c r="G24" s="402"/>
      <c r="H24" s="403">
        <f>SUM('Assets-Liab 5-6'!C4+'Assets-Liab 5-6'!D4+'Assets-Liab 5-6'!F4+'Assets-Liab 5-6'!I4+'Assets-Liab 5-6'!C5+'Assets-Liab 5-6'!D5+'Assets-Liab 5-6'!F5+'Assets-Liab 5-6'!I5)</f>
        <v>30776871</v>
      </c>
      <c r="I24" s="422"/>
      <c r="J24" s="422"/>
      <c r="K24" s="423">
        <f>TRUNC(((H24/H25*100000)/100000),2)</f>
        <v>189.23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162641.71111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29730764.927850001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55225766</v>
      </c>
      <c r="I32" s="420"/>
      <c r="J32" s="420"/>
      <c r="K32" s="423">
        <f>TRUNC(100-((((H32/H33*100))*100)/100),2)</f>
        <v>47.77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105736629.34200001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1" activePane="bottomLeft" state="frozen"/>
      <selection activeCell="T14" sqref="T14"/>
      <selection pane="bottomLeft" activeCell="T14" sqref="T14"/>
    </sheetView>
  </sheetViews>
  <sheetFormatPr defaultColWidth="9.140625" defaultRowHeight="12.75" x14ac:dyDescent="0.2"/>
  <cols>
    <col min="1" max="1" width="47.42578125" style="501" customWidth="1"/>
    <col min="2" max="2" width="4.5703125" style="502" customWidth="1"/>
    <col min="3" max="14" width="13.5703125" style="457" customWidth="1"/>
    <col min="15" max="16384" width="9.140625" style="457"/>
  </cols>
  <sheetData>
    <row r="1" spans="1:14" x14ac:dyDescent="0.2">
      <c r="A1" s="212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3" t="s">
        <v>972</v>
      </c>
      <c r="B3" s="2124"/>
      <c r="C3" s="1559"/>
      <c r="D3" s="1560"/>
      <c r="E3" s="1560"/>
      <c r="F3" s="1560"/>
      <c r="G3" s="1560"/>
      <c r="H3" s="1560"/>
      <c r="I3" s="1560"/>
      <c r="J3" s="1560"/>
      <c r="K3" s="1560"/>
      <c r="L3" s="1560"/>
      <c r="M3" s="1561"/>
      <c r="N3" s="1562"/>
    </row>
    <row r="4" spans="1:14" ht="13.5" customHeight="1" x14ac:dyDescent="0.2">
      <c r="A4" s="463" t="s">
        <v>1650</v>
      </c>
      <c r="B4" s="464"/>
      <c r="C4" s="465">
        <v>12783263</v>
      </c>
      <c r="D4" s="466">
        <v>450563</v>
      </c>
      <c r="E4" s="466">
        <v>4556572</v>
      </c>
      <c r="F4" s="466">
        <v>951028</v>
      </c>
      <c r="G4" s="466"/>
      <c r="H4" s="466">
        <v>1801454</v>
      </c>
      <c r="I4" s="466">
        <v>16592017</v>
      </c>
      <c r="J4" s="467"/>
      <c r="K4" s="466"/>
      <c r="L4" s="466"/>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v>1108875</v>
      </c>
      <c r="F7" s="467">
        <v>519364</v>
      </c>
      <c r="G7" s="467"/>
      <c r="H7" s="467">
        <v>14328</v>
      </c>
      <c r="I7" s="467"/>
      <c r="J7" s="467">
        <v>30888</v>
      </c>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12783263</v>
      </c>
      <c r="D13" s="1737">
        <f t="shared" ref="D13:L13" si="0">SUM(D4:D12)</f>
        <v>450563</v>
      </c>
      <c r="E13" s="1737">
        <f t="shared" si="0"/>
        <v>5665447</v>
      </c>
      <c r="F13" s="1737">
        <f t="shared" si="0"/>
        <v>1470392</v>
      </c>
      <c r="G13" s="1737">
        <f t="shared" si="0"/>
        <v>0</v>
      </c>
      <c r="H13" s="1737">
        <f t="shared" si="0"/>
        <v>1815782</v>
      </c>
      <c r="I13" s="1737">
        <f t="shared" si="0"/>
        <v>16592017</v>
      </c>
      <c r="J13" s="1737">
        <f t="shared" si="0"/>
        <v>30888</v>
      </c>
      <c r="K13" s="1737">
        <f t="shared" si="0"/>
        <v>0</v>
      </c>
      <c r="L13" s="1737">
        <f t="shared" si="0"/>
        <v>0</v>
      </c>
      <c r="M13" s="468"/>
      <c r="N13" s="469"/>
    </row>
    <row r="14" spans="1:14" ht="18" customHeight="1" thickTop="1" x14ac:dyDescent="0.2">
      <c r="A14" s="2125" t="s">
        <v>147</v>
      </c>
      <c r="B14" s="2126"/>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4894309</v>
      </c>
      <c r="N16" s="484"/>
    </row>
    <row r="17" spans="1:14" s="485" customFormat="1" ht="12.75" customHeight="1" x14ac:dyDescent="0.2">
      <c r="A17" s="482" t="s">
        <v>1402</v>
      </c>
      <c r="B17" s="483">
        <v>230</v>
      </c>
      <c r="C17" s="477"/>
      <c r="D17" s="477"/>
      <c r="E17" s="477"/>
      <c r="F17" s="477"/>
      <c r="G17" s="477"/>
      <c r="H17" s="477"/>
      <c r="I17" s="477"/>
      <c r="J17" s="477"/>
      <c r="K17" s="477"/>
      <c r="L17" s="477"/>
      <c r="M17" s="467">
        <v>103311900</v>
      </c>
      <c r="N17" s="484"/>
    </row>
    <row r="18" spans="1:14" s="485" customFormat="1" ht="12.75" customHeight="1" x14ac:dyDescent="0.2">
      <c r="A18" s="482" t="s">
        <v>1403</v>
      </c>
      <c r="B18" s="483">
        <v>240</v>
      </c>
      <c r="C18" s="477"/>
      <c r="D18" s="477"/>
      <c r="E18" s="477"/>
      <c r="F18" s="477"/>
      <c r="G18" s="477"/>
      <c r="H18" s="477"/>
      <c r="I18" s="477"/>
      <c r="J18" s="477"/>
      <c r="K18" s="477"/>
      <c r="L18" s="477"/>
      <c r="M18" s="467">
        <v>3799042</v>
      </c>
      <c r="N18" s="484"/>
    </row>
    <row r="19" spans="1:14" s="485" customFormat="1" ht="12.75" customHeight="1" x14ac:dyDescent="0.2">
      <c r="A19" s="482" t="s">
        <v>1404</v>
      </c>
      <c r="B19" s="483">
        <v>250</v>
      </c>
      <c r="C19" s="477"/>
      <c r="D19" s="477"/>
      <c r="E19" s="477"/>
      <c r="F19" s="477"/>
      <c r="G19" s="477"/>
      <c r="H19" s="477"/>
      <c r="I19" s="477"/>
      <c r="J19" s="477"/>
      <c r="K19" s="477"/>
      <c r="L19" s="477"/>
      <c r="M19" s="467">
        <v>15472577</v>
      </c>
      <c r="N19" s="484"/>
    </row>
    <row r="20" spans="1:14" s="485" customFormat="1" ht="12.75" customHeight="1" x14ac:dyDescent="0.2">
      <c r="A20" s="482" t="s">
        <v>1405</v>
      </c>
      <c r="B20" s="483">
        <v>260</v>
      </c>
      <c r="C20" s="477"/>
      <c r="D20" s="477"/>
      <c r="E20" s="477"/>
      <c r="F20" s="477"/>
      <c r="G20" s="477"/>
      <c r="H20" s="477"/>
      <c r="I20" s="477"/>
      <c r="J20" s="477"/>
      <c r="K20" s="477"/>
      <c r="L20" s="477"/>
      <c r="M20" s="467">
        <v>153979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5665447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49560319</v>
      </c>
    </row>
    <row r="23" spans="1:14" ht="13.5" customHeight="1" thickBot="1" x14ac:dyDescent="0.25">
      <c r="A23" s="1736" t="s">
        <v>642</v>
      </c>
      <c r="B23" s="1741"/>
      <c r="C23" s="468"/>
      <c r="D23" s="468"/>
      <c r="E23" s="468"/>
      <c r="F23" s="468"/>
      <c r="G23" s="468"/>
      <c r="H23" s="468"/>
      <c r="I23" s="468"/>
      <c r="J23" s="468"/>
      <c r="K23" s="468"/>
      <c r="L23" s="468"/>
      <c r="M23" s="1688">
        <f>SUM(M15:M22)</f>
        <v>127631807</v>
      </c>
      <c r="N23" s="1688">
        <f>SUM(N21:N22)</f>
        <v>55225766</v>
      </c>
    </row>
    <row r="24" spans="1:14" ht="18" customHeight="1" thickTop="1" x14ac:dyDescent="0.2">
      <c r="A24" s="2127" t="s">
        <v>597</v>
      </c>
      <c r="B24" s="2128"/>
      <c r="C24" s="1568"/>
      <c r="D24" s="1565"/>
      <c r="E24" s="1565"/>
      <c r="F24" s="1565"/>
      <c r="G24" s="1565"/>
      <c r="H24" s="1565"/>
      <c r="I24" s="1565"/>
      <c r="J24" s="1565"/>
      <c r="K24" s="1565"/>
      <c r="L24" s="1565"/>
      <c r="M24" s="1564"/>
      <c r="N24" s="1569"/>
    </row>
    <row r="25" spans="1:14" x14ac:dyDescent="0.2">
      <c r="A25" s="473" t="s">
        <v>644</v>
      </c>
      <c r="B25" s="470">
        <v>410</v>
      </c>
      <c r="C25" s="478">
        <v>1613614</v>
      </c>
      <c r="D25" s="478">
        <v>45448</v>
      </c>
      <c r="E25" s="478"/>
      <c r="F25" s="478"/>
      <c r="G25" s="478">
        <v>10241</v>
      </c>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v>4152</v>
      </c>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709</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c r="M33" s="468"/>
      <c r="N33" s="469"/>
    </row>
    <row r="34" spans="1:14" ht="13.5" customHeight="1" thickBot="1" x14ac:dyDescent="0.25">
      <c r="A34" s="1738" t="s">
        <v>653</v>
      </c>
      <c r="B34" s="1739"/>
      <c r="C34" s="1740">
        <f>SUM(C25:C33)</f>
        <v>1614323</v>
      </c>
      <c r="D34" s="1740">
        <f t="shared" ref="D34:K34" si="1">SUM(D25:D33)</f>
        <v>45448</v>
      </c>
      <c r="E34" s="1740">
        <f t="shared" si="1"/>
        <v>0</v>
      </c>
      <c r="F34" s="1740">
        <f t="shared" si="1"/>
        <v>0</v>
      </c>
      <c r="G34" s="1740">
        <f t="shared" si="1"/>
        <v>10241</v>
      </c>
      <c r="H34" s="1740">
        <f t="shared" si="1"/>
        <v>0</v>
      </c>
      <c r="I34" s="1740">
        <f t="shared" si="1"/>
        <v>4152</v>
      </c>
      <c r="J34" s="1740">
        <f t="shared" si="1"/>
        <v>0</v>
      </c>
      <c r="K34" s="1740">
        <f t="shared" si="1"/>
        <v>0</v>
      </c>
      <c r="L34" s="1721">
        <f>SUM(L33)</f>
        <v>0</v>
      </c>
      <c r="M34" s="468"/>
      <c r="N34" s="480"/>
    </row>
    <row r="35" spans="1:14" ht="18" customHeight="1" thickTop="1" x14ac:dyDescent="0.2">
      <c r="A35" s="2129" t="s">
        <v>528</v>
      </c>
      <c r="B35" s="213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55225766</v>
      </c>
    </row>
    <row r="37" spans="1:14" ht="13.5" thickBot="1" x14ac:dyDescent="0.25">
      <c r="A37" s="1736" t="s">
        <v>652</v>
      </c>
      <c r="B37" s="1741"/>
      <c r="C37" s="477"/>
      <c r="D37" s="477"/>
      <c r="E37" s="477"/>
      <c r="F37" s="477"/>
      <c r="G37" s="477"/>
      <c r="H37" s="477"/>
      <c r="I37" s="477"/>
      <c r="J37" s="477"/>
      <c r="K37" s="477"/>
      <c r="L37" s="480"/>
      <c r="M37" s="468"/>
      <c r="N37" s="1688">
        <f>SUM(N36:N36)</f>
        <v>55225766</v>
      </c>
    </row>
    <row r="38" spans="1:14" s="329" customFormat="1" ht="13.5" customHeight="1" thickTop="1" x14ac:dyDescent="0.2">
      <c r="A38" s="496" t="s">
        <v>419</v>
      </c>
      <c r="B38" s="483">
        <v>714</v>
      </c>
      <c r="C38" s="466"/>
      <c r="D38" s="466">
        <v>405115</v>
      </c>
      <c r="E38" s="466">
        <v>5665447</v>
      </c>
      <c r="F38" s="466">
        <v>1470392</v>
      </c>
      <c r="G38" s="466"/>
      <c r="H38" s="466">
        <v>1815782</v>
      </c>
      <c r="I38" s="466"/>
      <c r="J38" s="467">
        <v>30888</v>
      </c>
      <c r="K38" s="466"/>
      <c r="L38" s="481"/>
      <c r="M38" s="497"/>
      <c r="N38" s="497"/>
    </row>
    <row r="39" spans="1:14" s="329" customFormat="1" ht="13.5" customHeight="1" x14ac:dyDescent="0.2">
      <c r="A39" s="496" t="s">
        <v>341</v>
      </c>
      <c r="B39" s="483">
        <v>730</v>
      </c>
      <c r="C39" s="466">
        <v>11168940</v>
      </c>
      <c r="D39" s="466"/>
      <c r="E39" s="466"/>
      <c r="F39" s="466"/>
      <c r="G39" s="466">
        <v>-10241</v>
      </c>
      <c r="H39" s="466"/>
      <c r="I39" s="466">
        <v>16587865</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127631807</v>
      </c>
      <c r="N40" s="497"/>
    </row>
    <row r="41" spans="1:14" ht="13.5" customHeight="1" thickBot="1" x14ac:dyDescent="0.25">
      <c r="A41" s="1736" t="s">
        <v>654</v>
      </c>
      <c r="B41" s="1706"/>
      <c r="C41" s="1688">
        <f>(SUM(C34,C37,C38,C39))</f>
        <v>12783263</v>
      </c>
      <c r="D41" s="1688">
        <f t="shared" ref="D41:L41" si="2">SUM(D34,D37,D38:D39)</f>
        <v>450563</v>
      </c>
      <c r="E41" s="1688">
        <f t="shared" si="2"/>
        <v>5665447</v>
      </c>
      <c r="F41" s="1688">
        <f t="shared" si="2"/>
        <v>1470392</v>
      </c>
      <c r="G41" s="1688">
        <f t="shared" si="2"/>
        <v>0</v>
      </c>
      <c r="H41" s="1688">
        <f t="shared" si="2"/>
        <v>1815782</v>
      </c>
      <c r="I41" s="1688">
        <f t="shared" si="2"/>
        <v>16592017</v>
      </c>
      <c r="J41" s="1688">
        <f t="shared" si="2"/>
        <v>30888</v>
      </c>
      <c r="K41" s="1688">
        <f t="shared" si="2"/>
        <v>0</v>
      </c>
      <c r="L41" s="1688">
        <f t="shared" si="2"/>
        <v>0</v>
      </c>
      <c r="M41" s="1688">
        <f>SUM(M40)</f>
        <v>127631807</v>
      </c>
      <c r="N41" s="1688">
        <f>SUM(N37)</f>
        <v>55225766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6" activePane="bottomLeft" state="frozen"/>
      <selection activeCell="T14" sqref="T14"/>
      <selection pane="bottomLeft" activeCell="T14" sqref="T14"/>
    </sheetView>
  </sheetViews>
  <sheetFormatPr defaultColWidth="9.140625" defaultRowHeight="12.75" x14ac:dyDescent="0.2"/>
  <cols>
    <col min="1" max="1" width="55.85546875" style="501" customWidth="1"/>
    <col min="2" max="2" width="4.5703125" style="502" customWidth="1"/>
    <col min="3" max="11" width="13.5703125" style="457" customWidth="1"/>
    <col min="12" max="12" width="2" style="457" customWidth="1"/>
    <col min="13" max="16384" width="9.140625" style="457"/>
  </cols>
  <sheetData>
    <row r="1" spans="1:13" ht="12.75" customHeight="1" x14ac:dyDescent="0.2">
      <c r="A1" s="213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1" t="s">
        <v>1174</v>
      </c>
      <c r="B3" s="2152"/>
      <c r="C3" s="1573"/>
      <c r="D3" s="1574"/>
      <c r="E3" s="1574"/>
      <c r="F3" s="1574"/>
      <c r="G3" s="1574"/>
      <c r="H3" s="1574"/>
      <c r="I3" s="1574"/>
      <c r="J3" s="1574"/>
      <c r="K3" s="1575"/>
      <c r="L3" s="506"/>
    </row>
    <row r="4" spans="1:13" ht="15.75" customHeight="1" x14ac:dyDescent="0.2">
      <c r="A4" s="1928" t="s">
        <v>1498</v>
      </c>
      <c r="B4" s="1929">
        <v>1000</v>
      </c>
      <c r="C4" s="1742">
        <f>'Revenues 9-14'!C109</f>
        <v>34138639</v>
      </c>
      <c r="D4" s="1742">
        <f>'Revenues 9-14'!D109</f>
        <v>4530679</v>
      </c>
      <c r="E4" s="1742">
        <f>'Revenues 9-14'!E109</f>
        <v>11239936</v>
      </c>
      <c r="F4" s="1742">
        <f>'Revenues 9-14'!F109</f>
        <v>1578260</v>
      </c>
      <c r="G4" s="1742">
        <f>'Revenues 9-14'!G109</f>
        <v>2196362</v>
      </c>
      <c r="H4" s="1742">
        <f>'Revenues 9-14'!H109</f>
        <v>37339</v>
      </c>
      <c r="I4" s="1742">
        <f>'Revenues 9-14'!I109</f>
        <v>362614</v>
      </c>
      <c r="J4" s="1742">
        <f>'Revenues 9-14'!J109</f>
        <v>848671</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12024381</v>
      </c>
      <c r="D6" s="1743">
        <f>'Revenues 9-14'!D170</f>
        <v>0</v>
      </c>
      <c r="E6" s="1743">
        <f>'Revenues 9-14'!E170</f>
        <v>0</v>
      </c>
      <c r="F6" s="1743">
        <f>'Revenues 9-14'!F170</f>
        <v>3357314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2423309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48586329</v>
      </c>
      <c r="D8" s="1688">
        <f t="shared" ref="D8:K8" si="0">SUM(D4:D7)</f>
        <v>4530679</v>
      </c>
      <c r="E8" s="1688">
        <f t="shared" si="0"/>
        <v>11239936</v>
      </c>
      <c r="F8" s="1688">
        <f t="shared" si="0"/>
        <v>4935574</v>
      </c>
      <c r="G8" s="1688">
        <f t="shared" si="0"/>
        <v>2196362</v>
      </c>
      <c r="H8" s="1688">
        <f t="shared" si="0"/>
        <v>37339</v>
      </c>
      <c r="I8" s="1688">
        <f t="shared" si="0"/>
        <v>362614</v>
      </c>
      <c r="J8" s="1688">
        <f t="shared" si="0"/>
        <v>848671</v>
      </c>
      <c r="K8" s="1688">
        <f t="shared" si="0"/>
        <v>0</v>
      </c>
      <c r="L8" s="347"/>
    </row>
    <row r="9" spans="1:13" ht="15.75" thickTop="1" x14ac:dyDescent="0.2">
      <c r="A9" s="514" t="s">
        <v>1652</v>
      </c>
      <c r="B9" s="515">
        <v>3998</v>
      </c>
      <c r="C9" s="481">
        <v>21513196</v>
      </c>
      <c r="D9" s="516"/>
      <c r="E9" s="481"/>
      <c r="F9" s="481"/>
      <c r="G9" s="517"/>
      <c r="H9" s="481"/>
      <c r="I9" s="509" t="s">
        <v>1168</v>
      </c>
      <c r="J9" s="478"/>
      <c r="K9" s="481"/>
      <c r="L9" s="347"/>
    </row>
    <row r="10" spans="1:13" s="519" customFormat="1" ht="13.5" thickBot="1" x14ac:dyDescent="0.25">
      <c r="A10" s="1736" t="s">
        <v>1172</v>
      </c>
      <c r="B10" s="1709"/>
      <c r="C10" s="1688">
        <f>SUM(C8:C9)</f>
        <v>70099525</v>
      </c>
      <c r="D10" s="1688">
        <f t="shared" ref="D10:K10" si="1">SUM(D8:D9)</f>
        <v>4530679</v>
      </c>
      <c r="E10" s="1688">
        <f t="shared" si="1"/>
        <v>11239936</v>
      </c>
      <c r="F10" s="1688">
        <f t="shared" si="1"/>
        <v>4935574</v>
      </c>
      <c r="G10" s="1688">
        <f t="shared" si="1"/>
        <v>2196362</v>
      </c>
      <c r="H10" s="1688">
        <f t="shared" si="1"/>
        <v>37339</v>
      </c>
      <c r="I10" s="1688">
        <f t="shared" si="1"/>
        <v>362614</v>
      </c>
      <c r="J10" s="1688">
        <f t="shared" si="1"/>
        <v>848671</v>
      </c>
      <c r="K10" s="1688">
        <f t="shared" si="1"/>
        <v>0</v>
      </c>
      <c r="L10" s="518"/>
    </row>
    <row r="11" spans="1:13" s="519" customFormat="1" ht="16.7" customHeight="1" thickTop="1" x14ac:dyDescent="0.2">
      <c r="A11" s="2125" t="s">
        <v>1175</v>
      </c>
      <c r="B11" s="2126"/>
      <c r="C11" s="1570"/>
      <c r="D11" s="1571"/>
      <c r="E11" s="1571"/>
      <c r="F11" s="1571"/>
      <c r="G11" s="1571"/>
      <c r="H11" s="1571"/>
      <c r="I11" s="1571"/>
      <c r="J11" s="1571"/>
      <c r="K11" s="1572"/>
      <c r="L11" s="518"/>
    </row>
    <row r="12" spans="1:13" ht="15.75" customHeight="1" x14ac:dyDescent="0.2">
      <c r="A12" s="1576" t="s">
        <v>455</v>
      </c>
      <c r="B12" s="1578">
        <v>1000</v>
      </c>
      <c r="C12" s="1742">
        <f>'Expenditures 15-22'!K33</f>
        <v>29286926</v>
      </c>
      <c r="D12" s="520" t="s">
        <v>1168</v>
      </c>
      <c r="E12" s="468" t="s">
        <v>1168</v>
      </c>
      <c r="F12" s="468" t="s">
        <v>1168</v>
      </c>
      <c r="G12" s="1742">
        <f>'Expenditures 15-22'!K229</f>
        <v>711627</v>
      </c>
      <c r="H12" s="521"/>
      <c r="I12" s="468" t="s">
        <v>1168</v>
      </c>
      <c r="J12" s="468" t="s">
        <v>1168</v>
      </c>
      <c r="K12" s="521" t="s">
        <v>1168</v>
      </c>
      <c r="L12" s="347"/>
    </row>
    <row r="13" spans="1:13" ht="15.75" customHeight="1" x14ac:dyDescent="0.2">
      <c r="A13" s="1576" t="s">
        <v>456</v>
      </c>
      <c r="B13" s="1578">
        <v>2000</v>
      </c>
      <c r="C13" s="1743">
        <f>'Expenditures 15-22'!K74</f>
        <v>13630373</v>
      </c>
      <c r="D13" s="1743">
        <f>'Expenditures 15-22'!K129</f>
        <v>4714682</v>
      </c>
      <c r="E13" s="469" t="s">
        <v>1168</v>
      </c>
      <c r="F13" s="1743">
        <f>'Expenditures 15-22'!K184</f>
        <v>5194935</v>
      </c>
      <c r="G13" s="1743">
        <f>'Expenditures 15-22'!K279</f>
        <v>1526915</v>
      </c>
      <c r="H13" s="1743">
        <f>'Expenditures 15-22'!K303</f>
        <v>1387394</v>
      </c>
      <c r="I13" s="468" t="s">
        <v>1168</v>
      </c>
      <c r="J13" s="1743">
        <f>'Expenditures 15-22'!K330</f>
        <v>852408</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5003399</v>
      </c>
      <c r="D15" s="1743">
        <f>'Expenditures 15-22'!K139</f>
        <v>0</v>
      </c>
      <c r="E15" s="1743">
        <f>'Expenditures 15-22'!K160</f>
        <v>96860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11981778</v>
      </c>
      <c r="F16" s="1743">
        <f>'Expenditures 15-22'!K208</f>
        <v>720701</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47920698</v>
      </c>
      <c r="D17" s="1688">
        <f t="shared" si="2"/>
        <v>4714682</v>
      </c>
      <c r="E17" s="1688">
        <f t="shared" si="2"/>
        <v>12078638</v>
      </c>
      <c r="F17" s="1688">
        <f t="shared" si="2"/>
        <v>5915636</v>
      </c>
      <c r="G17" s="1688">
        <f t="shared" si="2"/>
        <v>2238542</v>
      </c>
      <c r="H17" s="1688">
        <f t="shared" si="2"/>
        <v>1387394</v>
      </c>
      <c r="I17" s="468"/>
      <c r="J17" s="1688">
        <f>SUM(J12:J16)</f>
        <v>852408</v>
      </c>
      <c r="K17" s="1688">
        <f>SUM(K12:K16)</f>
        <v>0</v>
      </c>
      <c r="L17" s="347"/>
    </row>
    <row r="18" spans="1:12" ht="15" customHeight="1" thickTop="1" x14ac:dyDescent="0.2">
      <c r="A18" s="1744" t="s">
        <v>1653</v>
      </c>
      <c r="B18" s="1745">
        <v>4180</v>
      </c>
      <c r="C18" s="1742">
        <f t="shared" ref="C18:H18" si="3">C9</f>
        <v>21513196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69433894</v>
      </c>
      <c r="D19" s="1688">
        <f t="shared" si="4"/>
        <v>4714682</v>
      </c>
      <c r="E19" s="1688">
        <f t="shared" si="4"/>
        <v>12078638</v>
      </c>
      <c r="F19" s="1688">
        <f t="shared" si="4"/>
        <v>5915636</v>
      </c>
      <c r="G19" s="1688">
        <f t="shared" si="4"/>
        <v>2238542</v>
      </c>
      <c r="H19" s="1688">
        <f t="shared" si="4"/>
        <v>1387394</v>
      </c>
      <c r="I19" s="468"/>
      <c r="J19" s="1688">
        <f>SUM(J17:J18)</f>
        <v>852408</v>
      </c>
      <c r="K19" s="1688">
        <f>SUM(K17:K18)</f>
        <v>0</v>
      </c>
      <c r="L19" s="347"/>
    </row>
    <row r="20" spans="1:12" ht="16.5" thickTop="1" thickBot="1" x14ac:dyDescent="0.25">
      <c r="A20" s="2141" t="s">
        <v>1654</v>
      </c>
      <c r="B20" s="2142"/>
      <c r="C20" s="1746">
        <f>C8-C17</f>
        <v>665631</v>
      </c>
      <c r="D20" s="1746">
        <f t="shared" ref="D20:K20" si="5">D8-D17</f>
        <v>-184003</v>
      </c>
      <c r="E20" s="1746">
        <f t="shared" si="5"/>
        <v>-838702</v>
      </c>
      <c r="F20" s="1746">
        <f t="shared" si="5"/>
        <v>-980062</v>
      </c>
      <c r="G20" s="1746">
        <f t="shared" si="5"/>
        <v>-42180</v>
      </c>
      <c r="H20" s="1746">
        <f t="shared" si="5"/>
        <v>-1350055</v>
      </c>
      <c r="I20" s="1746">
        <f t="shared" si="5"/>
        <v>362614</v>
      </c>
      <c r="J20" s="1746">
        <f t="shared" si="5"/>
        <v>-3737</v>
      </c>
      <c r="K20" s="1746">
        <f t="shared" si="5"/>
        <v>0</v>
      </c>
      <c r="L20" s="347"/>
    </row>
    <row r="21" spans="1:12" ht="16.7" customHeight="1" thickTop="1" x14ac:dyDescent="0.2">
      <c r="A21" s="2153" t="s">
        <v>594</v>
      </c>
      <c r="B21" s="2154"/>
      <c r="C21" s="1570"/>
      <c r="D21" s="1571"/>
      <c r="E21" s="1571"/>
      <c r="F21" s="1571"/>
      <c r="G21" s="1571"/>
      <c r="H21" s="1571"/>
      <c r="I21" s="1571"/>
      <c r="J21" s="1571"/>
      <c r="K21" s="1572"/>
      <c r="L21" s="524"/>
    </row>
    <row r="22" spans="1:12" ht="15.75" customHeight="1" collapsed="1" x14ac:dyDescent="0.2">
      <c r="A22" s="2149" t="s">
        <v>595</v>
      </c>
      <c r="B22" s="2150"/>
      <c r="C22" s="477"/>
      <c r="D22" s="477"/>
      <c r="E22" s="477"/>
      <c r="F22" s="477"/>
      <c r="G22" s="477"/>
      <c r="H22" s="477"/>
      <c r="I22" s="477"/>
      <c r="J22" s="477"/>
      <c r="K22" s="477"/>
      <c r="L22" s="347"/>
    </row>
    <row r="23" spans="1:12" s="485" customFormat="1" ht="15.75" customHeight="1" x14ac:dyDescent="0.2">
      <c r="A23" s="2145" t="s">
        <v>292</v>
      </c>
      <c r="B23" s="2146"/>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355233</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7" t="s">
        <v>980</v>
      </c>
      <c r="B32" s="2148"/>
      <c r="C32" s="477"/>
      <c r="D32" s="477"/>
      <c r="E32" s="475"/>
      <c r="F32" s="477"/>
      <c r="G32" s="477"/>
      <c r="H32" s="477"/>
      <c r="I32" s="477"/>
      <c r="J32" s="477"/>
      <c r="K32" s="477"/>
      <c r="L32" s="524"/>
    </row>
    <row r="33" spans="1:12" s="485" customFormat="1" x14ac:dyDescent="0.2">
      <c r="A33" s="1489" t="s">
        <v>411</v>
      </c>
      <c r="B33" s="525">
        <v>7210</v>
      </c>
      <c r="C33" s="467"/>
      <c r="D33" s="467"/>
      <c r="E33" s="467">
        <v>11200000</v>
      </c>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v>13500</v>
      </c>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v>2000000</v>
      </c>
      <c r="E43" s="467"/>
      <c r="F43" s="467">
        <v>682171</v>
      </c>
      <c r="G43" s="467"/>
      <c r="H43" s="467">
        <v>2000000</v>
      </c>
      <c r="I43" s="467"/>
      <c r="J43" s="467"/>
      <c r="K43" s="467"/>
      <c r="L43" s="524"/>
    </row>
    <row r="44" spans="1:12" s="485" customFormat="1" ht="13.5" customHeight="1" thickBot="1" x14ac:dyDescent="0.25">
      <c r="A44" s="2155" t="s">
        <v>373</v>
      </c>
      <c r="B44" s="2156"/>
      <c r="C44" s="1703">
        <f>SUM(C24:C43)</f>
        <v>355233</v>
      </c>
      <c r="D44" s="1703">
        <f t="shared" ref="D44:K44" si="6">SUM(D24:D43)</f>
        <v>2000000</v>
      </c>
      <c r="E44" s="1703">
        <f t="shared" si="6"/>
        <v>11200000</v>
      </c>
      <c r="F44" s="1703">
        <f t="shared" si="6"/>
        <v>695671</v>
      </c>
      <c r="G44" s="1703">
        <f t="shared" si="6"/>
        <v>0</v>
      </c>
      <c r="H44" s="1703">
        <f t="shared" si="6"/>
        <v>2000000</v>
      </c>
      <c r="I44" s="1703">
        <f t="shared" si="6"/>
        <v>0</v>
      </c>
      <c r="J44" s="1703">
        <f t="shared" si="6"/>
        <v>0</v>
      </c>
      <c r="K44" s="1703">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355233</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v>2000000</v>
      </c>
      <c r="D75" s="531">
        <v>2000000</v>
      </c>
      <c r="E75" s="530">
        <v>11013006</v>
      </c>
      <c r="F75" s="532"/>
      <c r="G75" s="532"/>
      <c r="H75" s="532"/>
      <c r="I75" s="530"/>
      <c r="J75" s="530"/>
      <c r="K75" s="532"/>
      <c r="L75" s="524"/>
    </row>
    <row r="76" spans="1:12" s="485" customFormat="1" ht="14.25" thickTop="1" thickBot="1" x14ac:dyDescent="0.25">
      <c r="A76" s="2131" t="s">
        <v>439</v>
      </c>
      <c r="B76" s="2132"/>
      <c r="C76" s="1703">
        <f t="shared" ref="C76:K76" si="7">SUM(C47:C75)</f>
        <v>2000000</v>
      </c>
      <c r="D76" s="1703">
        <f t="shared" si="7"/>
        <v>2000000</v>
      </c>
      <c r="E76" s="1703">
        <f t="shared" si="7"/>
        <v>11013006</v>
      </c>
      <c r="F76" s="1703">
        <f t="shared" si="7"/>
        <v>0</v>
      </c>
      <c r="G76" s="1703">
        <f t="shared" si="7"/>
        <v>0</v>
      </c>
      <c r="H76" s="1703">
        <f t="shared" si="7"/>
        <v>0</v>
      </c>
      <c r="I76" s="1703">
        <f t="shared" si="7"/>
        <v>355233</v>
      </c>
      <c r="J76" s="1703">
        <f t="shared" si="7"/>
        <v>0</v>
      </c>
      <c r="K76" s="1703">
        <f t="shared" si="7"/>
        <v>0</v>
      </c>
      <c r="L76" s="524"/>
    </row>
    <row r="77" spans="1:12" ht="14.25" thickTop="1" thickBot="1" x14ac:dyDescent="0.25">
      <c r="A77" s="2133" t="s">
        <v>1176</v>
      </c>
      <c r="B77" s="2134"/>
      <c r="C77" s="1703">
        <f t="shared" ref="C77:K77" si="8">C44-C76</f>
        <v>-1644767</v>
      </c>
      <c r="D77" s="1703">
        <f t="shared" si="8"/>
        <v>0</v>
      </c>
      <c r="E77" s="1703">
        <f t="shared" si="8"/>
        <v>186994</v>
      </c>
      <c r="F77" s="1703">
        <f t="shared" si="8"/>
        <v>695671</v>
      </c>
      <c r="G77" s="1703">
        <f t="shared" si="8"/>
        <v>0</v>
      </c>
      <c r="H77" s="1703">
        <f t="shared" si="8"/>
        <v>2000000</v>
      </c>
      <c r="I77" s="1703">
        <f t="shared" si="8"/>
        <v>-355233</v>
      </c>
      <c r="J77" s="1703">
        <f t="shared" si="8"/>
        <v>0</v>
      </c>
      <c r="K77" s="1703">
        <f t="shared" si="8"/>
        <v>0</v>
      </c>
      <c r="L77" s="347"/>
    </row>
    <row r="78" spans="1:12" ht="21.75" customHeight="1" thickTop="1" thickBot="1" x14ac:dyDescent="0.25">
      <c r="A78" s="2137" t="s">
        <v>596</v>
      </c>
      <c r="B78" s="2138"/>
      <c r="C78" s="1702">
        <f t="shared" ref="C78:K78" si="9">C20+C77</f>
        <v>-979136</v>
      </c>
      <c r="D78" s="1702">
        <f t="shared" si="9"/>
        <v>-184003</v>
      </c>
      <c r="E78" s="1702">
        <f t="shared" si="9"/>
        <v>-651708</v>
      </c>
      <c r="F78" s="1702">
        <f t="shared" si="9"/>
        <v>-284391</v>
      </c>
      <c r="G78" s="1702">
        <f t="shared" si="9"/>
        <v>-42180</v>
      </c>
      <c r="H78" s="1702">
        <f t="shared" si="9"/>
        <v>649945</v>
      </c>
      <c r="I78" s="1702">
        <f t="shared" si="9"/>
        <v>7381</v>
      </c>
      <c r="J78" s="1702">
        <f t="shared" si="9"/>
        <v>-3737</v>
      </c>
      <c r="K78" s="1702">
        <f t="shared" si="9"/>
        <v>0</v>
      </c>
      <c r="L78" s="533"/>
    </row>
    <row r="79" spans="1:12" ht="13.5" thickTop="1" x14ac:dyDescent="0.2">
      <c r="A79" s="1494" t="s">
        <v>1943</v>
      </c>
      <c r="B79" s="534"/>
      <c r="C79" s="478">
        <v>12148076</v>
      </c>
      <c r="D79" s="535">
        <v>589118</v>
      </c>
      <c r="E79" s="535">
        <v>6317155</v>
      </c>
      <c r="F79" s="535">
        <v>1754783</v>
      </c>
      <c r="G79" s="535">
        <v>31939</v>
      </c>
      <c r="H79" s="535">
        <v>1165837</v>
      </c>
      <c r="I79" s="535">
        <v>16580484</v>
      </c>
      <c r="J79" s="535">
        <v>34625</v>
      </c>
      <c r="K79" s="535"/>
      <c r="L79" s="347"/>
    </row>
    <row r="80" spans="1:12" x14ac:dyDescent="0.2">
      <c r="A80" s="2143" t="s">
        <v>1791</v>
      </c>
      <c r="B80" s="2144"/>
      <c r="C80" s="467"/>
      <c r="D80" s="467"/>
      <c r="E80" s="467"/>
      <c r="F80" s="467"/>
      <c r="G80" s="467"/>
      <c r="H80" s="467"/>
      <c r="I80" s="467"/>
      <c r="J80" s="467"/>
      <c r="K80" s="467"/>
      <c r="L80" s="347"/>
    </row>
    <row r="81" spans="1:12" ht="13.5" thickBot="1" x14ac:dyDescent="0.25">
      <c r="A81" s="2135" t="s">
        <v>1944</v>
      </c>
      <c r="B81" s="2136"/>
      <c r="C81" s="1688">
        <f>(SUM(C78:C80))</f>
        <v>11168940</v>
      </c>
      <c r="D81" s="1688">
        <f>SUM(D78:D80)</f>
        <v>405115</v>
      </c>
      <c r="E81" s="1688">
        <f t="shared" ref="E81:K81" si="10">SUM(E78:E80)</f>
        <v>5665447</v>
      </c>
      <c r="F81" s="1688">
        <f t="shared" si="10"/>
        <v>1470392</v>
      </c>
      <c r="G81" s="1688">
        <f t="shared" si="10"/>
        <v>-10241</v>
      </c>
      <c r="H81" s="1688">
        <f t="shared" si="10"/>
        <v>1815782</v>
      </c>
      <c r="I81" s="1688">
        <f t="shared" si="10"/>
        <v>16587865</v>
      </c>
      <c r="J81" s="1688">
        <f t="shared" si="10"/>
        <v>30888</v>
      </c>
      <c r="K81" s="1688">
        <f t="shared" si="10"/>
        <v>0</v>
      </c>
      <c r="L81" s="347"/>
    </row>
    <row r="82" spans="1:12" ht="0.75" customHeight="1" thickTop="1" thickBot="1" x14ac:dyDescent="0.25">
      <c r="A82" s="536" t="s">
        <v>342</v>
      </c>
      <c r="B82" s="537"/>
      <c r="C82" s="538">
        <f>(C81-C79)</f>
        <v>-979136</v>
      </c>
      <c r="D82" s="538">
        <f t="shared" ref="D82:K82" si="11">(D81-D79)</f>
        <v>-184003</v>
      </c>
      <c r="E82" s="538">
        <f t="shared" si="11"/>
        <v>-651708</v>
      </c>
      <c r="F82" s="538">
        <f t="shared" si="11"/>
        <v>-284391</v>
      </c>
      <c r="G82" s="538">
        <f t="shared" si="11"/>
        <v>-42180</v>
      </c>
      <c r="H82" s="538">
        <f t="shared" si="11"/>
        <v>649945</v>
      </c>
      <c r="I82" s="538">
        <f t="shared" si="11"/>
        <v>7381</v>
      </c>
      <c r="J82" s="538">
        <f t="shared" si="11"/>
        <v>-3737</v>
      </c>
      <c r="K82" s="538">
        <f t="shared" si="11"/>
        <v>0</v>
      </c>
    </row>
    <row r="83" spans="1:12" ht="14.25" hidden="1" thickTop="1" thickBot="1" x14ac:dyDescent="0.25">
      <c r="A83" s="539" t="s">
        <v>343</v>
      </c>
      <c r="B83" s="464"/>
      <c r="C83" s="540">
        <f>C82/C81</f>
        <v>-8.7665973673419328E-2</v>
      </c>
      <c r="D83" s="540">
        <f t="shared" ref="D83:K83" si="12">D82/D81</f>
        <v>-0.45419942485467091</v>
      </c>
      <c r="E83" s="540">
        <f t="shared" si="12"/>
        <v>-0.1150320530754237</v>
      </c>
      <c r="F83" s="540">
        <f t="shared" si="12"/>
        <v>-0.1934116888557609</v>
      </c>
      <c r="G83" s="540">
        <f t="shared" si="12"/>
        <v>4.1187384044526905</v>
      </c>
      <c r="H83" s="540">
        <f t="shared" si="12"/>
        <v>0.35794219790701748</v>
      </c>
      <c r="I83" s="540">
        <f t="shared" si="12"/>
        <v>4.4496383350117692E-4</v>
      </c>
      <c r="J83" s="540">
        <f t="shared" si="12"/>
        <v>-0.12098549598549599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93" activePane="bottomLeft" state="frozen"/>
      <selection activeCell="T14" sqref="T14"/>
      <selection pane="bottomLeft" activeCell="D107" sqref="D107"/>
    </sheetView>
  </sheetViews>
  <sheetFormatPr defaultColWidth="9.140625" defaultRowHeight="12.75" x14ac:dyDescent="0.2"/>
  <cols>
    <col min="1" max="1" width="54.140625" style="594" customWidth="1"/>
    <col min="2" max="2" width="4.5703125" style="595" customWidth="1"/>
    <col min="3" max="11" width="13.5703125" style="384" customWidth="1"/>
    <col min="12" max="16384" width="9.140625" style="384"/>
  </cols>
  <sheetData>
    <row r="1" spans="1:12" x14ac:dyDescent="0.2">
      <c r="A1" s="2139" t="s">
        <v>1798</v>
      </c>
      <c r="B1" s="452"/>
      <c r="C1" s="453" t="s">
        <v>424</v>
      </c>
      <c r="D1" s="453" t="s">
        <v>425</v>
      </c>
      <c r="E1" s="453" t="s">
        <v>426</v>
      </c>
      <c r="F1" s="453" t="s">
        <v>427</v>
      </c>
      <c r="G1" s="453" t="s">
        <v>428</v>
      </c>
      <c r="H1" s="453" t="s">
        <v>429</v>
      </c>
      <c r="I1" s="453" t="s">
        <v>430</v>
      </c>
      <c r="J1" s="453" t="s">
        <v>431</v>
      </c>
      <c r="K1" s="453" t="s">
        <v>755</v>
      </c>
    </row>
    <row r="2" spans="1:12" ht="36" x14ac:dyDescent="0.2">
      <c r="A2" s="214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27510365</v>
      </c>
      <c r="D5" s="481">
        <v>4510892</v>
      </c>
      <c r="E5" s="466">
        <v>11163939</v>
      </c>
      <c r="F5" s="548">
        <v>1522012</v>
      </c>
      <c r="G5" s="466">
        <v>1085171</v>
      </c>
      <c r="H5" s="466"/>
      <c r="I5" s="466">
        <v>7381</v>
      </c>
      <c r="J5" s="467">
        <v>814100</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4074093</v>
      </c>
      <c r="D7" s="466"/>
      <c r="E7" s="468"/>
      <c r="F7" s="467"/>
      <c r="G7" s="467"/>
      <c r="H7" s="467"/>
      <c r="I7" s="468"/>
      <c r="J7" s="468"/>
      <c r="K7" s="468"/>
    </row>
    <row r="8" spans="1:12" x14ac:dyDescent="0.2">
      <c r="A8" s="463" t="s">
        <v>412</v>
      </c>
      <c r="B8" s="470">
        <v>1150</v>
      </c>
      <c r="C8" s="475"/>
      <c r="D8" s="475"/>
      <c r="E8" s="477"/>
      <c r="F8" s="477"/>
      <c r="G8" s="481">
        <v>1089383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31584458</v>
      </c>
      <c r="D12" s="1707">
        <f t="shared" si="0"/>
        <v>4510892</v>
      </c>
      <c r="E12" s="1707">
        <f t="shared" si="0"/>
        <v>11163939</v>
      </c>
      <c r="F12" s="1707">
        <f t="shared" si="0"/>
        <v>1522012</v>
      </c>
      <c r="G12" s="1707">
        <f t="shared" si="0"/>
        <v>2174554</v>
      </c>
      <c r="H12" s="1707">
        <f t="shared" si="0"/>
        <v>0</v>
      </c>
      <c r="I12" s="1707">
        <f t="shared" si="0"/>
        <v>7381</v>
      </c>
      <c r="J12" s="1707">
        <f t="shared" si="0"/>
        <v>814100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189804</v>
      </c>
      <c r="D16" s="466"/>
      <c r="E16" s="466"/>
      <c r="F16" s="466"/>
      <c r="G16" s="466">
        <v>20000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189804</v>
      </c>
      <c r="D18" s="1710">
        <f t="shared" ref="D18:K18" si="1">SUM(D14:D17)</f>
        <v>0</v>
      </c>
      <c r="E18" s="1710">
        <f t="shared" si="1"/>
        <v>0</v>
      </c>
      <c r="F18" s="1710">
        <f t="shared" si="1"/>
        <v>0</v>
      </c>
      <c r="G18" s="1710">
        <f t="shared" si="1"/>
        <v>20000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65635</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65635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11300</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29649</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40949</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208997</v>
      </c>
      <c r="D65" s="466">
        <v>10571</v>
      </c>
      <c r="E65" s="466">
        <v>71497</v>
      </c>
      <c r="F65" s="467">
        <v>15299</v>
      </c>
      <c r="G65" s="466">
        <v>1808</v>
      </c>
      <c r="H65" s="466">
        <v>4827</v>
      </c>
      <c r="I65" s="466">
        <v>355233</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208997</v>
      </c>
      <c r="D67" s="1688">
        <f t="shared" ref="D67:K67" si="2">SUM(D65:D66)</f>
        <v>10571</v>
      </c>
      <c r="E67" s="1688">
        <f t="shared" si="2"/>
        <v>71497</v>
      </c>
      <c r="F67" s="1688">
        <f t="shared" si="2"/>
        <v>15299</v>
      </c>
      <c r="G67" s="1688">
        <f t="shared" si="2"/>
        <v>1808</v>
      </c>
      <c r="H67" s="1688">
        <f t="shared" si="2"/>
        <v>4827</v>
      </c>
      <c r="I67" s="1688">
        <f t="shared" si="2"/>
        <v>355233</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423968</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423968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28986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248865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277851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503730</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503730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7125</v>
      </c>
      <c r="E95" s="521"/>
      <c r="F95" s="521"/>
      <c r="G95" s="521"/>
      <c r="H95" s="521"/>
      <c r="I95" s="521"/>
      <c r="J95" s="521"/>
      <c r="K95" s="521"/>
    </row>
    <row r="96" spans="1:11" ht="12.75" customHeight="1" x14ac:dyDescent="0.2">
      <c r="A96" s="463" t="s">
        <v>390</v>
      </c>
      <c r="B96" s="470">
        <v>1920</v>
      </c>
      <c r="C96" s="551"/>
      <c r="D96" s="551"/>
      <c r="E96" s="479"/>
      <c r="F96" s="478"/>
      <c r="G96" s="478"/>
      <c r="H96" s="478">
        <v>32512</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v>34571</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884196</v>
      </c>
      <c r="D107" s="466">
        <v>2091</v>
      </c>
      <c r="E107" s="466">
        <v>4500</v>
      </c>
      <c r="F107" s="466"/>
      <c r="G107" s="466"/>
      <c r="H107" s="466"/>
      <c r="I107" s="466"/>
      <c r="J107" s="467"/>
      <c r="K107" s="466"/>
    </row>
    <row r="108" spans="1:12" ht="12.75" customHeight="1" thickBot="1" x14ac:dyDescent="0.25">
      <c r="A108" s="1708" t="s">
        <v>486</v>
      </c>
      <c r="B108" s="1712"/>
      <c r="C108" s="1707">
        <f>SUM(C95:C107)</f>
        <v>884196</v>
      </c>
      <c r="D108" s="1707">
        <f t="shared" ref="D108:K108" si="3">SUM(D95:D107)</f>
        <v>9216</v>
      </c>
      <c r="E108" s="1707">
        <f t="shared" si="3"/>
        <v>4500</v>
      </c>
      <c r="F108" s="1707">
        <f t="shared" si="3"/>
        <v>0</v>
      </c>
      <c r="G108" s="1707">
        <f t="shared" si="3"/>
        <v>0</v>
      </c>
      <c r="H108" s="1707">
        <f t="shared" si="3"/>
        <v>32512</v>
      </c>
      <c r="I108" s="1707">
        <f t="shared" si="3"/>
        <v>0</v>
      </c>
      <c r="J108" s="1707">
        <f t="shared" si="3"/>
        <v>34571</v>
      </c>
      <c r="K108" s="1688">
        <f t="shared" si="3"/>
        <v>0</v>
      </c>
    </row>
    <row r="109" spans="1:12" ht="14.25" thickTop="1" thickBot="1" x14ac:dyDescent="0.25">
      <c r="A109" s="1713" t="s">
        <v>248</v>
      </c>
      <c r="B109" s="1714" t="s">
        <v>569</v>
      </c>
      <c r="C109" s="1715">
        <f t="shared" ref="C109:K109" si="4">SUM(C12,C18,C40,C63,C67,C75,C82,C93,C108,)</f>
        <v>34138639</v>
      </c>
      <c r="D109" s="1715">
        <f t="shared" si="4"/>
        <v>4530679</v>
      </c>
      <c r="E109" s="1715">
        <f t="shared" si="4"/>
        <v>11239936</v>
      </c>
      <c r="F109" s="1715">
        <f t="shared" si="4"/>
        <v>1578260</v>
      </c>
      <c r="G109" s="1715">
        <f t="shared" si="4"/>
        <v>2196362</v>
      </c>
      <c r="H109" s="1715">
        <f t="shared" si="4"/>
        <v>37339</v>
      </c>
      <c r="I109" s="1715">
        <f t="shared" si="4"/>
        <v>362614</v>
      </c>
      <c r="J109" s="1715">
        <f t="shared" si="4"/>
        <v>848671</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10828186</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10828186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761956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761956</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24102</v>
      </c>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24102</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11782</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31190</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1584573</v>
      </c>
      <c r="G152" s="467"/>
      <c r="H152" s="468"/>
      <c r="I152" s="468"/>
      <c r="J152" s="468"/>
      <c r="K152" s="468"/>
    </row>
    <row r="153" spans="1:11" ht="12.75" customHeight="1" x14ac:dyDescent="0.2">
      <c r="A153" s="463" t="s">
        <v>1056</v>
      </c>
      <c r="B153" s="562">
        <v>3510</v>
      </c>
      <c r="C153" s="551"/>
      <c r="D153" s="466"/>
      <c r="E153" s="561"/>
      <c r="F153" s="466">
        <v>1772741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3357314</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360738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6427</v>
      </c>
      <c r="D168" s="580"/>
      <c r="E168" s="580"/>
      <c r="F168" s="580"/>
      <c r="G168" s="581"/>
      <c r="H168" s="582"/>
      <c r="I168" s="581"/>
      <c r="J168" s="581"/>
      <c r="K168" s="582"/>
    </row>
    <row r="169" spans="1:11" ht="12.75" customHeight="1" thickTop="1" thickBot="1" x14ac:dyDescent="0.25">
      <c r="A169" s="2159" t="s">
        <v>397</v>
      </c>
      <c r="B169" s="2160"/>
      <c r="C169" s="1722">
        <f t="shared" ref="C169:K169" si="6">SUM(C132,C141,C145,C146:C150,C155,C156:C167,C168)</f>
        <v>1196195</v>
      </c>
      <c r="D169" s="1722">
        <f t="shared" si="6"/>
        <v>0</v>
      </c>
      <c r="E169" s="1722">
        <f t="shared" si="6"/>
        <v>0</v>
      </c>
      <c r="F169" s="1722">
        <f t="shared" si="6"/>
        <v>3357314</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12024381</v>
      </c>
      <c r="D170" s="1715">
        <f t="shared" si="7"/>
        <v>0</v>
      </c>
      <c r="E170" s="1715">
        <f t="shared" si="7"/>
        <v>0</v>
      </c>
      <c r="F170" s="1715">
        <f t="shared" si="7"/>
        <v>3357314</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61" t="s">
        <v>1491</v>
      </c>
      <c r="B172" s="216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5" t="s">
        <v>1664</v>
      </c>
      <c r="B175" s="216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9" t="s">
        <v>1663</v>
      </c>
      <c r="B176" s="217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7" t="s">
        <v>784</v>
      </c>
      <c r="B181" s="216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3" t="s">
        <v>1799</v>
      </c>
      <c r="B182" s="2164"/>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549346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106199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655545</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533233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533233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14735</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14735</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31470</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586123</v>
      </c>
      <c r="D213" s="466"/>
      <c r="E213" s="468"/>
      <c r="F213" s="466"/>
      <c r="G213" s="466"/>
      <c r="H213" s="468"/>
      <c r="I213" s="468"/>
      <c r="J213" s="468"/>
      <c r="K213" s="468"/>
    </row>
    <row r="214" spans="1:11" ht="12.75" customHeight="1" x14ac:dyDescent="0.2">
      <c r="A214" s="463" t="s">
        <v>1053</v>
      </c>
      <c r="B214" s="470">
        <v>4625</v>
      </c>
      <c r="C214" s="551">
        <v>29281</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646874</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23944</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23944</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v>702</v>
      </c>
      <c r="D255" s="468"/>
      <c r="E255" s="468"/>
      <c r="F255" s="578"/>
      <c r="G255" s="573"/>
      <c r="H255" s="468"/>
      <c r="I255" s="468"/>
      <c r="J255" s="468"/>
      <c r="K255" s="468"/>
    </row>
    <row r="256" spans="1:11" ht="12.75" customHeight="1" thickTop="1" thickBot="1" x14ac:dyDescent="0.25">
      <c r="A256" s="463" t="s">
        <v>1456</v>
      </c>
      <c r="B256" s="470">
        <v>4909</v>
      </c>
      <c r="C256" s="576">
        <v>57351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89453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56744</v>
      </c>
      <c r="D263" s="576"/>
      <c r="E263" s="468"/>
      <c r="F263" s="576"/>
      <c r="G263" s="576"/>
      <c r="H263" s="468"/>
      <c r="I263" s="468"/>
      <c r="J263" s="468"/>
      <c r="K263" s="468"/>
    </row>
    <row r="264" spans="1:11" ht="12.75" customHeight="1" thickTop="1" thickBot="1" x14ac:dyDescent="0.25">
      <c r="A264" s="463" t="s">
        <v>376</v>
      </c>
      <c r="B264" s="470">
        <v>4992</v>
      </c>
      <c r="C264" s="575">
        <v>344728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2423309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2423309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48586329</v>
      </c>
      <c r="D268" s="1715">
        <f t="shared" si="12"/>
        <v>4530679</v>
      </c>
      <c r="E268" s="1715">
        <f t="shared" si="12"/>
        <v>11239936</v>
      </c>
      <c r="F268" s="1715">
        <f t="shared" si="12"/>
        <v>4935574</v>
      </c>
      <c r="G268" s="1715">
        <f t="shared" si="12"/>
        <v>2196362</v>
      </c>
      <c r="H268" s="1715">
        <f t="shared" si="12"/>
        <v>37339</v>
      </c>
      <c r="I268" s="1715">
        <f t="shared" si="12"/>
        <v>362614</v>
      </c>
      <c r="J268" s="1715">
        <f t="shared" si="12"/>
        <v>848671</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68" activePane="bottomLeft" state="frozen"/>
      <selection activeCell="T14" sqref="T14"/>
      <selection pane="bottomLeft" activeCell="T14" sqref="T14"/>
    </sheetView>
  </sheetViews>
  <sheetFormatPr defaultColWidth="9.140625" defaultRowHeight="12.75" x14ac:dyDescent="0.2"/>
  <cols>
    <col min="1" max="1" width="48.5703125" style="709" customWidth="1"/>
    <col min="2" max="2" width="5" style="710" customWidth="1"/>
    <col min="3" max="8" width="13.42578125" style="609" customWidth="1"/>
    <col min="9" max="10" width="13.42578125" style="343" customWidth="1"/>
    <col min="11" max="11" width="13.42578125" style="711" customWidth="1"/>
    <col min="12" max="12" width="11.85546875" style="343" customWidth="1"/>
    <col min="13" max="13" width="1.5703125" style="210" customWidth="1"/>
    <col min="14" max="14" width="9.140625" style="210"/>
    <col min="15" max="16384" width="9.140625" style="329"/>
  </cols>
  <sheetData>
    <row r="1" spans="1:14" x14ac:dyDescent="0.2">
      <c r="A1" s="2139"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9" t="s">
        <v>296</v>
      </c>
      <c r="B3" s="218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14872681</v>
      </c>
      <c r="D5" s="466">
        <v>1902947</v>
      </c>
      <c r="E5" s="466">
        <v>64213</v>
      </c>
      <c r="F5" s="466">
        <v>325394</v>
      </c>
      <c r="G5" s="466"/>
      <c r="H5" s="466">
        <v>10000</v>
      </c>
      <c r="I5" s="467"/>
      <c r="J5" s="467"/>
      <c r="K5" s="1671">
        <f>SUM(C5:J5)</f>
        <v>17175235</v>
      </c>
      <c r="L5" s="466">
        <v>17974745</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4781668</v>
      </c>
      <c r="D8" s="466">
        <v>883376</v>
      </c>
      <c r="E8" s="466">
        <v>329997</v>
      </c>
      <c r="F8" s="466">
        <v>848415</v>
      </c>
      <c r="G8" s="466">
        <v>124294</v>
      </c>
      <c r="H8" s="466">
        <v>6058</v>
      </c>
      <c r="I8" s="467">
        <v>36713</v>
      </c>
      <c r="J8" s="467"/>
      <c r="K8" s="1671">
        <f t="shared" si="0"/>
        <v>7010521</v>
      </c>
      <c r="L8" s="466">
        <v>6656438</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718586</v>
      </c>
      <c r="D10" s="466">
        <v>66574</v>
      </c>
      <c r="E10" s="466">
        <v>113391</v>
      </c>
      <c r="F10" s="466">
        <v>144474</v>
      </c>
      <c r="G10" s="466"/>
      <c r="H10" s="466"/>
      <c r="I10" s="467">
        <v>28116</v>
      </c>
      <c r="J10" s="467"/>
      <c r="K10" s="1671">
        <f t="shared" si="0"/>
        <v>1071141</v>
      </c>
      <c r="L10" s="466">
        <v>1179858</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2842</v>
      </c>
      <c r="D13" s="466"/>
      <c r="E13" s="466">
        <v>8063</v>
      </c>
      <c r="F13" s="466">
        <v>10607</v>
      </c>
      <c r="G13" s="466">
        <v>2896</v>
      </c>
      <c r="H13" s="466"/>
      <c r="I13" s="467">
        <v>23930</v>
      </c>
      <c r="J13" s="467"/>
      <c r="K13" s="1671">
        <f t="shared" si="0"/>
        <v>48338</v>
      </c>
      <c r="L13" s="466">
        <v>49418</v>
      </c>
    </row>
    <row r="14" spans="1:14" x14ac:dyDescent="0.2">
      <c r="A14" s="1504" t="s">
        <v>962</v>
      </c>
      <c r="B14" s="614">
        <v>1500</v>
      </c>
      <c r="C14" s="466">
        <v>1177481</v>
      </c>
      <c r="D14" s="466"/>
      <c r="E14" s="466">
        <v>76711</v>
      </c>
      <c r="F14" s="466">
        <v>79185</v>
      </c>
      <c r="G14" s="466"/>
      <c r="H14" s="466">
        <v>34953</v>
      </c>
      <c r="I14" s="467"/>
      <c r="J14" s="467"/>
      <c r="K14" s="1671">
        <f t="shared" si="0"/>
        <v>1368330</v>
      </c>
      <c r="L14" s="466">
        <v>1377064</v>
      </c>
    </row>
    <row r="15" spans="1:14" x14ac:dyDescent="0.2">
      <c r="A15" s="1504" t="s">
        <v>963</v>
      </c>
      <c r="B15" s="614">
        <v>1600</v>
      </c>
      <c r="C15" s="466">
        <v>160349</v>
      </c>
      <c r="D15" s="466"/>
      <c r="E15" s="466">
        <v>2030</v>
      </c>
      <c r="F15" s="466"/>
      <c r="G15" s="466"/>
      <c r="H15" s="466"/>
      <c r="I15" s="467"/>
      <c r="J15" s="467"/>
      <c r="K15" s="1671">
        <f t="shared" si="0"/>
        <v>162379</v>
      </c>
      <c r="L15" s="466">
        <v>150127</v>
      </c>
    </row>
    <row r="16" spans="1:14" x14ac:dyDescent="0.2">
      <c r="A16" s="1504" t="s">
        <v>986</v>
      </c>
      <c r="B16" s="614" t="s">
        <v>423</v>
      </c>
      <c r="C16" s="466">
        <v>296532</v>
      </c>
      <c r="D16" s="466">
        <v>26093</v>
      </c>
      <c r="E16" s="466"/>
      <c r="F16" s="466"/>
      <c r="G16" s="466"/>
      <c r="H16" s="466"/>
      <c r="I16" s="467"/>
      <c r="J16" s="467"/>
      <c r="K16" s="1671">
        <f t="shared" si="0"/>
        <v>322625</v>
      </c>
      <c r="L16" s="466">
        <v>322800</v>
      </c>
    </row>
    <row r="17" spans="1:12" x14ac:dyDescent="0.2">
      <c r="A17" s="1504" t="s">
        <v>723</v>
      </c>
      <c r="B17" s="614" t="s">
        <v>162</v>
      </c>
      <c r="C17" s="467"/>
      <c r="D17" s="467"/>
      <c r="E17" s="467"/>
      <c r="F17" s="467"/>
      <c r="G17" s="467"/>
      <c r="H17" s="467"/>
      <c r="I17" s="467"/>
      <c r="J17" s="467"/>
      <c r="K17" s="1671">
        <f t="shared" si="0"/>
        <v>0</v>
      </c>
      <c r="L17" s="466"/>
    </row>
    <row r="18" spans="1:12" x14ac:dyDescent="0.2">
      <c r="A18" s="1504" t="s">
        <v>1086</v>
      </c>
      <c r="B18" s="614">
        <v>1800</v>
      </c>
      <c r="C18" s="466">
        <v>1687860</v>
      </c>
      <c r="D18" s="466">
        <v>299768</v>
      </c>
      <c r="E18" s="466">
        <v>98486</v>
      </c>
      <c r="F18" s="466">
        <v>42243</v>
      </c>
      <c r="G18" s="466"/>
      <c r="H18" s="466"/>
      <c r="I18" s="467"/>
      <c r="J18" s="467"/>
      <c r="K18" s="1671">
        <f t="shared" si="0"/>
        <v>2128357</v>
      </c>
      <c r="L18" s="466">
        <v>2159761</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23697999</v>
      </c>
      <c r="D33" s="1670">
        <f t="shared" ref="D33:L33" si="1">SUM(D5:D32)</f>
        <v>3178758</v>
      </c>
      <c r="E33" s="1670">
        <f t="shared" si="1"/>
        <v>692891</v>
      </c>
      <c r="F33" s="1670">
        <f t="shared" si="1"/>
        <v>1450318</v>
      </c>
      <c r="G33" s="1670">
        <f t="shared" si="1"/>
        <v>127190</v>
      </c>
      <c r="H33" s="1670">
        <f t="shared" si="1"/>
        <v>51011</v>
      </c>
      <c r="I33" s="1670">
        <f t="shared" si="1"/>
        <v>88759</v>
      </c>
      <c r="J33" s="1670">
        <f t="shared" si="1"/>
        <v>0</v>
      </c>
      <c r="K33" s="1670">
        <f t="shared" si="1"/>
        <v>29286926</v>
      </c>
      <c r="L33" s="1670">
        <f t="shared" si="1"/>
        <v>29870211</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616708</v>
      </c>
      <c r="D36" s="481">
        <v>69583</v>
      </c>
      <c r="E36" s="481"/>
      <c r="F36" s="481">
        <v>1822</v>
      </c>
      <c r="G36" s="481"/>
      <c r="H36" s="481"/>
      <c r="I36" s="467"/>
      <c r="J36" s="467"/>
      <c r="K36" s="1671">
        <f t="shared" ref="K36:K41" si="2">SUM(C36:J36)</f>
        <v>688113</v>
      </c>
      <c r="L36" s="466">
        <v>693696</v>
      </c>
    </row>
    <row r="37" spans="1:14" x14ac:dyDescent="0.2">
      <c r="A37" s="1504" t="s">
        <v>1089</v>
      </c>
      <c r="B37" s="614">
        <v>2120</v>
      </c>
      <c r="C37" s="466">
        <v>593698</v>
      </c>
      <c r="D37" s="466">
        <v>60472</v>
      </c>
      <c r="E37" s="466"/>
      <c r="F37" s="466">
        <v>4513</v>
      </c>
      <c r="G37" s="466"/>
      <c r="H37" s="466"/>
      <c r="I37" s="467"/>
      <c r="J37" s="467"/>
      <c r="K37" s="1671">
        <f t="shared" si="2"/>
        <v>658683</v>
      </c>
      <c r="L37" s="466">
        <v>666756</v>
      </c>
    </row>
    <row r="38" spans="1:14" x14ac:dyDescent="0.2">
      <c r="A38" s="1504" t="s">
        <v>198</v>
      </c>
      <c r="B38" s="614">
        <v>2130</v>
      </c>
      <c r="C38" s="466">
        <v>223039</v>
      </c>
      <c r="D38" s="466">
        <v>47458</v>
      </c>
      <c r="E38" s="466"/>
      <c r="F38" s="466">
        <v>5206</v>
      </c>
      <c r="G38" s="466"/>
      <c r="H38" s="466"/>
      <c r="I38" s="467"/>
      <c r="J38" s="467"/>
      <c r="K38" s="1671">
        <f t="shared" si="2"/>
        <v>275703</v>
      </c>
      <c r="L38" s="466">
        <v>317948</v>
      </c>
    </row>
    <row r="39" spans="1:14" x14ac:dyDescent="0.2">
      <c r="A39" s="1504" t="s">
        <v>199</v>
      </c>
      <c r="B39" s="614">
        <v>2140</v>
      </c>
      <c r="C39" s="466">
        <v>485466</v>
      </c>
      <c r="D39" s="466">
        <v>58134</v>
      </c>
      <c r="E39" s="466"/>
      <c r="F39" s="466">
        <v>4814</v>
      </c>
      <c r="G39" s="466"/>
      <c r="H39" s="466"/>
      <c r="I39" s="467"/>
      <c r="J39" s="467"/>
      <c r="K39" s="1671">
        <f t="shared" si="2"/>
        <v>548414</v>
      </c>
      <c r="L39" s="466">
        <v>574282</v>
      </c>
    </row>
    <row r="40" spans="1:14" x14ac:dyDescent="0.2">
      <c r="A40" s="1504" t="s">
        <v>200</v>
      </c>
      <c r="B40" s="614">
        <v>2150</v>
      </c>
      <c r="C40" s="466">
        <v>580946</v>
      </c>
      <c r="D40" s="466">
        <v>68978</v>
      </c>
      <c r="E40" s="466"/>
      <c r="F40" s="466">
        <v>3126</v>
      </c>
      <c r="G40" s="466"/>
      <c r="H40" s="466"/>
      <c r="I40" s="467"/>
      <c r="J40" s="467"/>
      <c r="K40" s="1671">
        <f t="shared" si="2"/>
        <v>653050</v>
      </c>
      <c r="L40" s="466">
        <v>655980</v>
      </c>
    </row>
    <row r="41" spans="1:14" x14ac:dyDescent="0.2">
      <c r="A41" s="1504" t="s">
        <v>1668</v>
      </c>
      <c r="B41" s="614">
        <v>2190</v>
      </c>
      <c r="C41" s="466">
        <v>778302</v>
      </c>
      <c r="D41" s="466">
        <v>35515</v>
      </c>
      <c r="E41" s="466">
        <v>669675</v>
      </c>
      <c r="F41" s="466">
        <v>939887</v>
      </c>
      <c r="G41" s="466">
        <v>3649</v>
      </c>
      <c r="H41" s="466">
        <v>22836</v>
      </c>
      <c r="I41" s="467">
        <v>3221</v>
      </c>
      <c r="J41" s="467"/>
      <c r="K41" s="1671">
        <f t="shared" si="2"/>
        <v>2453085</v>
      </c>
      <c r="L41" s="466">
        <v>2477394</v>
      </c>
    </row>
    <row r="42" spans="1:14" ht="12.75" customHeight="1" thickBot="1" x14ac:dyDescent="0.25">
      <c r="A42" s="1668" t="s">
        <v>559</v>
      </c>
      <c r="B42" s="1669" t="s">
        <v>715</v>
      </c>
      <c r="C42" s="1670">
        <f>SUM(C36:C41)</f>
        <v>3278159</v>
      </c>
      <c r="D42" s="1670">
        <f t="shared" ref="D42:L42" si="3">SUM(D36:D41)</f>
        <v>340140</v>
      </c>
      <c r="E42" s="1670">
        <f t="shared" si="3"/>
        <v>669675</v>
      </c>
      <c r="F42" s="1670">
        <f t="shared" si="3"/>
        <v>959368</v>
      </c>
      <c r="G42" s="1670">
        <f t="shared" si="3"/>
        <v>3649</v>
      </c>
      <c r="H42" s="1670">
        <f t="shared" si="3"/>
        <v>22836</v>
      </c>
      <c r="I42" s="1670">
        <f t="shared" si="3"/>
        <v>3221</v>
      </c>
      <c r="J42" s="1670">
        <f t="shared" si="3"/>
        <v>0</v>
      </c>
      <c r="K42" s="1670">
        <f t="shared" si="3"/>
        <v>5277048</v>
      </c>
      <c r="L42" s="1670">
        <f t="shared" si="3"/>
        <v>5386056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1185483</v>
      </c>
      <c r="D44" s="481">
        <v>645322</v>
      </c>
      <c r="E44" s="481">
        <v>81143</v>
      </c>
      <c r="F44" s="481">
        <v>216561</v>
      </c>
      <c r="G44" s="481"/>
      <c r="H44" s="481">
        <v>5264</v>
      </c>
      <c r="I44" s="467">
        <v>563</v>
      </c>
      <c r="J44" s="467"/>
      <c r="K44" s="1672">
        <f>SUM(C44:J44)</f>
        <v>2134336</v>
      </c>
      <c r="L44" s="481">
        <v>2380652</v>
      </c>
    </row>
    <row r="45" spans="1:14" x14ac:dyDescent="0.2">
      <c r="A45" s="1504" t="s">
        <v>814</v>
      </c>
      <c r="B45" s="614">
        <v>2220</v>
      </c>
      <c r="C45" s="466">
        <v>703812</v>
      </c>
      <c r="D45" s="466">
        <v>157467</v>
      </c>
      <c r="E45" s="466">
        <v>2026</v>
      </c>
      <c r="F45" s="466">
        <v>42472</v>
      </c>
      <c r="G45" s="466"/>
      <c r="H45" s="466"/>
      <c r="I45" s="467"/>
      <c r="J45" s="467"/>
      <c r="K45" s="1672">
        <f>SUM(C45:J45)</f>
        <v>905777</v>
      </c>
      <c r="L45" s="466">
        <v>1038299</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1889295</v>
      </c>
      <c r="D47" s="1670">
        <f t="shared" ref="D47:K47" si="4">SUM(D44:D46)</f>
        <v>802789</v>
      </c>
      <c r="E47" s="1670">
        <f t="shared" si="4"/>
        <v>83169</v>
      </c>
      <c r="F47" s="1670">
        <f t="shared" si="4"/>
        <v>259033</v>
      </c>
      <c r="G47" s="1670">
        <f t="shared" si="4"/>
        <v>0</v>
      </c>
      <c r="H47" s="1670">
        <f t="shared" si="4"/>
        <v>5264</v>
      </c>
      <c r="I47" s="1670">
        <f t="shared" si="4"/>
        <v>563</v>
      </c>
      <c r="J47" s="1670">
        <f t="shared" si="4"/>
        <v>0</v>
      </c>
      <c r="K47" s="1670">
        <f t="shared" si="4"/>
        <v>3040113</v>
      </c>
      <c r="L47" s="1670">
        <f>SUM(L44:L46)</f>
        <v>3418951</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611382</v>
      </c>
      <c r="D49" s="481"/>
      <c r="E49" s="481"/>
      <c r="F49" s="481">
        <v>8026</v>
      </c>
      <c r="G49" s="481"/>
      <c r="H49" s="481"/>
      <c r="I49" s="467"/>
      <c r="J49" s="467"/>
      <c r="K49" s="1672">
        <f>SUM(C49:J49)</f>
        <v>619408</v>
      </c>
      <c r="L49" s="481">
        <v>359455</v>
      </c>
    </row>
    <row r="50" spans="1:14" x14ac:dyDescent="0.2">
      <c r="A50" s="1504" t="s">
        <v>817</v>
      </c>
      <c r="B50" s="614">
        <v>2320</v>
      </c>
      <c r="C50" s="466">
        <v>398989</v>
      </c>
      <c r="D50" s="466">
        <v>35461</v>
      </c>
      <c r="E50" s="466">
        <v>2232</v>
      </c>
      <c r="F50" s="466"/>
      <c r="G50" s="466"/>
      <c r="H50" s="466">
        <v>2220</v>
      </c>
      <c r="I50" s="467"/>
      <c r="J50" s="467"/>
      <c r="K50" s="1672">
        <f>SUM(C50:J50)</f>
        <v>438902</v>
      </c>
      <c r="L50" s="466">
        <v>444503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1010371</v>
      </c>
      <c r="D53" s="1670">
        <f t="shared" ref="D53:L53" si="5">SUM(D49:D52)</f>
        <v>35461</v>
      </c>
      <c r="E53" s="1670">
        <f t="shared" si="5"/>
        <v>2232</v>
      </c>
      <c r="F53" s="1670">
        <f t="shared" si="5"/>
        <v>8026</v>
      </c>
      <c r="G53" s="1670">
        <f t="shared" si="5"/>
        <v>0</v>
      </c>
      <c r="H53" s="1670">
        <f t="shared" si="5"/>
        <v>2220</v>
      </c>
      <c r="I53" s="1670">
        <f t="shared" si="5"/>
        <v>0</v>
      </c>
      <c r="J53" s="1670">
        <f t="shared" si="5"/>
        <v>0</v>
      </c>
      <c r="K53" s="1670">
        <f t="shared" si="5"/>
        <v>1058310</v>
      </c>
      <c r="L53" s="1670">
        <f t="shared" si="5"/>
        <v>803958</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2315538</v>
      </c>
      <c r="D55" s="481">
        <v>388199</v>
      </c>
      <c r="E55" s="481">
        <v>12935</v>
      </c>
      <c r="F55" s="481">
        <v>47367</v>
      </c>
      <c r="G55" s="481"/>
      <c r="H55" s="481">
        <v>26636</v>
      </c>
      <c r="I55" s="467"/>
      <c r="J55" s="467"/>
      <c r="K55" s="1672">
        <f>SUM(C55:J55)</f>
        <v>2790675</v>
      </c>
      <c r="L55" s="481">
        <v>2787397</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2315538</v>
      </c>
      <c r="D57" s="1674">
        <f t="shared" ref="D57:K57" si="6">SUM(D55:D56)</f>
        <v>388199</v>
      </c>
      <c r="E57" s="1674">
        <f t="shared" si="6"/>
        <v>12935</v>
      </c>
      <c r="F57" s="1674">
        <f t="shared" si="6"/>
        <v>47367</v>
      </c>
      <c r="G57" s="1674">
        <f t="shared" si="6"/>
        <v>0</v>
      </c>
      <c r="H57" s="1674">
        <f t="shared" si="6"/>
        <v>26636</v>
      </c>
      <c r="I57" s="1674">
        <f t="shared" si="6"/>
        <v>0</v>
      </c>
      <c r="J57" s="1674">
        <f t="shared" si="6"/>
        <v>0</v>
      </c>
      <c r="K57" s="1674">
        <f t="shared" si="6"/>
        <v>2790675</v>
      </c>
      <c r="L57" s="1670">
        <f>SUM(L55:L56)</f>
        <v>2787397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445879</v>
      </c>
      <c r="D59" s="481">
        <v>42970</v>
      </c>
      <c r="E59" s="481">
        <v>4372</v>
      </c>
      <c r="F59" s="481"/>
      <c r="G59" s="481"/>
      <c r="H59" s="481">
        <v>1055</v>
      </c>
      <c r="I59" s="467"/>
      <c r="J59" s="467"/>
      <c r="K59" s="1672">
        <f t="shared" ref="K59:K64" si="7">SUM(C59:J59)</f>
        <v>494276</v>
      </c>
      <c r="L59" s="481">
        <v>488865</v>
      </c>
      <c r="M59" s="609"/>
      <c r="N59" s="609"/>
    </row>
    <row r="60" spans="1:14" s="343" customFormat="1" x14ac:dyDescent="0.2">
      <c r="A60" s="1504" t="s">
        <v>462</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770068</v>
      </c>
      <c r="F63" s="466">
        <f>124205-109154</f>
        <v>15051</v>
      </c>
      <c r="G63" s="466">
        <v>1015</v>
      </c>
      <c r="H63" s="466">
        <v>1787</v>
      </c>
      <c r="I63" s="467">
        <v>21291</v>
      </c>
      <c r="J63" s="467"/>
      <c r="K63" s="1672">
        <f t="shared" si="7"/>
        <v>809212</v>
      </c>
      <c r="L63" s="466">
        <v>1057325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445879</v>
      </c>
      <c r="D65" s="1670">
        <f t="shared" ref="D65:L65" si="8">SUM(D59:D64)</f>
        <v>42970</v>
      </c>
      <c r="E65" s="1670">
        <f t="shared" si="8"/>
        <v>774440</v>
      </c>
      <c r="F65" s="1670">
        <f t="shared" si="8"/>
        <v>15051</v>
      </c>
      <c r="G65" s="1670">
        <f t="shared" si="8"/>
        <v>1015</v>
      </c>
      <c r="H65" s="1670">
        <f t="shared" si="8"/>
        <v>2842</v>
      </c>
      <c r="I65" s="1670">
        <f t="shared" si="8"/>
        <v>21291</v>
      </c>
      <c r="J65" s="1670">
        <f t="shared" si="8"/>
        <v>0</v>
      </c>
      <c r="K65" s="1670">
        <f t="shared" si="8"/>
        <v>1303488</v>
      </c>
      <c r="L65" s="1670">
        <f t="shared" si="8"/>
        <v>1546190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v>147923</v>
      </c>
      <c r="D70" s="466">
        <v>9313</v>
      </c>
      <c r="E70" s="466">
        <v>2952</v>
      </c>
      <c r="F70" s="466"/>
      <c r="G70" s="466"/>
      <c r="H70" s="466">
        <v>551</v>
      </c>
      <c r="I70" s="467"/>
      <c r="J70" s="467"/>
      <c r="K70" s="1672">
        <f>SUM(C70:J70)</f>
        <v>160739</v>
      </c>
      <c r="L70" s="466">
        <v>165136</v>
      </c>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147923</v>
      </c>
      <c r="D72" s="1670">
        <f t="shared" ref="D72:K72" si="9">SUM(D67:D71)</f>
        <v>9313</v>
      </c>
      <c r="E72" s="1670">
        <f t="shared" si="9"/>
        <v>2952</v>
      </c>
      <c r="F72" s="1670">
        <f t="shared" si="9"/>
        <v>0</v>
      </c>
      <c r="G72" s="1670">
        <f t="shared" si="9"/>
        <v>0</v>
      </c>
      <c r="H72" s="1670">
        <f t="shared" si="9"/>
        <v>551</v>
      </c>
      <c r="I72" s="1670">
        <f t="shared" si="9"/>
        <v>0</v>
      </c>
      <c r="J72" s="1670">
        <f t="shared" si="9"/>
        <v>0</v>
      </c>
      <c r="K72" s="1670">
        <f t="shared" si="9"/>
        <v>160739</v>
      </c>
      <c r="L72" s="1670">
        <f>SUM(L67:L71)</f>
        <v>165136</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9087165</v>
      </c>
      <c r="D74" s="1677">
        <f t="shared" ref="D74:K74" si="10">SUM(D42,D47,D53,D57,D65,D72,D73)</f>
        <v>1618872</v>
      </c>
      <c r="E74" s="1677">
        <f t="shared" si="10"/>
        <v>1545403</v>
      </c>
      <c r="F74" s="1677">
        <f t="shared" si="10"/>
        <v>1288845</v>
      </c>
      <c r="G74" s="1677">
        <f t="shared" si="10"/>
        <v>4664</v>
      </c>
      <c r="H74" s="1677">
        <f t="shared" si="10"/>
        <v>60349</v>
      </c>
      <c r="I74" s="1677">
        <f t="shared" si="10"/>
        <v>25075</v>
      </c>
      <c r="J74" s="1677">
        <f t="shared" si="10"/>
        <v>0</v>
      </c>
      <c r="K74" s="1677">
        <f t="shared" si="10"/>
        <v>13630373</v>
      </c>
      <c r="L74" s="1677">
        <f>SUM(L42,L47,L53,L57,L65,L72,L73)</f>
        <v>14107688</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456458</v>
      </c>
      <c r="I85" s="477"/>
      <c r="J85" s="477"/>
      <c r="K85" s="1677">
        <f>H85</f>
        <v>456458</v>
      </c>
      <c r="L85" s="530">
        <v>447786</v>
      </c>
    </row>
    <row r="86" spans="1:12" ht="12.75" customHeight="1" thickTop="1" thickBot="1" x14ac:dyDescent="0.25">
      <c r="A86" s="1512" t="s">
        <v>698</v>
      </c>
      <c r="B86" s="637">
        <v>4220</v>
      </c>
      <c r="C86" s="616"/>
      <c r="D86" s="616"/>
      <c r="E86" s="638"/>
      <c r="F86" s="616"/>
      <c r="G86" s="616"/>
      <c r="H86" s="467">
        <v>4546941</v>
      </c>
      <c r="I86" s="477"/>
      <c r="J86" s="477"/>
      <c r="K86" s="1677">
        <f t="shared" ref="K86:K98" si="12">H86</f>
        <v>4546941</v>
      </c>
      <c r="L86" s="530">
        <v>4643457</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5003399</v>
      </c>
      <c r="I92" s="477"/>
      <c r="J92" s="477"/>
      <c r="K92" s="1677">
        <f t="shared" si="12"/>
        <v>5003399</v>
      </c>
      <c r="L92" s="1670">
        <f>SUM(L85:L91)</f>
        <v>5091243</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5003399</v>
      </c>
      <c r="I102" s="477"/>
      <c r="J102" s="477"/>
      <c r="K102" s="1677">
        <f>SUM(K84,K92,K100,K101)</f>
        <v>5003399</v>
      </c>
      <c r="L102" s="1677">
        <f>SUM(L84,L92,L100,L101)</f>
        <v>5091243</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32785164</v>
      </c>
      <c r="D114" s="1670">
        <f t="shared" ref="D114:K114" si="13">SUM(D33,D74,D75,D102,D112,D113)</f>
        <v>4797630</v>
      </c>
      <c r="E114" s="1670">
        <f t="shared" si="13"/>
        <v>2238294</v>
      </c>
      <c r="F114" s="1670">
        <f t="shared" si="13"/>
        <v>2739163</v>
      </c>
      <c r="G114" s="1670">
        <f t="shared" si="13"/>
        <v>131854</v>
      </c>
      <c r="H114" s="1670">
        <f>SUM(H33,H74,H75,H102,H112,H113)</f>
        <v>5114759</v>
      </c>
      <c r="I114" s="1670">
        <f t="shared" si="13"/>
        <v>113834</v>
      </c>
      <c r="J114" s="1670">
        <f t="shared" si="13"/>
        <v>0</v>
      </c>
      <c r="K114" s="1670">
        <f t="shared" si="13"/>
        <v>47920698</v>
      </c>
      <c r="L114" s="1670">
        <f>SUM(L33,L74,L75,L102,L112,L113)</f>
        <v>49069142</v>
      </c>
    </row>
    <row r="115" spans="1:14" ht="13.5" thickTop="1" x14ac:dyDescent="0.2">
      <c r="A115" s="2171" t="s">
        <v>995</v>
      </c>
      <c r="B115" s="2172"/>
      <c r="C115" s="618"/>
      <c r="D115" s="618"/>
      <c r="E115" s="618"/>
      <c r="F115" s="618"/>
      <c r="G115" s="618"/>
      <c r="H115" s="618"/>
      <c r="I115" s="618"/>
      <c r="J115" s="618"/>
      <c r="K115" s="1684">
        <f>'Revenues 9-14'!C268-'Expenditures 15-22'!K114</f>
        <v>665631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295</v>
      </c>
      <c r="B117" s="217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2053</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2067810</v>
      </c>
      <c r="D124" s="466">
        <v>373813</v>
      </c>
      <c r="E124" s="466">
        <v>1757698</v>
      </c>
      <c r="F124" s="466">
        <v>366577</v>
      </c>
      <c r="G124" s="466">
        <v>28861</v>
      </c>
      <c r="H124" s="466">
        <v>115195</v>
      </c>
      <c r="I124" s="467">
        <v>4728</v>
      </c>
      <c r="J124" s="467"/>
      <c r="K124" s="1670">
        <f>SUM(C124:J124)</f>
        <v>4714682</v>
      </c>
      <c r="L124" s="466">
        <v>4882873</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2067810</v>
      </c>
      <c r="D127" s="1670">
        <f t="shared" ref="D127:L127" si="14">SUM(D122:D126)</f>
        <v>373813</v>
      </c>
      <c r="E127" s="1670">
        <f t="shared" si="14"/>
        <v>1757698</v>
      </c>
      <c r="F127" s="1670">
        <f t="shared" si="14"/>
        <v>366577</v>
      </c>
      <c r="G127" s="1670">
        <f t="shared" si="14"/>
        <v>28861</v>
      </c>
      <c r="H127" s="1670">
        <f t="shared" si="14"/>
        <v>115195</v>
      </c>
      <c r="I127" s="1670">
        <f t="shared" si="14"/>
        <v>4728</v>
      </c>
      <c r="J127" s="1670">
        <f t="shared" si="14"/>
        <v>0</v>
      </c>
      <c r="K127" s="1670">
        <f t="shared" si="14"/>
        <v>4714682</v>
      </c>
      <c r="L127" s="1670">
        <f t="shared" si="14"/>
        <v>4882873</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2067810</v>
      </c>
      <c r="D129" s="1677">
        <f t="shared" ref="D129:L129" si="15">SUM(D120,D127,D128)</f>
        <v>373813</v>
      </c>
      <c r="E129" s="1677">
        <f t="shared" si="15"/>
        <v>1757698</v>
      </c>
      <c r="F129" s="1677">
        <f t="shared" si="15"/>
        <v>366577</v>
      </c>
      <c r="G129" s="1677">
        <f t="shared" si="15"/>
        <v>28861</v>
      </c>
      <c r="H129" s="1677">
        <f t="shared" si="15"/>
        <v>115195</v>
      </c>
      <c r="I129" s="1677">
        <f t="shared" si="15"/>
        <v>4728</v>
      </c>
      <c r="J129" s="1677">
        <f t="shared" si="15"/>
        <v>0</v>
      </c>
      <c r="K129" s="1677">
        <f t="shared" si="15"/>
        <v>4714682</v>
      </c>
      <c r="L129" s="1677">
        <f t="shared" si="15"/>
        <v>4882873</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88" t="s">
        <v>619</v>
      </c>
      <c r="B151" s="2168"/>
      <c r="C151" s="1670">
        <f>SUM(C129,C130,C139,C149,C150)</f>
        <v>2067810</v>
      </c>
      <c r="D151" s="1670">
        <f t="shared" ref="D151:K151" si="16">SUM(D129,D130,D139,D149,D150)</f>
        <v>373813</v>
      </c>
      <c r="E151" s="1670">
        <f t="shared" si="16"/>
        <v>1757698</v>
      </c>
      <c r="F151" s="1670">
        <f t="shared" si="16"/>
        <v>366577</v>
      </c>
      <c r="G151" s="1670">
        <f t="shared" si="16"/>
        <v>28861</v>
      </c>
      <c r="H151" s="1670">
        <f t="shared" si="16"/>
        <v>115195</v>
      </c>
      <c r="I151" s="1670">
        <f t="shared" si="16"/>
        <v>4728</v>
      </c>
      <c r="J151" s="1670">
        <f t="shared" si="16"/>
        <v>0</v>
      </c>
      <c r="K151" s="1670">
        <f t="shared" si="16"/>
        <v>4714682</v>
      </c>
      <c r="L151" s="1670">
        <f>SUM(L129,L130,L139,L149,L150)</f>
        <v>4882873</v>
      </c>
    </row>
    <row r="152" spans="1:14" ht="12.75" customHeight="1" thickTop="1" x14ac:dyDescent="0.2">
      <c r="A152" s="2191" t="s">
        <v>1177</v>
      </c>
      <c r="B152" s="2192"/>
      <c r="C152" s="618"/>
      <c r="D152" s="618"/>
      <c r="E152" s="618"/>
      <c r="F152" s="618"/>
      <c r="G152" s="618"/>
      <c r="H152" s="618"/>
      <c r="I152" s="618"/>
      <c r="J152" s="616"/>
      <c r="K152" s="1684">
        <f>'Revenues 9-14'!D268-'Expenditures 15-22'!K151</f>
        <v>-184003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620</v>
      </c>
      <c r="B154" s="217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v>96860</v>
      </c>
      <c r="I157" s="616"/>
      <c r="J157" s="616"/>
      <c r="K157" s="1671">
        <f>H157</f>
        <v>96860</v>
      </c>
      <c r="L157" s="467">
        <v>0</v>
      </c>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96860</v>
      </c>
      <c r="I160" s="616"/>
      <c r="J160" s="616"/>
      <c r="K160" s="1670">
        <f>SUM(K157:K159)</f>
        <v>96860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3051786</v>
      </c>
      <c r="I169" s="616"/>
      <c r="J169" s="616"/>
      <c r="K169" s="1671">
        <f>SUM(C169:H169)</f>
        <v>3051786</v>
      </c>
      <c r="L169" s="656">
        <v>3088198</v>
      </c>
    </row>
    <row r="170" spans="1:14" ht="33.75" customHeight="1" x14ac:dyDescent="0.2">
      <c r="A170" s="669" t="s">
        <v>1669</v>
      </c>
      <c r="B170" s="671" t="s">
        <v>31</v>
      </c>
      <c r="C170" s="616"/>
      <c r="D170" s="616"/>
      <c r="E170" s="616"/>
      <c r="F170" s="616"/>
      <c r="G170" s="616"/>
      <c r="H170" s="569">
        <v>8745000</v>
      </c>
      <c r="I170" s="616"/>
      <c r="J170" s="616"/>
      <c r="K170" s="1671">
        <f>SUM(C170:J170)</f>
        <v>8745000</v>
      </c>
      <c r="L170" s="569">
        <v>8805589</v>
      </c>
    </row>
    <row r="171" spans="1:14" ht="15.75" customHeight="1" x14ac:dyDescent="0.2">
      <c r="A171" s="621" t="s">
        <v>765</v>
      </c>
      <c r="B171" s="672" t="s">
        <v>84</v>
      </c>
      <c r="C171" s="616"/>
      <c r="D171" s="616"/>
      <c r="E171" s="466"/>
      <c r="F171" s="616"/>
      <c r="G171" s="616"/>
      <c r="H171" s="569">
        <v>184992</v>
      </c>
      <c r="I171" s="477"/>
      <c r="J171" s="616"/>
      <c r="K171" s="1671">
        <f>SUM(C171:J171)</f>
        <v>184992</v>
      </c>
      <c r="L171" s="569">
        <v>3000</v>
      </c>
    </row>
    <row r="172" spans="1:14" ht="12.75" customHeight="1" thickBot="1" x14ac:dyDescent="0.25">
      <c r="A172" s="1668" t="s">
        <v>637</v>
      </c>
      <c r="B172" s="1669" t="s">
        <v>491</v>
      </c>
      <c r="C172" s="616"/>
      <c r="D172" s="616"/>
      <c r="E172" s="1677">
        <f>SUM(E168,E169,E170,E171)</f>
        <v>0</v>
      </c>
      <c r="F172" s="616"/>
      <c r="G172" s="616"/>
      <c r="H172" s="1677">
        <f>SUM(H168,H169,H170,H171)</f>
        <v>11981778</v>
      </c>
      <c r="I172" s="638"/>
      <c r="J172" s="616"/>
      <c r="K172" s="1677">
        <f>SUM(K168,K169,K170,K171)</f>
        <v>11981778</v>
      </c>
      <c r="L172" s="1677">
        <f>SUM(L168,L169,L170,L171)</f>
        <v>11896787</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12078638</v>
      </c>
      <c r="I174" s="638"/>
      <c r="J174" s="616"/>
      <c r="K174" s="1677">
        <f>SUM(K160,K172,K173)</f>
        <v>12078638</v>
      </c>
      <c r="L174" s="1677">
        <f>SUM(L160,L172,L173)</f>
        <v>11896787</v>
      </c>
    </row>
    <row r="175" spans="1:14" ht="13.5" thickTop="1" x14ac:dyDescent="0.2">
      <c r="A175" s="2171" t="s">
        <v>995</v>
      </c>
      <c r="B175" s="2172"/>
      <c r="C175" s="616"/>
      <c r="D175" s="616"/>
      <c r="E175" s="616"/>
      <c r="F175" s="616"/>
      <c r="G175" s="616"/>
      <c r="H175" s="618"/>
      <c r="I175" s="616"/>
      <c r="J175" s="616"/>
      <c r="K175" s="1684">
        <f>'Revenues 9-14'!E268-'Expenditures 15-22'!K174</f>
        <v>-838702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2053</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2566495</v>
      </c>
      <c r="D182" s="466">
        <v>551020</v>
      </c>
      <c r="E182" s="466">
        <v>849112</v>
      </c>
      <c r="F182" s="466">
        <v>540459</v>
      </c>
      <c r="G182" s="466">
        <v>682171</v>
      </c>
      <c r="H182" s="466">
        <v>2438</v>
      </c>
      <c r="I182" s="467">
        <v>3240</v>
      </c>
      <c r="J182" s="467"/>
      <c r="K182" s="1671">
        <f>SUM(C182:J182)</f>
        <v>5194935</v>
      </c>
      <c r="L182" s="466">
        <v>5019746</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2566495</v>
      </c>
      <c r="D184" s="1677">
        <f t="shared" ref="D184:J184" si="17">SUM(D180,D182,D183)</f>
        <v>551020</v>
      </c>
      <c r="E184" s="1677">
        <f t="shared" si="17"/>
        <v>849112</v>
      </c>
      <c r="F184" s="1677">
        <f t="shared" si="17"/>
        <v>540459</v>
      </c>
      <c r="G184" s="1677">
        <f t="shared" si="17"/>
        <v>682171</v>
      </c>
      <c r="H184" s="1677">
        <f t="shared" si="17"/>
        <v>2438</v>
      </c>
      <c r="I184" s="1677">
        <f t="shared" si="17"/>
        <v>3240</v>
      </c>
      <c r="J184" s="1677">
        <f t="shared" si="17"/>
        <v>0</v>
      </c>
      <c r="K184" s="1677">
        <f>SUM(K180,K182,K183)</f>
        <v>5194935</v>
      </c>
      <c r="L184" s="1677">
        <f>SUM(L180, L182:L183)</f>
        <v>5019746</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50828</v>
      </c>
      <c r="I205" s="616"/>
      <c r="J205" s="616"/>
      <c r="K205" s="1685">
        <f>SUM(H205)</f>
        <v>50828</v>
      </c>
      <c r="L205" s="535"/>
    </row>
    <row r="206" spans="1:14" ht="30" customHeight="1" x14ac:dyDescent="0.2">
      <c r="A206" s="681" t="s">
        <v>1670</v>
      </c>
      <c r="B206" s="672" t="s">
        <v>31</v>
      </c>
      <c r="C206" s="616"/>
      <c r="D206" s="616"/>
      <c r="E206" s="616"/>
      <c r="F206" s="616"/>
      <c r="G206" s="616"/>
      <c r="H206" s="466">
        <v>669873</v>
      </c>
      <c r="I206" s="616"/>
      <c r="J206" s="616"/>
      <c r="K206" s="1671">
        <f>SUM(H206)</f>
        <v>669873</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720701</v>
      </c>
      <c r="I208" s="616"/>
      <c r="J208" s="616"/>
      <c r="K208" s="1677">
        <f>SUM(K204,K205,K206,K207)</f>
        <v>720701</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2566495</v>
      </c>
      <c r="D210" s="1670">
        <f>SUM(D184,D185)</f>
        <v>551020</v>
      </c>
      <c r="E210" s="1670">
        <f>SUM(E184,E185,E196)</f>
        <v>849112</v>
      </c>
      <c r="F210" s="1670">
        <f>SUM(F184,F185)</f>
        <v>540459</v>
      </c>
      <c r="G210" s="1670">
        <f>SUM(G184,G185)</f>
        <v>682171</v>
      </c>
      <c r="H210" s="1670">
        <f>SUM(H184,H185,H196,H208,H209)</f>
        <v>723139</v>
      </c>
      <c r="I210" s="1670">
        <f>SUM(I184,I185)</f>
        <v>3240</v>
      </c>
      <c r="J210" s="1670">
        <f>SUM(J184,J185)</f>
        <v>0</v>
      </c>
      <c r="K210" s="1671">
        <f>SUM(K184,K185,K196,K208,K209)</f>
        <v>5915636</v>
      </c>
      <c r="L210" s="1670">
        <f>SUM(L184,L185,L196,L208,L209)</f>
        <v>5019746</v>
      </c>
    </row>
    <row r="211" spans="1:14" ht="13.5" thickTop="1" x14ac:dyDescent="0.2">
      <c r="A211" s="2171" t="s">
        <v>995</v>
      </c>
      <c r="B211" s="2172"/>
      <c r="C211" s="618"/>
      <c r="D211" s="618"/>
      <c r="E211" s="618"/>
      <c r="F211" s="618"/>
      <c r="G211" s="618"/>
      <c r="H211" s="618"/>
      <c r="I211" s="616"/>
      <c r="J211" s="616"/>
      <c r="K211" s="1684">
        <f>'Revenues 9-14'!F268-'Expenditures 15-22'!K210</f>
        <v>-980062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964</v>
      </c>
      <c r="B213" s="219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234205</v>
      </c>
      <c r="E215" s="616"/>
      <c r="F215" s="616"/>
      <c r="G215" s="616"/>
      <c r="H215" s="616"/>
      <c r="I215" s="616"/>
      <c r="J215" s="616"/>
      <c r="K215" s="1671">
        <f>D215</f>
        <v>234205</v>
      </c>
      <c r="L215" s="466">
        <v>233408</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330951</v>
      </c>
      <c r="E217" s="616"/>
      <c r="F217" s="616"/>
      <c r="G217" s="616"/>
      <c r="H217" s="616"/>
      <c r="I217" s="616"/>
      <c r="J217" s="616"/>
      <c r="K217" s="1671">
        <f t="shared" si="19"/>
        <v>330951</v>
      </c>
      <c r="L217" s="466">
        <v>307110</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9419</v>
      </c>
      <c r="E219" s="616"/>
      <c r="F219" s="616"/>
      <c r="G219" s="616"/>
      <c r="H219" s="616"/>
      <c r="I219" s="616"/>
      <c r="J219" s="616"/>
      <c r="K219" s="1671">
        <f t="shared" si="19"/>
        <v>9419</v>
      </c>
      <c r="L219" s="466">
        <v>9462</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217</v>
      </c>
      <c r="E222" s="616"/>
      <c r="F222" s="616"/>
      <c r="G222" s="616"/>
      <c r="H222" s="616"/>
      <c r="I222" s="616"/>
      <c r="J222" s="616"/>
      <c r="K222" s="1671">
        <f t="shared" si="19"/>
        <v>217</v>
      </c>
      <c r="L222" s="466"/>
    </row>
    <row r="223" spans="1:14" x14ac:dyDescent="0.2">
      <c r="A223" s="1504" t="s">
        <v>962</v>
      </c>
      <c r="B223" s="614">
        <v>1500</v>
      </c>
      <c r="C223" s="616"/>
      <c r="D223" s="466">
        <v>46886</v>
      </c>
      <c r="E223" s="616"/>
      <c r="F223" s="616"/>
      <c r="G223" s="616"/>
      <c r="H223" s="616"/>
      <c r="I223" s="616"/>
      <c r="J223" s="616"/>
      <c r="K223" s="1671">
        <f t="shared" si="19"/>
        <v>46886</v>
      </c>
      <c r="L223" s="466">
        <v>43107</v>
      </c>
    </row>
    <row r="224" spans="1:14" x14ac:dyDescent="0.2">
      <c r="A224" s="1504" t="s">
        <v>963</v>
      </c>
      <c r="B224" s="614">
        <v>1600</v>
      </c>
      <c r="C224" s="616"/>
      <c r="D224" s="466">
        <v>6269</v>
      </c>
      <c r="E224" s="616"/>
      <c r="F224" s="616"/>
      <c r="G224" s="616"/>
      <c r="H224" s="616"/>
      <c r="I224" s="616"/>
      <c r="J224" s="616"/>
      <c r="K224" s="1671">
        <f t="shared" si="19"/>
        <v>6269</v>
      </c>
      <c r="L224" s="466">
        <v>7149</v>
      </c>
    </row>
    <row r="225" spans="1:12" x14ac:dyDescent="0.2">
      <c r="A225" s="1504" t="s">
        <v>986</v>
      </c>
      <c r="B225" s="614">
        <v>1650</v>
      </c>
      <c r="C225" s="616"/>
      <c r="D225" s="466">
        <v>4543</v>
      </c>
      <c r="E225" s="616"/>
      <c r="F225" s="616"/>
      <c r="G225" s="616"/>
      <c r="H225" s="616"/>
      <c r="I225" s="616"/>
      <c r="J225" s="616"/>
      <c r="K225" s="1671">
        <f t="shared" si="19"/>
        <v>4543</v>
      </c>
      <c r="L225" s="466">
        <v>4521</v>
      </c>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v>79137</v>
      </c>
      <c r="E227" s="616"/>
      <c r="F227" s="616"/>
      <c r="G227" s="616"/>
      <c r="H227" s="616"/>
      <c r="I227" s="616"/>
      <c r="J227" s="616"/>
      <c r="K227" s="1671">
        <f t="shared" si="19"/>
        <v>79137</v>
      </c>
      <c r="L227" s="466">
        <v>76225</v>
      </c>
    </row>
    <row r="228" spans="1:12" x14ac:dyDescent="0.2">
      <c r="A228" s="1504" t="s">
        <v>1087</v>
      </c>
      <c r="B228" s="614">
        <v>1900</v>
      </c>
      <c r="C228" s="616"/>
      <c r="D228" s="466"/>
      <c r="E228" s="616"/>
      <c r="F228" s="616"/>
      <c r="G228" s="616"/>
      <c r="H228" s="616"/>
      <c r="I228" s="616"/>
      <c r="J228" s="616"/>
      <c r="K228" s="1671">
        <f t="shared" si="19"/>
        <v>0</v>
      </c>
      <c r="L228" s="466">
        <v>1052</v>
      </c>
    </row>
    <row r="229" spans="1:12" ht="12.75" customHeight="1" thickBot="1" x14ac:dyDescent="0.25">
      <c r="A229" s="1668" t="s">
        <v>714</v>
      </c>
      <c r="B229" s="1675" t="s">
        <v>569</v>
      </c>
      <c r="C229" s="616"/>
      <c r="D229" s="1670">
        <f>SUM(D215:D228)</f>
        <v>711627</v>
      </c>
      <c r="E229" s="616"/>
      <c r="F229" s="616"/>
      <c r="G229" s="616"/>
      <c r="H229" s="616"/>
      <c r="I229" s="616"/>
      <c r="J229" s="616"/>
      <c r="K229" s="1670">
        <f>SUM(K215:K228)</f>
        <v>711627</v>
      </c>
      <c r="L229" s="1670">
        <f>SUM(L215:L228)</f>
        <v>682034</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9208</v>
      </c>
      <c r="E232" s="616"/>
      <c r="F232" s="616"/>
      <c r="G232" s="616"/>
      <c r="H232" s="616"/>
      <c r="I232" s="616"/>
      <c r="J232" s="616"/>
      <c r="K232" s="1671">
        <f t="shared" ref="K232:K237" si="20">D232</f>
        <v>9208</v>
      </c>
      <c r="L232" s="466">
        <v>10514</v>
      </c>
    </row>
    <row r="233" spans="1:12" x14ac:dyDescent="0.2">
      <c r="A233" s="1504" t="s">
        <v>1089</v>
      </c>
      <c r="B233" s="614">
        <v>2120</v>
      </c>
      <c r="C233" s="616"/>
      <c r="D233" s="466">
        <v>15522</v>
      </c>
      <c r="E233" s="616"/>
      <c r="F233" s="616"/>
      <c r="G233" s="616"/>
      <c r="H233" s="616"/>
      <c r="I233" s="616"/>
      <c r="J233" s="616"/>
      <c r="K233" s="1671">
        <f t="shared" si="20"/>
        <v>15522</v>
      </c>
      <c r="L233" s="466">
        <v>16296</v>
      </c>
    </row>
    <row r="234" spans="1:12" x14ac:dyDescent="0.2">
      <c r="A234" s="1504" t="s">
        <v>198</v>
      </c>
      <c r="B234" s="614">
        <v>2130</v>
      </c>
      <c r="C234" s="616"/>
      <c r="D234" s="466">
        <v>47628</v>
      </c>
      <c r="E234" s="616"/>
      <c r="F234" s="616"/>
      <c r="G234" s="616"/>
      <c r="H234" s="616"/>
      <c r="I234" s="616"/>
      <c r="J234" s="616"/>
      <c r="K234" s="1671">
        <f t="shared" si="20"/>
        <v>47628</v>
      </c>
      <c r="L234" s="466">
        <v>59823</v>
      </c>
    </row>
    <row r="235" spans="1:12" x14ac:dyDescent="0.2">
      <c r="A235" s="1504" t="s">
        <v>199</v>
      </c>
      <c r="B235" s="614">
        <v>2140</v>
      </c>
      <c r="C235" s="616"/>
      <c r="D235" s="466">
        <v>7788</v>
      </c>
      <c r="E235" s="616"/>
      <c r="F235" s="616"/>
      <c r="G235" s="616"/>
      <c r="H235" s="616"/>
      <c r="I235" s="616"/>
      <c r="J235" s="616"/>
      <c r="K235" s="1671">
        <f t="shared" si="20"/>
        <v>7788</v>
      </c>
      <c r="L235" s="466">
        <v>9988</v>
      </c>
    </row>
    <row r="236" spans="1:12" x14ac:dyDescent="0.2">
      <c r="A236" s="1504" t="s">
        <v>200</v>
      </c>
      <c r="B236" s="614">
        <v>2150</v>
      </c>
      <c r="C236" s="616"/>
      <c r="D236" s="466">
        <v>9159</v>
      </c>
      <c r="E236" s="616"/>
      <c r="F236" s="616"/>
      <c r="G236" s="616"/>
      <c r="H236" s="616"/>
      <c r="I236" s="616"/>
      <c r="J236" s="616"/>
      <c r="K236" s="1671">
        <f t="shared" si="20"/>
        <v>9159</v>
      </c>
      <c r="L236" s="466">
        <v>8937</v>
      </c>
    </row>
    <row r="237" spans="1:12" x14ac:dyDescent="0.2">
      <c r="A237" s="1504" t="s">
        <v>165</v>
      </c>
      <c r="B237" s="614">
        <v>2190</v>
      </c>
      <c r="C237" s="616"/>
      <c r="D237" s="466">
        <v>67179</v>
      </c>
      <c r="E237" s="616"/>
      <c r="F237" s="616"/>
      <c r="G237" s="616"/>
      <c r="H237" s="616"/>
      <c r="I237" s="616"/>
      <c r="J237" s="616"/>
      <c r="K237" s="1671">
        <f t="shared" si="20"/>
        <v>67179</v>
      </c>
      <c r="L237" s="466">
        <v>84111</v>
      </c>
    </row>
    <row r="238" spans="1:12" ht="12.75" customHeight="1" thickBot="1" x14ac:dyDescent="0.25">
      <c r="A238" s="1668" t="s">
        <v>559</v>
      </c>
      <c r="B238" s="1675" t="s">
        <v>715</v>
      </c>
      <c r="C238" s="616"/>
      <c r="D238" s="1670">
        <f>SUM(D232:D237)</f>
        <v>156484</v>
      </c>
      <c r="E238" s="616"/>
      <c r="F238" s="616"/>
      <c r="G238" s="616"/>
      <c r="H238" s="616"/>
      <c r="I238" s="616"/>
      <c r="J238" s="616"/>
      <c r="K238" s="1670">
        <f>SUM(K232:K237)</f>
        <v>156484</v>
      </c>
      <c r="L238" s="1670">
        <f>SUM(L232:L237)</f>
        <v>189669</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41041</v>
      </c>
      <c r="E240" s="616"/>
      <c r="F240" s="616"/>
      <c r="G240" s="616"/>
      <c r="H240" s="616"/>
      <c r="I240" s="616"/>
      <c r="J240" s="616"/>
      <c r="K240" s="1672">
        <f>D240</f>
        <v>41041</v>
      </c>
      <c r="L240" s="481">
        <v>39954</v>
      </c>
    </row>
    <row r="241" spans="1:12" x14ac:dyDescent="0.2">
      <c r="A241" s="1504" t="s">
        <v>814</v>
      </c>
      <c r="B241" s="614">
        <v>2220</v>
      </c>
      <c r="C241" s="616"/>
      <c r="D241" s="466">
        <v>72377</v>
      </c>
      <c r="E241" s="616"/>
      <c r="F241" s="616"/>
      <c r="G241" s="616"/>
      <c r="H241" s="616"/>
      <c r="I241" s="616"/>
      <c r="J241" s="616"/>
      <c r="K241" s="1672">
        <f>D241</f>
        <v>72377</v>
      </c>
      <c r="L241" s="466">
        <v>74123</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113418</v>
      </c>
      <c r="E243" s="616"/>
      <c r="F243" s="616"/>
      <c r="G243" s="616"/>
      <c r="H243" s="616"/>
      <c r="I243" s="616"/>
      <c r="J243" s="616"/>
      <c r="K243" s="1670">
        <f>SUM(K240:K242)</f>
        <v>113418</v>
      </c>
      <c r="L243" s="1670">
        <f>SUM(L240:L242)</f>
        <v>114077</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36603</v>
      </c>
      <c r="E246" s="616"/>
      <c r="F246" s="616"/>
      <c r="G246" s="616"/>
      <c r="H246" s="616"/>
      <c r="I246" s="616"/>
      <c r="J246" s="616"/>
      <c r="K246" s="1672">
        <f t="shared" ref="K246:K256" si="21">D246</f>
        <v>36603</v>
      </c>
      <c r="L246" s="466">
        <v>39427</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36603</v>
      </c>
      <c r="E257" s="616"/>
      <c r="F257" s="616"/>
      <c r="G257" s="616"/>
      <c r="H257" s="616"/>
      <c r="I257" s="616"/>
      <c r="J257" s="616"/>
      <c r="K257" s="1670">
        <f>SUM(K245:K256)</f>
        <v>36603</v>
      </c>
      <c r="L257" s="1670">
        <f>SUM(L245:L256)</f>
        <v>39427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192792</v>
      </c>
      <c r="E259" s="616"/>
      <c r="F259" s="616"/>
      <c r="G259" s="616"/>
      <c r="H259" s="616"/>
      <c r="I259" s="616"/>
      <c r="J259" s="616"/>
      <c r="K259" s="1672">
        <f>D259</f>
        <v>192792</v>
      </c>
      <c r="L259" s="481">
        <v>198186</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192792</v>
      </c>
      <c r="E261" s="616"/>
      <c r="F261" s="616"/>
      <c r="G261" s="616"/>
      <c r="H261" s="616"/>
      <c r="I261" s="616"/>
      <c r="J261" s="616"/>
      <c r="K261" s="1670">
        <f>SUM(K259:K260)</f>
        <v>192792</v>
      </c>
      <c r="L261" s="1670">
        <f>SUM(L259:L260)</f>
        <v>198186</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49428</v>
      </c>
      <c r="E263" s="616"/>
      <c r="F263" s="616"/>
      <c r="G263" s="616"/>
      <c r="H263" s="616"/>
      <c r="I263" s="616"/>
      <c r="J263" s="616"/>
      <c r="K263" s="1672">
        <f>D263</f>
        <v>49428</v>
      </c>
      <c r="L263" s="481">
        <v>52570</v>
      </c>
    </row>
    <row r="264" spans="1:14" x14ac:dyDescent="0.2">
      <c r="A264" s="1504" t="s">
        <v>462</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425679</v>
      </c>
      <c r="E266" s="616"/>
      <c r="F266" s="616"/>
      <c r="G266" s="616"/>
      <c r="H266" s="616"/>
      <c r="I266" s="616"/>
      <c r="J266" s="616"/>
      <c r="K266" s="1672">
        <f t="shared" si="22"/>
        <v>425679</v>
      </c>
      <c r="L266" s="466">
        <v>454726</v>
      </c>
    </row>
    <row r="267" spans="1:14" x14ac:dyDescent="0.2">
      <c r="A267" s="1504" t="s">
        <v>952</v>
      </c>
      <c r="B267" s="614">
        <v>2550</v>
      </c>
      <c r="C267" s="616"/>
      <c r="D267" s="466">
        <v>550602</v>
      </c>
      <c r="E267" s="616"/>
      <c r="F267" s="616"/>
      <c r="G267" s="616"/>
      <c r="H267" s="616"/>
      <c r="I267" s="616"/>
      <c r="J267" s="616"/>
      <c r="K267" s="1672">
        <f t="shared" si="22"/>
        <v>550602</v>
      </c>
      <c r="L267" s="466">
        <v>558470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1025709</v>
      </c>
      <c r="E270" s="616"/>
      <c r="F270" s="616"/>
      <c r="G270" s="616"/>
      <c r="H270" s="616"/>
      <c r="I270" s="616"/>
      <c r="J270" s="616"/>
      <c r="K270" s="1670">
        <f>SUM(K263:K269)</f>
        <v>1025709</v>
      </c>
      <c r="L270" s="1670">
        <f>SUM(L263:L269)</f>
        <v>1065766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v>1909</v>
      </c>
      <c r="E275" s="616"/>
      <c r="F275" s="616"/>
      <c r="G275" s="616"/>
      <c r="H275" s="616"/>
      <c r="I275" s="616"/>
      <c r="J275" s="616"/>
      <c r="K275" s="1672">
        <f>D275</f>
        <v>1909</v>
      </c>
      <c r="L275" s="466">
        <v>2050</v>
      </c>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1909</v>
      </c>
      <c r="E277" s="616"/>
      <c r="F277" s="616"/>
      <c r="G277" s="616"/>
      <c r="H277" s="616"/>
      <c r="I277" s="616"/>
      <c r="J277" s="616"/>
      <c r="K277" s="1670">
        <f>SUM(K272:K276)</f>
        <v>1909</v>
      </c>
      <c r="L277" s="1670">
        <f>SUM(L272:L276)</f>
        <v>2050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1526915</v>
      </c>
      <c r="E279" s="616"/>
      <c r="F279" s="616"/>
      <c r="G279" s="616"/>
      <c r="H279" s="616"/>
      <c r="I279" s="616"/>
      <c r="J279" s="616"/>
      <c r="K279" s="1677">
        <f>SUM(K238,K243,K257,K261,K270,K277,K278)</f>
        <v>1526915</v>
      </c>
      <c r="L279" s="1677">
        <f>SUM(L238,L243,L257,L261,L270,L277,L278)</f>
        <v>1609175</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89" t="s">
        <v>504</v>
      </c>
      <c r="B295" s="2190"/>
      <c r="C295" s="616"/>
      <c r="D295" s="1670">
        <f>SUM(D229,D279,D280,D285)</f>
        <v>2238542</v>
      </c>
      <c r="E295" s="616"/>
      <c r="F295" s="616"/>
      <c r="G295" s="616"/>
      <c r="H295" s="1670">
        <f>H293</f>
        <v>0</v>
      </c>
      <c r="I295" s="616"/>
      <c r="J295" s="616"/>
      <c r="K295" s="1670">
        <f>SUM(K229,K279,K280,K285,K293,K294)</f>
        <v>2238542</v>
      </c>
      <c r="L295" s="1670">
        <f>SUM(L229,L279,L280,L285,L293,L294)</f>
        <v>2291209</v>
      </c>
    </row>
    <row r="296" spans="1:14" ht="13.5" thickTop="1" x14ac:dyDescent="0.2">
      <c r="A296" s="2171" t="s">
        <v>995</v>
      </c>
      <c r="B296" s="2172"/>
      <c r="C296" s="616"/>
      <c r="D296" s="618"/>
      <c r="E296" s="616"/>
      <c r="F296" s="616"/>
      <c r="G296" s="616"/>
      <c r="H296" s="687"/>
      <c r="I296" s="616"/>
      <c r="J296" s="616"/>
      <c r="K296" s="1684">
        <f>'Revenues 9-14'!G268-'Expenditures 15-22'!K295</f>
        <v>-42180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60420</v>
      </c>
      <c r="F301" s="466"/>
      <c r="G301" s="466">
        <v>1326974</v>
      </c>
      <c r="H301" s="466"/>
      <c r="I301" s="467"/>
      <c r="J301" s="467"/>
      <c r="K301" s="1671">
        <f>SUM(C301:J301)</f>
        <v>1387394</v>
      </c>
      <c r="L301" s="467">
        <v>1150000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60420</v>
      </c>
      <c r="F303" s="1677">
        <f t="shared" si="23"/>
        <v>0</v>
      </c>
      <c r="G303" s="1677">
        <f t="shared" si="23"/>
        <v>1326974</v>
      </c>
      <c r="H303" s="1677">
        <f t="shared" si="23"/>
        <v>0</v>
      </c>
      <c r="I303" s="1677">
        <f t="shared" si="23"/>
        <v>0</v>
      </c>
      <c r="J303" s="1677">
        <f t="shared" si="23"/>
        <v>0</v>
      </c>
      <c r="K303" s="1677">
        <f t="shared" si="23"/>
        <v>1387394</v>
      </c>
      <c r="L303" s="1677">
        <f t="shared" si="23"/>
        <v>1150000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86" t="s">
        <v>276</v>
      </c>
      <c r="B312" s="2187"/>
      <c r="C312" s="1670">
        <f>SUM(C303)</f>
        <v>0</v>
      </c>
      <c r="D312" s="1670">
        <f>SUM(D303)</f>
        <v>0</v>
      </c>
      <c r="E312" s="1670">
        <f>SUM(E303,E310)</f>
        <v>60420</v>
      </c>
      <c r="F312" s="1670">
        <f>SUM(F303)</f>
        <v>0</v>
      </c>
      <c r="G312" s="1670">
        <f>SUM(G303)</f>
        <v>1326974</v>
      </c>
      <c r="H312" s="1670">
        <f>SUM(H303,H310)</f>
        <v>0</v>
      </c>
      <c r="I312" s="1670">
        <f>SUM(I303)</f>
        <v>0</v>
      </c>
      <c r="J312" s="1670">
        <f>SUM(J303)</f>
        <v>0</v>
      </c>
      <c r="K312" s="1670">
        <f>SUM(K303,K310,K311)</f>
        <v>1387394</v>
      </c>
      <c r="L312" s="1670">
        <f>SUM(L303,L310,L311)</f>
        <v>1150000</v>
      </c>
      <c r="M312" s="665"/>
      <c r="N312" s="665"/>
    </row>
    <row r="313" spans="1:14" ht="13.5" thickTop="1" x14ac:dyDescent="0.2">
      <c r="A313" s="2182" t="s">
        <v>995</v>
      </c>
      <c r="B313" s="2183"/>
      <c r="C313" s="626"/>
      <c r="D313" s="626"/>
      <c r="E313" s="626"/>
      <c r="F313" s="626"/>
      <c r="G313" s="626"/>
      <c r="H313" s="626"/>
      <c r="I313" s="626"/>
      <c r="J313" s="626"/>
      <c r="K313" s="1685">
        <f>'Revenues 9-14'!H268-'Expenditures 15-22'!K312</f>
        <v>-1350055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897</v>
      </c>
      <c r="B317" s="219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v>585978</v>
      </c>
      <c r="F320" s="467"/>
      <c r="G320" s="467"/>
      <c r="H320" s="467"/>
      <c r="I320" s="467"/>
      <c r="J320" s="467"/>
      <c r="K320" s="1671">
        <f t="shared" ref="K320:K327" si="24">SUM(C320:J320)</f>
        <v>585978</v>
      </c>
      <c r="L320" s="467">
        <v>585978</v>
      </c>
      <c r="M320" s="665"/>
      <c r="N320" s="665"/>
    </row>
    <row r="321" spans="1:14" s="674" customFormat="1" x14ac:dyDescent="0.2">
      <c r="A321" s="1519" t="s">
        <v>299</v>
      </c>
      <c r="B321" s="697" t="s">
        <v>282</v>
      </c>
      <c r="C321" s="467"/>
      <c r="D321" s="467"/>
      <c r="E321" s="467">
        <v>13914</v>
      </c>
      <c r="F321" s="467"/>
      <c r="G321" s="467"/>
      <c r="H321" s="467"/>
      <c r="I321" s="467"/>
      <c r="J321" s="467"/>
      <c r="K321" s="1671">
        <f t="shared" si="24"/>
        <v>13914</v>
      </c>
      <c r="L321" s="467">
        <v>8677</v>
      </c>
      <c r="M321" s="665"/>
      <c r="N321" s="665"/>
    </row>
    <row r="322" spans="1:14" s="674" customFormat="1" x14ac:dyDescent="0.2">
      <c r="A322" s="1519" t="s">
        <v>238</v>
      </c>
      <c r="B322" s="697" t="s">
        <v>283</v>
      </c>
      <c r="C322" s="467"/>
      <c r="D322" s="467"/>
      <c r="E322" s="467">
        <v>226016</v>
      </c>
      <c r="F322" s="467"/>
      <c r="G322" s="467"/>
      <c r="H322" s="467"/>
      <c r="I322" s="467"/>
      <c r="J322" s="467"/>
      <c r="K322" s="1671">
        <f t="shared" si="24"/>
        <v>226016</v>
      </c>
      <c r="L322" s="467">
        <v>224778</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v>17500</v>
      </c>
      <c r="F324" s="467"/>
      <c r="G324" s="467"/>
      <c r="H324" s="467"/>
      <c r="I324" s="467"/>
      <c r="J324" s="467"/>
      <c r="K324" s="1671">
        <f t="shared" si="24"/>
        <v>17500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9000</v>
      </c>
      <c r="F327" s="467"/>
      <c r="G327" s="467"/>
      <c r="H327" s="467"/>
      <c r="I327" s="467"/>
      <c r="J327" s="467"/>
      <c r="K327" s="1671">
        <f t="shared" si="24"/>
        <v>9000</v>
      </c>
      <c r="L327" s="467">
        <v>9000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852408</v>
      </c>
      <c r="F330" s="1670">
        <f t="shared" si="25"/>
        <v>0</v>
      </c>
      <c r="G330" s="1670">
        <f t="shared" si="25"/>
        <v>0</v>
      </c>
      <c r="H330" s="1670">
        <f t="shared" si="25"/>
        <v>0</v>
      </c>
      <c r="I330" s="1670">
        <f t="shared" si="25"/>
        <v>0</v>
      </c>
      <c r="J330" s="1670">
        <f t="shared" si="25"/>
        <v>0</v>
      </c>
      <c r="K330" s="1670">
        <f>SUM(K319:K329)</f>
        <v>852408</v>
      </c>
      <c r="L330" s="1670">
        <f>SUM(L319:L329)</f>
        <v>828433</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852408</v>
      </c>
      <c r="F342" s="1670">
        <f>SUM(F330)</f>
        <v>0</v>
      </c>
      <c r="G342" s="1670">
        <f>SUM(G330)</f>
        <v>0</v>
      </c>
      <c r="H342" s="1670">
        <f>SUM(H330,H334,H340)</f>
        <v>0</v>
      </c>
      <c r="I342" s="1670">
        <f>SUM(I330)</f>
        <v>0</v>
      </c>
      <c r="J342" s="1670">
        <f>SUM(J330)</f>
        <v>0</v>
      </c>
      <c r="K342" s="1670">
        <f>SUM(K330,K334,K340)</f>
        <v>852408</v>
      </c>
      <c r="L342" s="1677">
        <f>SUM(L330,L334,L340,L341)</f>
        <v>828433</v>
      </c>
    </row>
    <row r="343" spans="1:14" ht="12.75" customHeight="1" thickTop="1" x14ac:dyDescent="0.2">
      <c r="A343" s="2184" t="s">
        <v>995</v>
      </c>
      <c r="B343" s="2185"/>
      <c r="C343" s="616"/>
      <c r="D343" s="616"/>
      <c r="E343" s="616"/>
      <c r="F343" s="616"/>
      <c r="G343" s="616"/>
      <c r="H343" s="616"/>
      <c r="I343" s="616"/>
      <c r="J343" s="616"/>
      <c r="K343" s="1684">
        <f>'Revenues 9-14'!J268-'Expenditures 15-22'!K342</f>
        <v>-3737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965</v>
      </c>
      <c r="B345" s="217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1" t="s">
        <v>995</v>
      </c>
      <c r="B368" s="2172"/>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2019-10-11T22:11:25Z</cp:lastPrinted>
  <dcterms:created xsi:type="dcterms:W3CDTF">2003-10-29T19:06:34Z</dcterms:created>
  <dcterms:modified xsi:type="dcterms:W3CDTF">2019-12-02T21:29:47Z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