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4240" windowHeight="13140" tabRatio="92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4" r:id="rId28"/>
    <sheet name=" SEFA(2)" sheetId="179" r:id="rId29"/>
    <sheet name=" SEFA(3)" sheetId="185"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SEFA(2)'!$B$1:$M$46</definedName>
    <definedName name="_xlnm.Print_Area" localSheetId="29">' SEFA(3)'!$B$1:$M$46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 i="108" l="1"/>
  <c r="F63" i="29"/>
  <c r="I16" i="185"/>
  <c r="F16" i="185"/>
  <c r="L13" i="185"/>
  <c r="L14" i="185"/>
  <c r="B4" i="185"/>
  <c r="I24" i="179"/>
  <c r="F24" i="179"/>
  <c r="I11" i="179"/>
  <c r="F11" i="179"/>
  <c r="L27" i="184"/>
  <c r="L26" i="184"/>
  <c r="L25" i="184"/>
  <c r="L24" i="184"/>
  <c r="L21" i="184"/>
  <c r="L19" i="184"/>
  <c r="L18" i="184"/>
  <c r="L17" i="184"/>
  <c r="L15" i="184"/>
  <c r="L14" i="184"/>
  <c r="L13" i="184"/>
  <c r="B4" i="184"/>
  <c r="F18" i="185" l="1"/>
  <c r="I18" i="185"/>
  <c r="H171"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2" i="179" l="1"/>
  <c r="L21" i="179"/>
  <c r="L20" i="179"/>
  <c r="L19" i="179"/>
  <c r="L18" i="179"/>
  <c r="L17" i="179"/>
  <c r="L16" i="179"/>
  <c r="L15"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2" i="179"/>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F27" i="108"/>
  <c r="G27" i="108"/>
  <c r="F31" i="108"/>
  <c r="F36" i="108"/>
  <c r="G28" i="108"/>
  <c r="D31" i="108"/>
  <c r="D36" i="108"/>
  <c r="E31" i="108"/>
  <c r="G31"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D6103" i="106" l="1"/>
  <c r="H28" i="118"/>
  <c r="J352" i="29"/>
  <c r="J367" i="29" s="1"/>
  <c r="B7245" i="106" s="1"/>
  <c r="D7245" i="106" s="1"/>
  <c r="L367" i="29"/>
  <c r="D54" i="36"/>
  <c r="G39" i="108"/>
  <c r="E34" i="108"/>
  <c r="B3647" i="106"/>
  <c r="D3647" i="106" s="1"/>
  <c r="F52" i="34"/>
  <c r="H365" i="29"/>
  <c r="B7242" i="106" s="1"/>
  <c r="D7242" i="106" s="1"/>
  <c r="B6289" i="106"/>
  <c r="D6289" i="106" s="1"/>
  <c r="H76" i="4"/>
  <c r="B3298" i="106" s="1"/>
  <c r="D3298" i="106" s="1"/>
  <c r="I210" i="29"/>
  <c r="B7071" i="106" s="1"/>
  <c r="D7071" i="106" s="1"/>
  <c r="J77" i="4"/>
  <c r="B6262" i="106" s="1"/>
  <c r="D6262" i="106" s="1"/>
  <c r="K76" i="4"/>
  <c r="B3586" i="106" s="1"/>
  <c r="D3586" i="106" s="1"/>
  <c r="J210" i="29"/>
  <c r="B7072" i="106" s="1"/>
  <c r="D7072" i="106" s="1"/>
  <c r="C352" i="29"/>
  <c r="B3621" i="106" s="1"/>
  <c r="D3621" i="106" s="1"/>
  <c r="E33" i="108"/>
  <c r="F28" i="108"/>
  <c r="J22" i="37"/>
  <c r="J41" i="3"/>
  <c r="B6216" i="106" s="1"/>
  <c r="D6216" i="106" s="1"/>
  <c r="L13" i="11"/>
  <c r="B2060" i="106" s="1"/>
  <c r="D2060" i="106" s="1"/>
  <c r="D68" i="36"/>
  <c r="D69" i="36"/>
  <c r="F67" i="34"/>
  <c r="G210" i="29"/>
  <c r="F77" i="4"/>
  <c r="B3255" i="106" s="1"/>
  <c r="D3255" i="106" s="1"/>
  <c r="L5" i="11"/>
  <c r="B2056" i="106" s="1"/>
  <c r="D2056" i="106" s="1"/>
  <c r="C342" i="29"/>
  <c r="B7216" i="106" s="1"/>
  <c r="D7216" i="106" s="1"/>
  <c r="K184" i="29"/>
  <c r="F13" i="4" s="1"/>
  <c r="B2596" i="106" s="1"/>
  <c r="D2596" i="106" s="1"/>
  <c r="G29" i="108"/>
  <c r="B2724" i="106"/>
  <c r="D2724" i="106" s="1"/>
  <c r="F38" i="34"/>
  <c r="F34" i="34"/>
  <c r="F19" i="7"/>
  <c r="B1807" i="106" s="1"/>
  <c r="D1807" i="106" s="1"/>
  <c r="F71" i="34"/>
  <c r="E29" i="108"/>
  <c r="C129" i="29"/>
  <c r="C151" i="29" s="1"/>
  <c r="B1226" i="106" s="1"/>
  <c r="D1226" i="106" s="1"/>
  <c r="B6995" i="106"/>
  <c r="D6995" i="106" s="1"/>
  <c r="G30"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4" i="106"/>
  <c r="K77" i="4"/>
  <c r="B3587" i="106" s="1"/>
  <c r="D3587" i="106" s="1"/>
  <c r="C367" i="29"/>
  <c r="B3622" i="106" s="1"/>
  <c r="D3622" i="106" s="1"/>
  <c r="B1328" i="106"/>
  <c r="D1328" i="106" s="1"/>
  <c r="B5778" i="106"/>
  <c r="D5778" i="106" s="1"/>
  <c r="G6" i="4"/>
  <c r="B2604" i="106" s="1"/>
  <c r="D2604" i="106" s="1"/>
  <c r="B5770" i="106"/>
  <c r="D5770" i="106" s="1"/>
  <c r="K365" i="29"/>
  <c r="D51" i="36"/>
  <c r="B1365" i="106"/>
  <c r="D1365" i="106" s="1"/>
  <c r="F65" i="34"/>
  <c r="F41" i="108"/>
  <c r="G43" i="108" s="1"/>
  <c r="N23" i="3"/>
  <c r="B284" i="106" s="1"/>
  <c r="D284" i="106" s="1"/>
  <c r="L114" i="29"/>
  <c r="B1266" i="106"/>
  <c r="D1266" i="106" s="1"/>
  <c r="B1225" i="106"/>
  <c r="D1225" i="106" s="1"/>
  <c r="L16" i="11"/>
  <c r="B2061" i="106" s="1"/>
  <c r="D2061" i="106" s="1"/>
  <c r="K342" i="29"/>
  <c r="F13" i="34" s="1"/>
  <c r="D41" i="108"/>
  <c r="E43" i="108" s="1"/>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7" i="106"/>
  <c r="D6227" i="106" s="1"/>
  <c r="J20" i="4"/>
  <c r="B6230" i="106" s="1"/>
  <c r="D6230" i="106" s="1"/>
  <c r="B6223" i="106"/>
  <c r="D6223" i="106" s="1"/>
  <c r="J10" i="4"/>
  <c r="B6225" i="106" s="1"/>
  <c r="D6225" i="106" s="1"/>
  <c r="F8" i="4"/>
  <c r="F10" i="4" s="1"/>
  <c r="B4125" i="106" s="1"/>
  <c r="D4125" i="106" s="1"/>
  <c r="F76" i="34"/>
  <c r="D8" i="4"/>
  <c r="C8" i="146" s="1"/>
  <c r="D10" i="171"/>
  <c r="D1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D8" i="146"/>
  <c r="J78" i="4"/>
  <c r="J81" i="4" s="1"/>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F175" i="34"/>
  <c r="F79" i="34"/>
  <c r="D10" i="146"/>
  <c r="B6263" i="106"/>
  <c r="D6263" i="106" s="1"/>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<sst xmlns="http://schemas.openxmlformats.org/spreadsheetml/2006/main" count="5268" uniqueCount="2152">
  <si>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</si>
  <si>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</si>
  <si>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</si>
  <si>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</si>
  <si>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</si>
  <si>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</si>
  <si>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</si>
  <si>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</si>
  <si>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</si>
  <si>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</si>
  <si>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</si>
  <si>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</si>
  <si>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</si>
  <si>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</si>
  <si>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</si>
  <si>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</si>
  <si>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</si>
  <si>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</si>
  <si>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</si>
  <si>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</si>
  <si>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</si>
  <si>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</si>
  <si>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</si>
  <si>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</si>
  <si>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</si>
  <si>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</si>
  <si>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</si>
  <si>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</si>
  <si>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</si>
  <si>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</si>
  <si>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</si>
  <si>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</si>
  <si>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</si>
  <si>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</si>
  <si>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</si>
  <si>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</si>
  <si>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</si>
  <si>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</si>
  <si>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</si>
  <si>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</si>
  <si>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</si>
  <si>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</si>
  <si>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</si>
  <si>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</si>
  <si>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</si>
  <si>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</si>
  <si>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</si>
  <si>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</si>
  <si>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</si>
  <si>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</si>
  <si>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</si>
  <si>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</si>
  <si>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</si>
  <si>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</si>
  <si>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</si>
  <si>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</si>
  <si>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</si>
  <si>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</si>
  <si>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</si>
  <si>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</si>
  <si>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</si>
  <si>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</si>
  <si>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</si>
  <si>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</si>
  <si>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</si>
  <si>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</si>
  <si>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</si>
  <si>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</si>
  <si>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</si>
  <si>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</si>
  <si>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</si>
  <si>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</si>
  <si>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</si>
  <si>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</si>
  <si>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</si>
  <si>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</si>
  <si>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</si>
  <si>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</si>
  <si>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</si>
  <si>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</si>
  <si>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</si>
  <si>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</si>
  <si>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</si>
  <si>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</si>
  <si>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</si>
  <si>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</si>
  <si>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</si>
  <si>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</si>
  <si>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</si>
  <si>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</si>
  <si>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</si>
  <si>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</si>
  <si>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</si>
  <si>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</si>
  <si>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</si>
  <si>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</si>
  <si>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</si>
  <si>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</si>
  <si>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</si>
  <si>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</si>
  <si>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</si>
  <si>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</si>
  <si>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</si>
  <si>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</si>
  <si>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</si>
  <si>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</si>
  <si>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</si>
  <si>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</si>
  <si>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</si>
  <si>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</si>
  <si>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</si>
  <si>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</si>
  <si>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</si>
  <si>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</si>
  <si>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</si>
  <si>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</si>
  <si>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</si>
  <si>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</si>
  <si>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</si>
  <si>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</si>
  <si>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</si>
  <si>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</si>
  <si>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</si>
  <si>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</si>
  <si>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</si>
  <si>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</si>
  <si>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</si>
  <si>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</si>
  <si>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</si>
  <si>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</si>
  <si>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</si>
  <si>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</si>
  <si>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</si>
  <si>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</si>
  <si>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</si>
  <si>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</si>
  <si>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</si>
  <si>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</si>
  <si>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</si>
  <si>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</si>
  <si>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</si>
  <si>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</si>
  <si>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</si>
  <si>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</si>
  <si>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</si>
  <si>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</si>
  <si>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</si>
  <si>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</si>
  <si>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</si>
  <si>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</si>
  <si>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</si>
  <si>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</si>
  <si>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</si>
  <si>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</si>
  <si>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</si>
  <si>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</si>
  <si>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</si>
  <si>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</si>
  <si>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</si>
  <si>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</si>
  <si>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</si>
  <si>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</si>
  <si>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</si>
  <si>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</si>
  <si>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</si>
  <si>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</si>
  <si>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</si>
  <si>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</si>
  <si>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</si>
  <si>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</si>
  <si>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</si>
  <si>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</si>
  <si>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</si>
  <si>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</si>
  <si>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</si>
  <si>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</si>
  <si>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</si>
  <si>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</si>
  <si>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</si>
  <si>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</si>
  <si>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</si>
  <si>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</si>
  <si>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</si>
  <si>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</si>
  <si>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</si>
  <si>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</si>
  <si>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</si>
  <si>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</si>
  <si>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</si>
  <si>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</si>
  <si>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</si>
  <si>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</si>
  <si>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</si>
  <si>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</si>
  <si>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</si>
  <si>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</si>
  <si>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</si>
  <si>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</si>
  <si>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</si>
  <si>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</si>
  <si>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</si>
  <si>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</si>
  <si>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</si>
  <si>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</si>
  <si>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</si>
  <si>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</si>
  <si>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</si>
  <si>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</si>
  <si>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</si>
  <si>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</si>
  <si>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</si>
  <si>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</si>
  <si>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</si>
  <si>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</si>
  <si>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</si>
  <si>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</si>
  <si>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</si>
  <si>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</si>
  <si>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</si>
  <si>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</si>
  <si>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</si>
  <si>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</si>
  <si>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</si>
  <si>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</si>
  <si>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</si>
  <si>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</si>
  <si>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</si>
  <si>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</si>
  <si>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</si>
  <si>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</si>
  <si>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</si>
  <si>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</si>
  <si>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</si>
  <si>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</si>
  <si>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</si>
  <si>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</si>
  <si>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</si>
  <si>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</si>
  <si>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</si>
  <si>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</si>
  <si>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</si>
  <si>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</si>
  <si>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</si>
  <si>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</si>
  <si>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</si>
  <si>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</si>
  <si>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</si>
  <si>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</si>
  <si>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</si>
  <si>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</si>
  <si>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</si>
  <si>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</si>
  <si>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</si>
  <si>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</si>
  <si>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</si>
  <si>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</si>
  <si>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</si>
  <si>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</si>
  <si>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</si>
  <si>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</si>
  <si>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</si>
  <si>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</si>
  <si>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</si>
  <si>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</si>
  <si>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</si>
  <si>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</si>
  <si>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</si>
  <si>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</si>
  <si>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</si>
  <si>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</si>
  <si>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</si>
  <si>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</si>
  <si>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</si>
  <si>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</si>
  <si>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</si>
  <si>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</si>
  <si>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</si>
  <si>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</si>
  <si>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</si>
  <si>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</si>
  <si>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</si>
  <si>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</si>
  <si>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</si>
  <si>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</si>
  <si>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</si>
  <si>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</si>
  <si>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</si>
  <si>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</si>
  <si>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</si>
  <si>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</si>
  <si>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</si>
  <si>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</si>
  <si>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</si>
  <si>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</si>
  <si>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</si>
  <si>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</si>
  <si>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</si>
  <si>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</si>
  <si>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</si>
  <si>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</si>
  <si>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</si>
  <si>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</si>
  <si>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</si>
  <si>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</si>
  <si>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</si>
  <si>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</si>
  <si>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</si>
  <si>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</si>
  <si>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</si>
  <si>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</si>
  <si>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</si>
  <si>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</si>
  <si>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</si>
  <si>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</si>
  <si>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</si>
  <si>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</si>
  <si>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</si>
  <si>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</si>
  <si>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</si>
  <si>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</si>
  <si>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</si>
  <si>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</si>
  <si>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</si>
  <si>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</si>
  <si>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</si>
  <si>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</si>
  <si>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</si>
  <si>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</si>
  <si>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</si>
  <si>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</si>
  <si>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</si>
  <si>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</si>
  <si>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</si>
  <si>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</si>
  <si>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</si>
  <si>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</si>
  <si>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</si>
  <si>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</si>
  <si>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</si>
  <si>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</si>
  <si>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</si>
  <si>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</si>
  <si>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</si>
  <si>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</si>
  <si>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</si>
  <si>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</si>
  <si>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</si>
  <si>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</si>
  <si>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</si>
  <si>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</si>
  <si>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</si>
  <si>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</si>
  <si>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</si>
  <si>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</si>
  <si>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</si>
  <si>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</si>
  <si>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</si>
  <si>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</si>
  <si>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</si>
  <si>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</si>
  <si>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</si>
  <si>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</si>
  <si>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</si>
  <si>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</si>
  <si>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</si>
  <si>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</si>
  <si>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</si>
  <si>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</si>
  <si>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</si>
  <si>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</si>
  <si>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</si>
  <si>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</si>
  <si>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</si>
  <si>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</si>
  <si>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</si>
  <si>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</si>
  <si>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</si>
  <si>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</si>
  <si>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</si>
  <si>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</si>
  <si>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</si>
  <si>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</si>
  <si>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</si>
  <si>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</si>
  <si>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</si>
  <si>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</si>
  <si>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</si>
  <si>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</si>
  <si>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</si>
  <si>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</si>
  <si>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</si>
  <si>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</si>
  <si>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</si>
  <si>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</si>
  <si>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</si>
  <si>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</si>
  <si>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</si>
  <si>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</si>
  <si>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</si>
  <si>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</si>
  <si>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</si>
  <si>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</si>
  <si>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</si>
  <si>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</si>
  <si>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</si>
  <si>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</si>
  <si>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</si>
  <si>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</si>
  <si>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</si>
  <si>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</si>
  <si>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</si>
  <si>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</si>
  <si>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</si>
  <si>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</si>
  <si>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</si>
  <si>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</si>
  <si>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</si>
  <si>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</si>
  <si>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</si>
  <si>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</si>
  <si>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</si>
  <si>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</si>
  <si>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</si>
  <si>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</si>
  <si>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</si>
  <si>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</si>
  <si>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</si>
  <si>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</si>
  <si>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</si>
  <si>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</si>
  <si>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</si>
  <si>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</si>
  <si>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</si>
  <si>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</si>
  <si>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</si>
  <si>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</si>
  <si>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</si>
  <si>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</si>
  <si>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</si>
  <si>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</si>
  <si>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</si>
  <si>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</si>
  <si>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</si>
  <si>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</si>
  <si>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</si>
  <si>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</si>
  <si>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</si>
  <si>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</si>
  <si>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</si>
  <si>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</si>
  <si>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</si>
  <si>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</si>
  <si>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</si>
  <si>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</si>
  <si>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</si>
  <si>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</si>
  <si>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</si>
  <si>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</si>
  <si>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</si>
  <si>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</si>
  <si>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</si>
  <si>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</si>
  <si>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</si>
  <si>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</si>
  <si>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</si>
  <si>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</si>
  <si>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</si>
  <si>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</si>
  <si>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</si>
  <si>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</si>
  <si>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</si>
  <si>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</si>
  <si>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</si>
  <si>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</si>
  <si>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</si>
  <si>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</si>
  <si>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</si>
  <si>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</si>
  <si>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</si>
  <si>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</si>
  <si>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</si>
  <si>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</si>
  <si>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</si>
  <si>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</si>
  <si>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</si>
  <si>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</si>
  <si>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</si>
  <si>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</si>
  <si>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</si>
  <si>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</si>
  <si>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</si>
  <si>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</si>
  <si>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</si>
  <si>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</si>
  <si>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</si>
  <si>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</si>
  <si>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</si>
  <si>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</si>
  <si>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</si>
  <si>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</si>
  <si>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</si>
  <si>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</si>
  <si>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</si>
  <si>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</si>
  <si>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</si>
  <si>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</si>
  <si>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</si>
  <si>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</si>
  <si>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</si>
  <si>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</si>
  <si>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</si>
  <si>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</si>
  <si>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</si>
  <si>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</si>
  <si>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</si>
  <si>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</si>
  <si>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</si>
  <si>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</si>
  <si>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</si>
  <si>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</si>
  <si>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</si>
  <si>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</si>
  <si>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</si>
  <si>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</si>
  <si>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</si>
  <si>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</si>
  <si>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</si>
  <si>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</si>
  <si>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</si>
  <si>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</si>
  <si>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</si>
  <si>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</si>
  <si>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</si>
  <si>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</si>
  <si>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</si>
  <si>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</si>
  <si>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</si>
  <si>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</si>
  <si>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</si>
  <si>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</si>
  <si>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</si>
  <si>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</si>
  <si>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</si>
  <si>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</si>
  <si>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</si>
  <si>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</si>
  <si>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</si>
  <si>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</si>
  <si>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</si>
  <si>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</si>
  <si>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</si>
  <si>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</si>
  <si>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</si>
  <si>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</si>
  <si>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</si>
  <si>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</si>
  <si>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</si>
  <si>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</si>
  <si>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</si>
  <si>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</si>
  <si>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</si>
  <si>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</si>
  <si>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</si>
  <si>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</si>
  <si>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</si>
  <si>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</si>
  <si>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</si>
  <si>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</si>
  <si>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</si>
  <si>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</si>
  <si>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</si>
  <si>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</si>
  <si>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</si>
  <si>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</si>
  <si>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</si>
  <si>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</si>
  <si>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</si>
  <si>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</si>
  <si>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</si>
  <si>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</si>
  <si>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</si>
  <si>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</si>
  <si>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</si>
  <si>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</si>
  <si>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</si>
  <si>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</si>
  <si>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</si>
  <si>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</si>
  <si>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</si>
  <si>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</si>
  <si>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</si>
  <si>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</si>
  <si>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</si>
  <si>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</si>
  <si>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</si>
  <si>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</si>
  <si>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</si>
  <si>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</si>
  <si>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</si>
  <si>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</si>
  <si>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</si>
  <si>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</si>
  <si>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</si>
  <si>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</si>
  <si>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</si>
  <si>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</si>
  <si>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</si>
  <si>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</si>
  <si>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</si>
  <si>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</si>
  <si>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</si>
  <si>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</si>
  <si>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</si>
  <si>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</si>
  <si>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</si>
  <si>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</si>
  <si>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</si>
  <si>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</si>
  <si>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</si>
  <si>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</si>
  <si>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</si>
  <si>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</si>
  <si>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</si>
  <si>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</si>
  <si>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</si>
  <si>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</si>
  <si>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</si>
  <si>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</si>
  <si>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</si>
  <si>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</si>
  <si>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</si>
  <si>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</si>
  <si>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</si>
  <si>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</si>
  <si>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</si>
  <si>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</si>
  <si>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</si>
  <si>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</si>
  <si>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</si>
  <si>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</si>
  <si>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</si>
  <si>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</si>
  <si>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</si>
  <si>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</si>
  <si>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</si>
  <si>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</si>
  <si>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</si>
  <si>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</si>
  <si>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</si>
  <si>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</si>
  <si>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</si>
  <si>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</si>
  <si>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</si>
  <si>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</si>
  <si>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</si>
  <si>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</si>
  <si>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</si>
  <si>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</si>
  <si>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</si>
  <si>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</si>
  <si>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</si>
  <si>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</si>
  <si>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</si>
  <si>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</si>
  <si>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</si>
  <si>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</si>
  <si>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</si>
  <si>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</si>
  <si>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</si>
  <si>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</si>
  <si>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</si>
  <si>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</si>
  <si>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</si>
  <si>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</si>
  <si>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</si>
  <si>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</si>
  <si>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</si>
  <si>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</si>
  <si>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</si>
  <si>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</si>
  <si>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</si>
  <si>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</si>
  <si>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</si>
  <si>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</si>
  <si>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</si>
  <si>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</si>
  <si>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</si>
  <si>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</si>
  <si>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</si>
  <si>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</si>
  <si>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</si>
  <si>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</si>
  <si>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</si>
  <si>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</si>
  <si>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</si>
  <si>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</si>
  <si>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</si>
  <si>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</si>
  <si>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</si>
  <si>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</si>
  <si>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</si>
  <si>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</si>
  <si>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</si>
  <si>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</si>
  <si>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</si>
  <si>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</si>
  <si>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</si>
  <si>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</si>
  <si>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</si>
  <si>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</si>
  <si>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</si>
  <si>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</si>
  <si>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</si>
  <si>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</si>
  <si>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</si>
  <si>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</si>
  <si>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</si>
  <si>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</si>
  <si>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</si>
  <si>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</si>
  <si>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</si>
  <si>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</si>
  <si>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</si>
  <si>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</si>
  <si>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</si>
  <si>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</si>
  <si>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</si>
  <si>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</si>
  <si>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</si>
  <si>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</si>
  <si>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</si>
  <si>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</si>
  <si>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</si>
  <si>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</si>
  <si>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</si>
  <si>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</si>
  <si>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</si>
  <si>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</si>
  <si>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</si>
  <si>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</si>
  <si>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</si>
  <si>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</si>
  <si>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</si>
  <si>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</si>
  <si>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</si>
  <si>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</si>
  <si>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</si>
  <si>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</si>
  <si>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</si>
  <si>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</si>
  <si>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</si>
  <si>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</si>
  <si>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</si>
  <si>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</si>
  <si>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</si>
  <si>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</si>
  <si>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</si>
  <si>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</si>
  <si>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</si>
  <si>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</si>
  <si>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</si>
  <si>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</si>
  <si>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</si>
  <si>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</si>
  <si>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</si>
  <si>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</si>
  <si>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</si>
  <si>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</si>
  <si>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</si>
  <si>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</si>
  <si>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</si>
  <si>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</si>
  <si>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</si>
  <si>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</si>
  <si>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</si>
  <si>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</si>
  <si>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</si>
  <si>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</si>
  <si>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</si>
  <si>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</si>
  <si>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</si>
  <si>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</si>
  <si>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</si>
  <si>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</si>
  <si>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</si>
  <si>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</si>
  <si>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</si>
  <si>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</si>
  <si>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</si>
  <si>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</si>
  <si>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</si>
  <si>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</si>
  <si>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</si>
  <si>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</si>
  <si>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</si>
  <si>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</si>
  <si>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</si>
  <si>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</si>
  <si>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</si>
  <si>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</si>
  <si>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</si>
  <si>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</si>
  <si>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</si>
  <si>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</si>
  <si>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</si>
  <si>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</si>
  <si>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</si>
  <si>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</si>
  <si>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</si>
  <si>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</si>
  <si>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</si>
  <si>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</si>
  <si>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</si>
  <si>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</si>
  <si>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</si>
  <si>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</si>
  <si>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</si>
  <si>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</si>
  <si>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</si>
  <si>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</si>
  <si>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</si>
  <si>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</si>
  <si>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</si>
  <si>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</si>
  <si>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</si>
  <si>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</si>
  <si>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</si>
  <si>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</si>
  <si>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</si>
  <si>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</si>
  <si>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</si>
  <si>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</si>
  <si>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</si>
  <si>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</si>
  <si>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</si>
  <si>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</si>
  <si>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</si>
  <si>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</si>
  <si>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</si>
  <si>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</si>
  <si>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</si>
  <si>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</si>
  <si>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</si>
  <si>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</si>
  <si>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</si>
  <si>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</si>
  <si>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</si>
  <si>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</si>
  <si>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</si>
  <si>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</si>
  <si>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</si>
  <si>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</si>
  <si>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</si>
  <si>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</si>
  <si>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</si>
  <si>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</si>
  <si>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</si>
  <si>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</si>
  <si>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</si>
  <si>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</si>
  <si>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</si>
  <si>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</si>
  <si>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</si>
  <si>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</si>
  <si>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</si>
  <si>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</si>
  <si>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</si>
  <si>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</si>
  <si>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</si>
  <si>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</si>
  <si>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</si>
  <si>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</si>
  <si>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</si>
  <si>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</si>
  <si>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</si>
  <si>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</si>
  <si>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</si>
  <si>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</si>
  <si>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</si>
  <si>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</si>
  <si>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</si>
  <si>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</si>
  <si>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</si>
  <si>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</si>
  <si>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</si>
  <si>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</si>
  <si>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</si>
  <si>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</si>
  <si>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</si>
  <si>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</si>
  <si>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</si>
  <si>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</si>
  <si>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</si>
  <si>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</si>
  <si>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</si>
  <si>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</si>
  <si>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</si>
  <si>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</si>
  <si>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</si>
  <si>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</si>
  <si>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</si>
  <si>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</si>
  <si>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</si>
  <si>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</si>
  <si>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</si>
  <si>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</si>
  <si>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</si>
  <si>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</si>
  <si>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</si>
  <si>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</si>
  <si>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</si>
  <si>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</si>
  <si>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</si>
  <si>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</si>
  <si>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</si>
  <si>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</si>
  <si>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</si>
  <si>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</si>
  <si>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</si>
  <si>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</si>
  <si>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</si>
  <si>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</si>
  <si>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</si>
  <si>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</si>
  <si>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</si>
  <si>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</si>
  <si>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</si>
  <si>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</si>
  <si>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</si>
  <si>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</si>
  <si>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</si>
  <si>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</si>
  <si>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</si>
  <si>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</si>
  <si>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</si>
  <si>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</si>
  <si>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</si>
  <si>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</si>
  <si>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</si>
  <si>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</si>
  <si>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</si>
  <si>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</si>
  <si>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</si>
  <si>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</si>
  <si>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</si>
  <si>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</si>
  <si>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</si>
  <si>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</si>
  <si>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</si>
  <si>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</si>
  <si>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</si>
  <si>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</si>
  <si>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</si>
  <si>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</si>
  <si>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</si>
  <si>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</si>
  <si>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</si>
  <si>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</si>
  <si>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</si>
  <si>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</si>
  <si>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</si>
  <si>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</si>
  <si>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</si>
  <si>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</si>
  <si>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</si>
  <si>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</si>
  <si>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</si>
  <si>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</si>
  <si>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</si>
  <si>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</si>
  <si>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</si>
  <si>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</si>
  <si>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</si>
  <si>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</si>
  <si>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</si>
  <si>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</si>
  <si>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</si>
  <si>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</si>
  <si>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</si>
  <si>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</si>
  <si>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</si>
  <si>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</si>
  <si>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</si>
  <si>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</si>
  <si>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</si>
  <si>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</si>
  <si>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</si>
  <si>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</si>
  <si>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</si>
  <si>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</si>
  <si>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</si>
  <si>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</si>
  <si>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</si>
  <si>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</si>
  <si>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</si>
  <si>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</si>
  <si>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</si>
  <si>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</si>
  <si>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</si>
  <si>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</si>
  <si>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</si>
  <si>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</si>
  <si>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</si>
  <si>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</si>
  <si>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</si>
  <si>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</si>
  <si>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</si>
  <si>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</si>
  <si>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</si>
  <si>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</si>
  <si>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</si>
  <si>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</si>
  <si>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</si>
  <si>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</si>
  <si>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</si>
  <si>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</si>
  <si>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</si>
  <si>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</si>
  <si>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</si>
  <si>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</si>
  <si>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</si>
  <si>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</si>
  <si>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</si>
  <si>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</si>
  <si>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</si>
  <si>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</si>
  <si>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</si>
  <si>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</si>
  <si>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</si>
  <si>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</si>
  <si>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</si>
  <si>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</si>
  <si>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</si>
  <si>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</si>
  <si>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</si>
  <si>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</si>
  <si>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</si>
  <si>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</si>
  <si>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</si>
  <si>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</si>
  <si>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</si>
  <si>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</si>
  <si>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</si>
  <si>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</si>
  <si>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</si>
  <si>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</si>
  <si>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</si>
  <si>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</si>
  <si>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</si>
  <si>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</si>
  <si>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</si>
  <si>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</si>
  <si>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</si>
  <si>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</si>
  <si>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</si>
  <si>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</si>
  <si>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</si>
  <si>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</si>
  <si>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</si>
  <si>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</si>
  <si>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</si>
  <si>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</si>
  <si>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</si>
  <si>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</si>
  <si>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</si>
  <si>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</si>
  <si>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</si>
  <si>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</si>
  <si>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</si>
  <si>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</si>
  <si>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</si>
  <si>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</si>
  <si>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</si>
  <si>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</si>
  <si>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</si>
  <si>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</si>
  <si>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</si>
  <si>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</si>
  <si>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</si>
  <si>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</si>
  <si>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</si>
  <si>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</si>
  <si>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</si>
  <si>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</si>
  <si>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</si>
  <si>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</si>
  <si>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</si>
  <si>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</si>
  <si>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</si>
  <si>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</si>
  <si>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</si>
  <si>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</si>
  <si>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</si>
  <si>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</si>
  <si>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</si>
  <si>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</si>
  <si>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</si>
  <si>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</si>
  <si>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</si>
  <si>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</si>
  <si>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</si>
  <si>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</si>
  <si>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</si>
  <si>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</si>
  <si>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</si>
  <si>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</si>
  <si>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</si>
  <si>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</si>
  <si>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</si>
  <si>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</si>
  <si>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</si>
  <si>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</si>
  <si>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</si>
  <si>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</si>
  <si>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</si>
  <si>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</si>
  <si>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</si>
  <si>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</si>
  <si>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</si>
  <si>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</si>
  <si>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</si>
  <si>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</si>
  <si>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</si>
  <si>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</si>
  <si>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</si>
  <si>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</si>
  <si>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</si>
  <si>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</si>
  <si>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</si>
  <si>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</si>
  <si>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</si>
  <si>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</si>
  <si>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</si>
  <si>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</si>
  <si>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</si>
  <si>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</si>
  <si>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</si>
  <si>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</si>
  <si>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</si>
  <si>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</si>
  <si>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</si>
  <si>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</si>
  <si>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</si>
  <si>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</si>
  <si>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</si>
  <si>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</si>
  <si>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</si>
  <si>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</si>
  <si>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</si>
  <si>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</si>
  <si>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</si>
  <si>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</si>
  <si>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</si>
  <si>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</si>
  <si>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</si>
  <si>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</si>
  <si>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</si>
  <si>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</si>
  <si>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</si>
  <si>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</si>
  <si>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</si>
  <si>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</si>
  <si>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</si>
  <si>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</si>
  <si>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</si>
  <si>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</si>
  <si>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</si>
  <si>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</si>
  <si>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</si>
  <si>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</si>
  <si>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</si>
  <si>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</si>
  <si>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</si>
  <si>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</si>
  <si>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</si>
  <si>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</si>
  <si>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</si>
  <si>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</si>
  <si>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</si>
  <si>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</si>
  <si>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</si>
  <si>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</si>
  <si>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</si>
  <si>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</si>
  <si>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</si>
  <si>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</si>
  <si>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</si>
  <si>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</si>
  <si>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</si>
  <si>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</si>
  <si>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</si>
  <si>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</si>
  <si>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</si>
  <si>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</si>
  <si>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</si>
  <si>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</si>
  <si>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</si>
  <si>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</si>
  <si>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</si>
  <si>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</si>
  <si>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</si>
  <si>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</si>
  <si>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</si>
  <si>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</si>
  <si>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</si>
  <si>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</si>
  <si>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</si>
  <si>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</si>
  <si>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</si>
  <si>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</si>
  <si>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</si>
  <si>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</si>
  <si>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</si>
  <si>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</si>
  <si>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</si>
  <si>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</si>
  <si>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</si>
  <si>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</si>
  <si>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</si>
  <si>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</si>
  <si>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</si>
  <si>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</si>
  <si>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</si>
  <si>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</si>
  <si>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</si>
  <si>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</si>
  <si>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</si>
  <si>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</si>
  <si>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</si>
  <si>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</si>
  <si>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</si>
  <si>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</si>
  <si>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</si>
  <si>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</si>
  <si>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</si>
  <si>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</si>
  <si>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</si>
  <si>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</si>
  <si>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</si>
  <si>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</si>
  <si>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</si>
  <si>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</si>
  <si>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</si>
  <si>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</si>
  <si>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</si>
  <si>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</si>
  <si>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</si>
  <si>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</si>
  <si>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</si>
  <si>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</si>
  <si>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</si>
  <si>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</si>
  <si>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</si>
  <si>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</si>
  <si>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</si>
  <si>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</si>
  <si>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</si>
  <si>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</si>
  <si>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</si>
  <si>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</si>
  <si>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</si>
  <si>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</si>
  <si>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</si>
  <si>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</si>
  <si>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</si>
  <si>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</si>
  <si>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</si>
  <si>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</si>
  <si>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</si>
  <si>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</si>
  <si>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</si>
  <si>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</si>
  <si>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</si>
  <si>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</si>
  <si>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</si>
  <si>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</si>
  <si>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</si>
  <si>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</si>
  <si>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</si>
  <si>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</si>
  <si>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</si>
  <si>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</si>
  <si>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</si>
  <si>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</si>
  <si>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</si>
  <si>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</si>
  <si>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</si>
  <si>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</si>
  <si>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</si>
  <si>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</si>
  <si>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</si>
  <si>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</si>
  <si>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</si>
  <si>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</si>
  <si>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</si>
  <si>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</si>
  <si>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</si>
  <si>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</si>
  <si>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</si>
  <si>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</si>
  <si>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</si>
  <si>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</si>
  <si>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</si>
  <si>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</si>
  <si>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</si>
  <si>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</si>
  <si>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</si>
  <si>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</si>
  <si>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</si>
  <si>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</si>
  <si>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</si>
  <si>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</si>
  <si>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</si>
  <si>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</si>
  <si>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</si>
  <si>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</si>
  <si>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</si>
  <si>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</si>
  <si>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</si>
  <si>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</si>
  <si>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</si>
  <si>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</si>
  <si>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</si>
  <si>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</si>
  <si>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</si>
  <si>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</si>
  <si>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</si>
  <si>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</si>
  <si>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</si>
  <si>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</si>
  <si>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</si>
  <si>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</si>
  <si>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</si>
  <si>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</si>
  <si>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</si>
  <si>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</si>
  <si>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</si>
  <si>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</si>
  <si>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</si>
  <si>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</si>
  <si>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</si>
  <si>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</si>
  <si>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</si>
  <si>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</si>
  <si>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</si>
  <si>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</si>
  <si>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</si>
  <si>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</si>
  <si>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</si>
  <si>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</si>
  <si>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</si>
  <si>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</si>
  <si>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</si>
  <si>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</si>
  <si>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</si>
  <si>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</si>
  <si>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</si>
  <si>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</si>
  <si>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</si>
  <si>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</si>
  <si>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</si>
  <si>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</si>
  <si>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</si>
  <si>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</si>
  <si>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</si>
  <si>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</si>
  <si>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</si>
  <si>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</si>
  <si>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</si>
  <si>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</si>
  <si>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</si>
  <si>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</si>
  <si>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</si>
  <si>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</si>
  <si>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</si>
  <si>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</si>
  <si>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</si>
  <si>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</si>
  <si>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</si>
  <si>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</si>
  <si>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</si>
  <si>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</si>
  <si>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</si>
  <si>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</si>
  <si>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</si>
  <si>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</si>
  <si>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</si>
  <si>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</si>
  <si>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</si>
  <si>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</si>
  <si>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</si>
  <si>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</si>
  <si>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</si>
  <si>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</si>
  <si>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</si>
  <si>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</si>
  <si>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</si>
  <si>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</si>
  <si>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</si>
  <si>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</si>
  <si>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</si>
  <si>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</si>
  <si>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</si>
  <si>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</si>
  <si>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</si>
  <si>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</si>
  <si>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</si>
  <si>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</si>
  <si>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</si>
  <si>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</si>
  <si>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</si>
  <si>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</si>
  <si>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</si>
  <si>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</si>
  <si>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</si>
  <si>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</si>
  <si>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</si>
  <si>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</si>
  <si>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</si>
  <si>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</si>
  <si>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</si>
  <si>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</si>
  <si>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</si>
  <si>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</si>
  <si>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</si>
  <si>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</si>
  <si>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</si>
  <si>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</si>
  <si>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</si>
  <si>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</si>
  <si>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</si>
  <si>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</si>
  <si>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</si>
  <si>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</si>
  <si>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</si>
  <si>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</si>
  <si>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</si>
  <si>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</si>
  <si>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</si>
  <si>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</si>
  <si>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</si>
  <si>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</si>
  <si>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</si>
  <si>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</si>
  <si>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</si>
  <si>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</si>
  <si>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</si>
  <si>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</si>
  <si>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</si>
  <si>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</si>
  <si>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</si>
  <si>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</si>
  <si>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</si>
  <si>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</si>
  <si>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</si>
  <si>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</si>
  <si>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</si>
  <si>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</si>
  <si>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</si>
  <si>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</si>
  <si>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</si>
  <si>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</si>
  <si>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</si>
  <si>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</si>
  <si>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</si>
  <si>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</si>
  <si>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</si>
  <si>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</si>
  <si>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</si>
  <si>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</si>
  <si>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</si>
  <si>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</si>
  <si>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</si>
  <si>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</si>
  <si>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</si>
  <si>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</si>
  <si>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</si>
  <si>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</si>
  <si>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</si>
  <si>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</si>
  <si>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</si>
  <si>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</si>
  <si>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</si>
  <si>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</si>
  <si>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</si>
  <si>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</si>
  <si>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</si>
  <si>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</si>
  <si>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</si>
  <si>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</si>
  <si>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</si>
  <si>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</si>
  <si>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</si>
  <si>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</si>
  <si>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</si>
  <si>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</si>
  <si>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</si>
  <si>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</si>
  <si>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</si>
  <si>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</si>
  <si>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</si>
  <si>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</si>
  <si>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</si>
  <si>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</si>
  <si>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</si>
  <si>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</si>
  <si>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</si>
  <si>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</si>
  <si>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</si>
  <si>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</si>
  <si>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</si>
  <si>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</si>
  <si>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</si>
  <si>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</si>
  <si>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</si>
  <si>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</si>
  <si>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</si>
  <si>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</si>
  <si>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</si>
  <si>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</si>
  <si>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</si>
  <si>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</si>
  <si>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</si>
  <si>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</si>
  <si>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</si>
  <si>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</si>
  <si>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</si>
  <si>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</si>
  <si>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</si>
  <si>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</si>
  <si>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</si>
  <si>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</si>
  <si>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</si>
  <si>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</si>
  <si>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</si>
  <si>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</si>
  <si>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</si>
  <si>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</si>
  <si>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</si>
  <si>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</si>
  <si>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</si>
  <si>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</si>
  <si>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</si>
  <si>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</si>
  <si>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</si>
  <si>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</si>
  <si>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</si>
  <si>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</si>
  <si>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</si>
  <si>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</si>
  <si>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</si>
  <si>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</si>
  <si>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</si>
  <si>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</si>
  <si>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</si>
  <si>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</si>
  <si>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</si>
  <si>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</si>
  <si>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</si>
  <si>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</si>
  <si>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</si>
  <si>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</si>
  <si>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</si>
  <si>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</si>
  <si>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</si>
  <si>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</si>
  <si>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</si>
  <si>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</si>
  <si>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</si>
  <si>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</si>
  <si>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</si>
  <si>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</si>
  <si>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</si>
  <si>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</si>
  <si>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</si>
  <si>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</si>
  <si>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</si>
  <si>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</si>
  <si>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</si>
  <si>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</si>
  <si>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</si>
  <si>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</si>
  <si>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</si>
  <si>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</si>
  <si>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</si>
  <si>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</si>
  <si>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</si>
  <si>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</si>
  <si>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</si>
  <si>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</si>
  <si>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</si>
  <si>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</si>
  <si>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</si>
  <si>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</si>
  <si>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</si>
  <si>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</si>
  <si>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</si>
  <si>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</si>
  <si>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</si>
  <si>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</si>
  <si>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</si>
  <si>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</si>
  <si>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</si>
  <si>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</si>
  <si>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</si>
  <si>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</si>
  <si>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</si>
  <si>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</si>
  <si>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</si>
  <si>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</si>
  <si>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</si>
  <si>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</si>
  <si>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</si>
  <si>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</si>
  <si>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</si>
  <si>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</si>
  <si>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</si>
  <si>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</si>
  <si>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</si>
  <si>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</si>
  <si>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</si>
  <si>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</si>
  <si>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</si>
  <si>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</si>
  <si>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</si>
  <si>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</si>
  <si>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</si>
  <si>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</si>
  <si>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</si>
  <si>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</si>
  <si>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</si>
  <si>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</si>
  <si>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</si>
  <si>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</si>
  <si>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</si>
  <si>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</si>
  <si>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</si>
  <si>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</si>
  <si>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</si>
  <si>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</si>
  <si>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</si>
  <si>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</si>
  <si>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</si>
  <si>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</si>
  <si>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</si>
  <si>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</si>
  <si>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</si>
  <si>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</si>
  <si>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</si>
  <si>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</si>
  <si>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</si>
  <si>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</si>
  <si>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</si>
  <si>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</si>
  <si>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</si>
  <si>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</si>
  <si>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</si>
  <si>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</si>
  <si>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</si>
  <si>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</si>
  <si>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</si>
  <si>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</si>
  <si>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</si>
  <si>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</si>
  <si>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</si>
  <si>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</si>
  <si>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</si>
  <si>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</si>
  <si>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</si>
  <si>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</si>
  <si>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</si>
  <si>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</si>
  <si>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</si>
  <si>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</si>
  <si>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</si>
  <si>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</si>
  <si>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</si>
  <si>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</si>
  <si>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</si>
  <si>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</si>
  <si>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</si>
  <si>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</si>
  <si>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</si>
  <si>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</si>
  <si>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</si>
  <si>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</si>
  <si>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</si>
  <si>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</si>
  <si>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</si>
  <si>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</si>
  <si>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</si>
  <si>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</si>
  <si>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</si>
  <si>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</si>
  <si>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</si>
  <si>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</si>
  <si>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</si>
  <si>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</si>
  <si>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</si>
  <si>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</si>
  <si>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</si>
  <si>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</si>
  <si>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</si>
  <si>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</si>
  <si>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</si>
  <si>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</si>
  <si>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</si>
  <si>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</si>
  <si>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</si>
  <si>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</si>
  <si>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</si>
  <si>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</si>
  <si>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</si>
  <si>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</si>
  <si>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</si>
  <si>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</si>
  <si>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</si>
  <si>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</si>
  <si>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</si>
  <si>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</si>
  <si>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</si>
  <si>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</si>
  <si>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</si>
  <si>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</si>
  <si>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</si>
  <si>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</si>
  <si>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</si>
  <si>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</si>
  <si>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</si>
  <si>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</si>
  <si>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</si>
  <si>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</si>
  <si>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</si>
  <si>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</si>
  <si>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</si>
  <si>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</si>
  <si>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</si>
  <si>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</si>
  <si>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</si>
  <si>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</si>
  <si>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</si>
  <si>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</si>
  <si>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</si>
  <si>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</si>
  <si>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</si>
  <si>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</si>
  <si>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</si>
  <si>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</si>
  <si>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</si>
  <si>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</si>
  <si>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</si>
  <si>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</si>
  <si>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</si>
  <si>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</si>
  <si>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</si>
  <si>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</si>
  <si>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</si>
  <si>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</si>
  <si>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</si>
  <si>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</si>
  <si>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</si>
  <si>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</si>
  <si>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</si>
  <si>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</si>
  <si>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</si>
  <si>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</si>
  <si>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</si>
  <si>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</si>
  <si>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</si>
  <si>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</si>
  <si>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</si>
  <si>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</si>
  <si>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</si>
  <si>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</si>
  <si>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</si>
  <si>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</si>
  <si>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</si>
  <si>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</si>
  <si>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</si>
  <si>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</si>
  <si>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</si>
  <si>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</si>
  <si>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</si>
  <si>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</si>
  <si>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</si>
  <si>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</si>
  <si>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</si>
  <si>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</si>
  <si>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</si>
  <si>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</si>
  <si>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</si>
  <si>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</si>
  <si>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</si>
  <si>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</si>
  <si>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</si>
  <si>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</si>
  <si>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</si>
  <si>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</si>
  <si>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</si>
  <si>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</si>
  <si>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</si>
  <si>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</si>
  <si>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</si>
  <si>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</si>
  <si>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</si>
  <si>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</si>
  <si>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</si>
  <si>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</si>
  <si>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</si>
  <si>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</si>
  <si>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</si>
  <si>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</si>
  <si>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</si>
  <si>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</si>
  <si>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</si>
  <si>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</si>
  <si>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</si>
  <si>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</si>
  <si>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</si>
  <si>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</si>
  <si>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</si>
  <si>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</si>
  <si>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</si>
  <si>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</si>
  <si>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</si>
  <si>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</si>
  <si>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</si>
  <si>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</si>
  <si>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</si>
  <si>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</si>
  <si>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</si>
  <si>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</si>
  <si>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</si>
  <si>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</si>
  <si>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</si>
  <si>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</si>
  <si>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</si>
  <si>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</si>
  <si>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</si>
  <si>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</si>
  <si>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</si>
  <si>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</si>
  <si>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</si>
  <si>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</si>
  <si>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</si>
  <si>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</si>
  <si>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</si>
  <si>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</si>
  <si>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</si>
  <si>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</si>
  <si>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</si>
  <si>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</si>
  <si>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</si>
  <si>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</si>
  <si>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</si>
  <si>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</si>
  <si>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</si>
  <si>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</si>
  <si>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</si>
  <si>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</si>
  <si>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</si>
  <si>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</si>
  <si>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</si>
  <si>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</si>
  <si>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</si>
  <si>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</si>
  <si>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</si>
  <si>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</si>
  <si>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</si>
  <si>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</si>
  <si>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</si>
  <si>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</si>
  <si>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</si>
  <si>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</si>
  <si>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</si>
  <si>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</si>
  <si>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</si>
  <si>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</si>
  <si>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</si>
  <si>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</si>
  <si>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</si>
  <si>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</si>
  <si>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</si>
  <si>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</si>
  <si>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</si>
  <si>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</si>
  <si>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</si>
  <si>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</si>
  <si>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</si>
  <si>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</si>
  <si>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</si>
  <si>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</si>
  <si>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</si>
  <si>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</si>
  <si>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</si>
  <si>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</si>
  <si>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</si>
  <si>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</si>
  <si>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</si>
  <si>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</si>
  <si>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</si>
  <si>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</si>
  <si>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</si>
  <si>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</si>
  <si>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</si>
  <si>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</si>
  <si>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</si>
  <si>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</si>
  <si>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</si>
  <si>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</si>
  <si>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</si>
  <si>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</si>
  <si>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</si>
  <si>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</si>
  <si>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</si>
  <si>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</si>
  <si>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</si>
  <si>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</si>
  <si>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</si>
  <si>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</si>
  <si>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</si>
  <si>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</si>
  <si>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</si>
  <si>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</si>
  <si>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</si>
  <si>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</si>
  <si>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</si>
  <si>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</si>
  <si>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</si>
  <si>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</si>
  <si>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</si>
  <si>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</si>
  <si>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</si>
  <si>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</si>
  <si>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</si>
  <si>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</si>
  <si>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</si>
  <si>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</si>
  <si>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</si>
  <si>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</si>
  <si>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</si>
  <si>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</si>
  <si>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</si>
  <si>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</si>
  <si>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</si>
  <si>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</si>
  <si>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</si>
  <si>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</si>
  <si>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</si>
  <si>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</si>
  <si>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</si>
  <si>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</si>
  <si>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</si>
  <si>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</si>
  <si>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</si>
  <si>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</si>
  <si>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</si>
  <si>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</si>
  <si>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</si>
  <si>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</si>
  <si>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</si>
  <si>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</si>
  <si>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</si>
  <si>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</si>
  <si>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</si>
  <si>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</si>
  <si>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</si>
  <si>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</si>
  <si>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</si>
  <si>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</si>
  <si>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</si>
  <si>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</si>
  <si>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</si>
  <si>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</si>
  <si>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</si>
  <si>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</si>
  <si>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</si>
  <si>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</si>
  <si>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</si>
  <si>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</si>
  <si>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</si>
  <si>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</si>
  <si>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</si>
  <si>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</si>
  <si>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</si>
  <si>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</si>
  <si>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</si>
  <si>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</si>
  <si>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</si>
  <si>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</si>
  <si>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</si>
  <si>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</si>
  <si>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</si>
  <si>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</si>
  <si>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</si>
  <si>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</si>
  <si>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</si>
  <si>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</si>
  <si>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</si>
  <si>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</si>
  <si>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</si>
  <si>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</si>
  <si>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</si>
  <si>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</si>
  <si>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</si>
  <si>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</si>
  <si>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</si>
  <si>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</si>
  <si>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</si>
  <si>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</si>
  <si>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</si>
  <si>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</si>
  <si>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</si>
  <si>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</si>
  <si>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</si>
  <si>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</si>
  <si>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</si>
  <si>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</si>
  <si>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</si>
  <si>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</si>
  <si>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</si>
  <si>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</si>
  <si>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</si>
  <si>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</si>
  <si>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</si>
  <si>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</si>
  <si>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</si>
  <si>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</si>
  <si>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</si>
  <si>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</si>
  <si>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</si>
  <si>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</si>
  <si>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</si>
  <si>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</si>
  <si>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</si>
  <si>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</si>
  <si>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</si>
  <si>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</si>
  <si>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</si>
  <si>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</si>
  <si>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</si>
  <si>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</si>
  <si>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</si>
  <si>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</si>
  <si>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</si>
  <si>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</si>
  <si>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</si>
  <si>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</si>
  <si>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</si>
  <si>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</si>
  <si>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</si>
  <si>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</si>
  <si>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</si>
  <si>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</si>
  <si>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</si>
  <si>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</si>
  <si>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</si>
  <si>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</si>
  <si>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</si>
  <si>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</si>
  <si>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</si>
  <si>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EVANS, MARSHALL &amp; PEASE, P.C.</t>
  </si>
  <si>
    <t>JEFFERY M. ROLLEFSON</t>
  </si>
  <si>
    <t>1875 HICKS ROAD</t>
  </si>
  <si>
    <t>ROLLING MEADOWS</t>
  </si>
  <si>
    <t>IL</t>
  </si>
  <si>
    <t>847-221-5700</t>
  </si>
  <si>
    <t>847-221-5701</t>
  </si>
  <si>
    <t>Evans, Marshall &amp; Pease, P.C.</t>
  </si>
  <si>
    <t>066-005340</t>
  </si>
  <si>
    <t>JEFF@EMPCPA.COM</t>
  </si>
  <si>
    <t>UNMODIFIED</t>
  </si>
  <si>
    <t>LAKE</t>
  </si>
  <si>
    <t>40-2550-300</t>
  </si>
  <si>
    <t xml:space="preserve">29067 WEST GRASS LAKE ROAD </t>
  </si>
  <si>
    <t>SPRING GROVE</t>
  </si>
  <si>
    <t xml:space="preserve">CAPITAL APPRECIATOIN BONDS </t>
  </si>
  <si>
    <t xml:space="preserve">GENERAL OBLIGATION BONDS </t>
  </si>
  <si>
    <t>GENERAL OBLIGATION REFUNDING BONDS</t>
  </si>
  <si>
    <t>GENERAL OBLIGATION LIMITED SCHOOL BONDS</t>
  </si>
  <si>
    <t>10-1000-300</t>
  </si>
  <si>
    <t>PMA LEASING</t>
  </si>
  <si>
    <t xml:space="preserve">ED-FISCAL SERVICES- PURCHASED SERVICES </t>
  </si>
  <si>
    <t>ED-REGULAR PROGRAMS-PURCHASED SERVICES</t>
  </si>
  <si>
    <t>TR-PUPIL TRANSPORTATION SERVICES- PURCHASED SERVICES</t>
  </si>
  <si>
    <t xml:space="preserve">O&amp;M-OPERATION AND MAINTENANCE OF PLANT SERVICES- PURCHASED SERVICES </t>
  </si>
  <si>
    <t>10-2520-300</t>
  </si>
  <si>
    <t>20-2540-300</t>
  </si>
  <si>
    <t>R. ALLARD CONSULTING</t>
  </si>
  <si>
    <t>FIRST STUDENT</t>
  </si>
  <si>
    <t>CENTERPOINT ENERGY</t>
  </si>
  <si>
    <t xml:space="preserve"> CLIC</t>
  </si>
  <si>
    <t>BUSINESS MANAGER</t>
  </si>
  <si>
    <t>EXCEPTIONAL LEARNERS COLLABORATIVE</t>
  </si>
  <si>
    <t>US DEPARTMENT OF EDUCATION</t>
  </si>
  <si>
    <t>PASSED THROUGH THE ILLINOIS STATE BOARD OF EDUCATION (ISBE)</t>
  </si>
  <si>
    <t>TITLE I - LOW INCOME</t>
  </si>
  <si>
    <t>18-4300-00</t>
  </si>
  <si>
    <t>19-4300-00</t>
  </si>
  <si>
    <t>TITLE IVA - STUDENT SUPPORT AND ACADEMIC ENIRCHMENT</t>
  </si>
  <si>
    <t>19-4400-00</t>
  </si>
  <si>
    <t>TITLE III - LANGUAGE INSTRUCTION PROGRAM - LIMITED ENGLISH PROGRAM (LIPLEP)</t>
  </si>
  <si>
    <t>19-4909-00</t>
  </si>
  <si>
    <t>PROG. ENDS 8/31</t>
  </si>
  <si>
    <t>N/A</t>
  </si>
  <si>
    <t>TITLE II - TEACHER QUALITY</t>
  </si>
  <si>
    <t>18-4932-00</t>
  </si>
  <si>
    <t>19-4932-00</t>
  </si>
  <si>
    <t>SPECIAL EDUCATION - IDEA - ROOM AND BOARD (M)</t>
  </si>
  <si>
    <t>18-4625-00</t>
  </si>
  <si>
    <t>19-4625-00</t>
  </si>
  <si>
    <t>18-4625-XC</t>
  </si>
  <si>
    <t>PASSED THROUGH THE SPECIAL EDUCATION DISTRICT OF LAKE COUNTY (SEDOL)</t>
  </si>
  <si>
    <t>SPECIAL EDUCATION - IDEA - PRESCHOOL FLOW-THROUGH (M)</t>
  </si>
  <si>
    <t>18-4600-00</t>
  </si>
  <si>
    <t>19-4600-00</t>
  </si>
  <si>
    <t>SPECIAL EDUCATION - IDEA - FLOW-THROUGH (M)</t>
  </si>
  <si>
    <t>18-4620-00</t>
  </si>
  <si>
    <t>19-4620-00</t>
  </si>
  <si>
    <t>TOTAL US DEPARTMENT OF EDUCATION</t>
  </si>
  <si>
    <t>US DEPARTMENT OF AGRICULTURE</t>
  </si>
  <si>
    <t>NATIONAL SCHOOL LUNCH</t>
  </si>
  <si>
    <t>18-4210-00</t>
  </si>
  <si>
    <t>19-4210-00</t>
  </si>
  <si>
    <t>SPECIAL MILK PROGRAM</t>
  </si>
  <si>
    <t>18-4215-00</t>
  </si>
  <si>
    <t>19-4215-00</t>
  </si>
  <si>
    <t>SCHOOL BREAKFAST PROGRAM</t>
  </si>
  <si>
    <t>18-4220-00</t>
  </si>
  <si>
    <t>19-4220-00</t>
  </si>
  <si>
    <t>COMMODITIES - USDA FOODS (NON-CASH)</t>
  </si>
  <si>
    <t>FY 2019</t>
  </si>
  <si>
    <t>COMMODITIES - DOD FRUITS AND VEGETABLES (NON-CASH)</t>
  </si>
  <si>
    <t>TOTAL US DEPARTMENT OF AGRICULTURE</t>
  </si>
  <si>
    <t>US DEPARTMENT OF HEALTH AND HUMAN SERVICES</t>
  </si>
  <si>
    <t>PASSED THROUGH THE ILLINOIS DEPARTMENT OF HEALTHCARE AND FAMILY SERVICES</t>
  </si>
  <si>
    <t>18-4991-00</t>
  </si>
  <si>
    <t>MEDICAID MATCHING - ADMINISTRATIVE OUTREACH</t>
  </si>
  <si>
    <t>19-4991-00</t>
  </si>
  <si>
    <t>TOTAL US DEPARTMENT OF HEALTH AND HUMAN SERVICES</t>
  </si>
  <si>
    <t>TOTAL FEDERAL AWARDS</t>
  </si>
  <si>
    <t>ROUNDING</t>
  </si>
  <si>
    <r>
      <t xml:space="preserve">The accompanying Schedule of Expenditures of Federal Awards includes the federal grant activity of </t>
    </r>
    <r>
      <rPr>
        <b/>
        <sz val="9"/>
        <rFont val="Calibri"/>
        <family val="2"/>
        <scheme val="minor"/>
      </rPr>
      <t>Fox Lake Grade School District No. 114</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</si>
  <si>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r>
      <t xml:space="preserve">Of the federal expenditures presented in the schedule, </t>
    </r>
    <r>
      <rPr>
        <b/>
        <sz val="9"/>
        <rFont val="Calibri"/>
        <family val="2"/>
        <scheme val="minor"/>
      </rPr>
      <t>Fox Lake Grade School District No. 114</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</si>
  <si>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</si>
  <si>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Fox Lake Grade School District No. 114</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</si>
  <si>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ADVERSE</t>
  </si>
  <si>
    <t>84.027, 84.173 AND 84.027</t>
  </si>
  <si>
    <t>SPECIAL EDUCATION CLUSTER</t>
  </si>
  <si>
    <t>2019-NONE</t>
  </si>
  <si>
    <t>THE DISTRICT PREPARES ITS FINANCIAL STATEMENTS TO COMPLY WITH REGULATORY PROVISIONS PRESCRIBED BY THE ILLINOIS STAE BOARD OF EDUCATION (ISBE), WHICH IS A COMPREHENSIVE BASIS OF ACCOUNTING OTHER THAN GENERALLY ACCEPTED ACCOUNTING PRINCIPLES (GAAP).</t>
  </si>
  <si>
    <t>Fox Lake GSD 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</si>
</sst>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7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vertical="center" wrapText="1"/>
      <protection locked="0"/>
    </xf>
    <xf numFmtId="3" fontId="63" fillId="0" borderId="8" xfId="3" applyNumberFormat="1" applyFont="1" applyBorder="1" applyAlignment="1" applyProtection="1">
      <alignment horizontal="center"/>
      <protection locked="0"/>
    </xf>
    <xf numFmtId="0" fontId="56" fillId="0" borderId="0" xfId="3" applyFont="1" applyProtection="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8" xfId="3" applyFont="1" applyBorder="1" applyProtection="1"/>
    <xf numFmtId="0" fontId="61"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3" fontId="63" fillId="0" borderId="22" xfId="3" applyNumberFormat="1" applyFont="1" applyBorder="1" applyAlignment="1" applyProtection="1">
      <alignment horizontal="left" vertical="center" wrapText="1"/>
      <protection locked="0"/>
    </xf>
    <xf numFmtId="3" fontId="72"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vertical="center" wrapText="1"/>
      <protection locked="0"/>
    </xf>
    <xf numFmtId="3" fontId="61" fillId="0" borderId="22" xfId="3" applyNumberFormat="1" applyFont="1" applyBorder="1" applyAlignment="1" applyProtection="1">
      <alignment horizontal="center" vertical="center" wrapText="1"/>
      <protection locked="0"/>
    </xf>
    <xf numFmtId="3" fontId="95" fillId="0" borderId="22" xfId="3" applyNumberFormat="1" applyFont="1" applyBorder="1" applyAlignment="1" applyProtection="1">
      <alignment horizontal="center" vertical="center" wrapText="1"/>
      <protection locked="0"/>
    </xf>
    <xf numFmtId="3" fontId="95" fillId="0" borderId="22"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8"/>
    <cellStyle name="Normal 3 2 2 3" xfId="23"/>
    <cellStyle name="Normal 3 2 3" xfId="25"/>
    <cellStyle name="Normal 3 2 4" xfId="20"/>
    <cellStyle name="Normal 3 3" xfId="24"/>
    <cellStyle name="Normal 3 4" xfId="19"/>
    <cellStyle name="Normal 4" xfId="16"/>
    <cellStyle name="Normal 4 2" xfId="26"/>
    <cellStyle name="Normal 4 3" xfId="21"/>
    <cellStyle name="Normal 5" xfId="17"/>
    <cellStyle name="Normal 5 2" xfId="30"/>
    <cellStyle name="Normal 5 3" xfId="27"/>
    <cellStyle name="Normal 5 4" xfId="22"/>
    <cellStyle name="Normal 6" xfId="2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304800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F4CA300-F830-4867-90A8-0FF66E74CF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7</xdr:col>
          <xdr:colOff>304800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606AA08B-A721-49B6-BB00-E369FDCEA55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0</xdr:rowOff>
        </xdr:from>
        <xdr:to>
          <xdr:col>10</xdr:col>
          <xdr:colOff>304800</xdr:colOff>
          <xdr:row>11</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1072110-7EF1-447E-84F1-46BFA2B03D6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107" t="s">
        <v>405</v>
      </c>
      <c r="J1" s="2108"/>
      <c r="K1" s="2108"/>
      <c r="L1" s="2108"/>
      <c r="M1" s="2108"/>
      <c r="N1" s="2108"/>
      <c r="O1" s="2108"/>
      <c r="P1" s="2108"/>
      <c r="Q1" s="2108"/>
      <c r="R1" s="2108"/>
      <c r="S1" s="2108"/>
    </row>
    <row r="2" spans="1:28" ht="12" customHeight="1" x14ac:dyDescent="0.2">
      <c r="A2" s="47" t="s">
        <v>1988</v>
      </c>
      <c r="D2" s="48"/>
      <c r="I2" s="2109" t="s">
        <v>979</v>
      </c>
      <c r="J2" s="2108"/>
      <c r="K2" s="2108"/>
      <c r="L2" s="2108"/>
      <c r="M2" s="2108"/>
      <c r="N2" s="2108"/>
      <c r="O2" s="2108"/>
      <c r="P2" s="2108"/>
      <c r="Q2" s="2108"/>
      <c r="R2" s="2108"/>
      <c r="S2" s="2108"/>
    </row>
    <row r="3" spans="1:28" ht="12" customHeight="1" x14ac:dyDescent="0.2">
      <c r="A3" s="154" t="s">
        <v>1941</v>
      </c>
      <c r="B3" s="155"/>
      <c r="C3" s="155"/>
      <c r="D3" s="156"/>
      <c r="I3" s="2109" t="s">
        <v>52</v>
      </c>
      <c r="J3" s="2108"/>
      <c r="K3" s="2108"/>
      <c r="L3" s="2108"/>
      <c r="M3" s="2108"/>
      <c r="N3" s="2108"/>
      <c r="O3" s="2108"/>
      <c r="P3" s="2108"/>
      <c r="Q3" s="2108"/>
      <c r="R3" s="2108"/>
      <c r="S3" s="2108"/>
    </row>
    <row r="4" spans="1:28" ht="12" customHeight="1" x14ac:dyDescent="0.2">
      <c r="A4" s="37"/>
      <c r="I4" s="2109" t="s">
        <v>524</v>
      </c>
      <c r="J4" s="2108"/>
      <c r="K4" s="2108"/>
      <c r="L4" s="2108"/>
      <c r="M4" s="2108"/>
      <c r="N4" s="2108"/>
      <c r="O4" s="2108"/>
      <c r="P4" s="2108"/>
      <c r="Q4" s="2108"/>
      <c r="R4" s="2108"/>
      <c r="S4" s="2108"/>
    </row>
    <row r="5" spans="1:28" ht="14.1" customHeight="1" x14ac:dyDescent="0.2">
      <c r="B5" s="103" t="s">
        <v>2060</v>
      </c>
      <c r="C5" s="26" t="s">
        <v>910</v>
      </c>
      <c r="D5" s="84"/>
      <c r="E5" s="84"/>
      <c r="H5" s="38"/>
      <c r="I5" s="2116" t="s">
        <v>680</v>
      </c>
      <c r="J5" s="2061"/>
      <c r="K5" s="2061"/>
      <c r="L5" s="2061"/>
      <c r="M5" s="2061"/>
      <c r="N5" s="2061"/>
      <c r="O5" s="2061"/>
      <c r="P5" s="2061"/>
      <c r="Q5" s="2061"/>
      <c r="R5" s="2061"/>
      <c r="S5" s="2061"/>
    </row>
    <row r="6" spans="1:28" ht="14.1" customHeight="1" x14ac:dyDescent="0.2">
      <c r="B6" s="103"/>
      <c r="C6" s="26" t="s">
        <v>911</v>
      </c>
      <c r="D6" s="84"/>
      <c r="E6" s="84"/>
      <c r="I6" s="2115" t="s">
        <v>883</v>
      </c>
      <c r="J6" s="2061"/>
      <c r="K6" s="2061"/>
      <c r="L6" s="2061"/>
      <c r="M6" s="2061"/>
      <c r="N6" s="2061"/>
      <c r="O6" s="2061"/>
      <c r="P6" s="2061"/>
      <c r="Q6" s="2061"/>
      <c r="R6" s="2061"/>
      <c r="S6" s="2061"/>
    </row>
    <row r="7" spans="1:28" ht="12.2" customHeight="1" x14ac:dyDescent="0.2">
      <c r="I7" s="2110">
        <v>43646</v>
      </c>
      <c r="J7" s="2111"/>
      <c r="K7" s="2111"/>
      <c r="L7" s="2111"/>
      <c r="M7" s="2111"/>
      <c r="N7" s="2111"/>
      <c r="O7" s="2111"/>
      <c r="P7" s="2111"/>
      <c r="Q7" s="2111"/>
      <c r="R7" s="2111"/>
      <c r="S7" s="2111"/>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12" t="s">
        <v>674</v>
      </c>
      <c r="J9" s="2113"/>
      <c r="K9" s="2113"/>
      <c r="L9" s="2113"/>
      <c r="M9" s="2113"/>
      <c r="N9" s="2113"/>
      <c r="O9" s="2113"/>
      <c r="P9" s="2113"/>
      <c r="Q9" s="2113"/>
      <c r="R9" s="2113"/>
      <c r="S9" s="2114"/>
      <c r="T9" s="2057" t="s">
        <v>533</v>
      </c>
      <c r="U9" s="2058"/>
      <c r="V9" s="2058"/>
      <c r="W9" s="2058"/>
      <c r="X9" s="2058"/>
      <c r="Y9" s="2058"/>
      <c r="Z9" s="2058"/>
      <c r="AA9" s="2059"/>
    </row>
    <row r="10" spans="1:28" ht="13.5" customHeight="1" x14ac:dyDescent="0.2">
      <c r="A10" s="2066" t="s">
        <v>675</v>
      </c>
      <c r="B10" s="2067"/>
      <c r="C10" s="2067"/>
      <c r="D10" s="2067"/>
      <c r="E10" s="2067"/>
      <c r="F10" s="2067"/>
      <c r="G10" s="2067"/>
      <c r="H10" s="2068"/>
      <c r="I10" s="29"/>
      <c r="J10" s="30"/>
      <c r="K10" s="28"/>
      <c r="R10" s="30"/>
      <c r="S10" s="30"/>
      <c r="T10" s="2060"/>
      <c r="U10" s="2061"/>
      <c r="V10" s="2061"/>
      <c r="W10" s="2061"/>
      <c r="X10" s="2061"/>
      <c r="Y10" s="2061"/>
      <c r="Z10" s="2061"/>
      <c r="AA10" s="2062"/>
    </row>
    <row r="11" spans="1:28" ht="14.25" customHeight="1" x14ac:dyDescent="0.2">
      <c r="A11" s="2069" t="s">
        <v>955</v>
      </c>
      <c r="B11" s="2070"/>
      <c r="C11" s="2070"/>
      <c r="D11" s="2070"/>
      <c r="E11" s="2070"/>
      <c r="F11" s="2070"/>
      <c r="G11" s="2070"/>
      <c r="H11" s="2071"/>
      <c r="I11" s="27"/>
      <c r="J11" s="74"/>
      <c r="K11" s="27"/>
      <c r="O11" s="147" t="s">
        <v>2060</v>
      </c>
      <c r="P11" s="100" t="s">
        <v>201</v>
      </c>
      <c r="Q11" s="30"/>
      <c r="R11" s="28"/>
      <c r="S11" s="27"/>
      <c r="T11" s="2063"/>
      <c r="U11" s="2064"/>
      <c r="V11" s="2064"/>
      <c r="W11" s="2064"/>
      <c r="X11" s="2064"/>
      <c r="Y11" s="2064"/>
      <c r="Z11" s="2064"/>
      <c r="AA11" s="2065"/>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77">
        <v>34049114002</v>
      </c>
      <c r="B13" s="2078"/>
      <c r="C13" s="2078"/>
      <c r="D13" s="2078"/>
      <c r="E13" s="2078"/>
      <c r="F13" s="2078"/>
      <c r="G13" s="2078"/>
      <c r="H13" s="2079"/>
      <c r="I13" s="31"/>
      <c r="J13" s="30"/>
      <c r="K13" s="28"/>
      <c r="L13" s="30"/>
      <c r="M13" s="30"/>
      <c r="N13" s="30"/>
      <c r="O13" s="30"/>
      <c r="P13" s="30"/>
      <c r="Q13" s="30"/>
      <c r="R13" s="30"/>
      <c r="S13" s="30"/>
      <c r="T13" s="2082" t="s">
        <v>2061</v>
      </c>
      <c r="U13" s="2083"/>
      <c r="V13" s="2083"/>
      <c r="W13" s="2083"/>
      <c r="X13" s="2083"/>
      <c r="Y13" s="2084"/>
      <c r="Z13" s="2084"/>
      <c r="AA13" s="2085"/>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75" t="s">
        <v>2072</v>
      </c>
      <c r="B15" s="2080"/>
      <c r="C15" s="2080"/>
      <c r="D15" s="2080"/>
      <c r="E15" s="2080"/>
      <c r="F15" s="2080"/>
      <c r="G15" s="2080"/>
      <c r="H15" s="2081"/>
      <c r="T15" s="2043" t="s">
        <v>2062</v>
      </c>
      <c r="U15" s="2044"/>
      <c r="V15" s="2044"/>
      <c r="W15" s="2044"/>
      <c r="X15" s="2044"/>
      <c r="Y15" s="2086"/>
      <c r="Z15" s="2086"/>
      <c r="AA15" s="208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5" t="s">
        <v>2151</v>
      </c>
      <c r="B17" s="2105"/>
      <c r="C17" s="2105"/>
      <c r="D17" s="2105"/>
      <c r="E17" s="2105"/>
      <c r="F17" s="2105"/>
      <c r="G17" s="2105"/>
      <c r="H17" s="2106"/>
      <c r="T17" s="2092" t="s">
        <v>2063</v>
      </c>
      <c r="U17" s="2093"/>
      <c r="V17" s="2093"/>
      <c r="W17" s="2093"/>
      <c r="X17" s="2093"/>
      <c r="Y17" s="2093"/>
      <c r="Z17" s="2093"/>
      <c r="AA17" s="2094"/>
    </row>
    <row r="18" spans="1:27" ht="13.5" customHeight="1" x14ac:dyDescent="0.2">
      <c r="A18" s="85" t="s">
        <v>530</v>
      </c>
      <c r="B18" s="76"/>
      <c r="C18" s="72"/>
      <c r="D18" s="76"/>
      <c r="E18" s="76"/>
      <c r="F18" s="76"/>
      <c r="G18" s="76"/>
      <c r="H18" s="56"/>
      <c r="I18" s="2102" t="s">
        <v>676</v>
      </c>
      <c r="J18" s="2103"/>
      <c r="K18" s="2103"/>
      <c r="L18" s="2103"/>
      <c r="M18" s="2103"/>
      <c r="N18" s="2103"/>
      <c r="O18" s="2103"/>
      <c r="P18" s="2103"/>
      <c r="Q18" s="2103"/>
      <c r="R18" s="2103"/>
      <c r="S18" s="2104"/>
      <c r="T18" s="85" t="s">
        <v>711</v>
      </c>
      <c r="U18" s="51"/>
      <c r="V18" s="72"/>
      <c r="W18" s="50"/>
      <c r="X18" s="85" t="s">
        <v>266</v>
      </c>
      <c r="Y18" s="81"/>
      <c r="Z18" s="158" t="s">
        <v>677</v>
      </c>
      <c r="AA18" s="46"/>
    </row>
    <row r="19" spans="1:27" ht="13.5" customHeight="1" x14ac:dyDescent="0.2">
      <c r="A19" s="2075" t="s">
        <v>2074</v>
      </c>
      <c r="B19" s="2076"/>
      <c r="C19" s="2076"/>
      <c r="D19" s="2076"/>
      <c r="E19" s="2076"/>
      <c r="F19" s="2076"/>
      <c r="G19" s="2076"/>
      <c r="H19" s="2074"/>
      <c r="I19" s="30"/>
      <c r="J19" s="99"/>
      <c r="K19" s="40"/>
      <c r="L19" s="38"/>
      <c r="M19" s="111" t="s">
        <v>315</v>
      </c>
      <c r="P19" s="27"/>
      <c r="Q19" s="27"/>
      <c r="R19" s="27"/>
      <c r="S19" s="31"/>
      <c r="T19" s="2075" t="s">
        <v>2064</v>
      </c>
      <c r="U19" s="2073"/>
      <c r="V19" s="2073"/>
      <c r="W19" s="2074"/>
      <c r="X19" s="2090" t="s">
        <v>2065</v>
      </c>
      <c r="Y19" s="2091"/>
      <c r="Z19" s="2088">
        <v>60008</v>
      </c>
      <c r="AA19" s="2089"/>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2072" t="s">
        <v>2075</v>
      </c>
      <c r="B21" s="2073"/>
      <c r="C21" s="2073"/>
      <c r="D21" s="2073"/>
      <c r="E21" s="2073"/>
      <c r="F21" s="2073"/>
      <c r="G21" s="2073"/>
      <c r="H21" s="2074"/>
      <c r="I21" s="2098" t="s">
        <v>678</v>
      </c>
      <c r="J21" s="2061"/>
      <c r="K21" s="2061"/>
      <c r="L21" s="2061"/>
      <c r="M21" s="2061"/>
      <c r="N21" s="2061"/>
      <c r="O21" s="2061"/>
      <c r="P21" s="2061"/>
      <c r="Q21" s="2061"/>
      <c r="R21" s="2061"/>
      <c r="S21" s="2062"/>
      <c r="T21" s="2040" t="s">
        <v>2066</v>
      </c>
      <c r="U21" s="2041"/>
      <c r="V21" s="2041"/>
      <c r="W21" s="2041"/>
      <c r="X21" s="2054" t="s">
        <v>2067</v>
      </c>
      <c r="Y21" s="2055"/>
      <c r="Z21" s="2055"/>
      <c r="AA21" s="2056"/>
    </row>
    <row r="22" spans="1:27" ht="13.5" customHeight="1" x14ac:dyDescent="0.2">
      <c r="A22" s="87" t="s">
        <v>531</v>
      </c>
      <c r="B22" s="59"/>
      <c r="C22" s="59"/>
      <c r="D22" s="59"/>
      <c r="E22" s="59"/>
      <c r="F22" s="59"/>
      <c r="G22" s="59"/>
      <c r="H22" s="60"/>
      <c r="I22" s="2099" t="s">
        <v>1429</v>
      </c>
      <c r="J22" s="2100"/>
      <c r="K22" s="2100"/>
      <c r="L22" s="2100"/>
      <c r="M22" s="2100"/>
      <c r="N22" s="2100"/>
      <c r="O22" s="2100"/>
      <c r="P22" s="2100"/>
      <c r="Q22" s="2100"/>
      <c r="R22" s="2100"/>
      <c r="S22" s="2101"/>
      <c r="T22" s="85" t="s">
        <v>1516</v>
      </c>
      <c r="U22" s="51"/>
      <c r="V22" s="72"/>
      <c r="W22" s="51"/>
      <c r="X22" s="159" t="s">
        <v>1318</v>
      </c>
      <c r="Z22" s="45"/>
      <c r="AA22" s="46"/>
    </row>
    <row r="23" spans="1:27" ht="13.5" customHeight="1" x14ac:dyDescent="0.2">
      <c r="A23" s="2095"/>
      <c r="B23" s="2096"/>
      <c r="C23" s="2096"/>
      <c r="D23" s="2096"/>
      <c r="E23" s="2096"/>
      <c r="F23" s="2096"/>
      <c r="G23" s="2096"/>
      <c r="H23" s="2097"/>
      <c r="T23" s="2035" t="s">
        <v>2069</v>
      </c>
      <c r="U23" s="2036"/>
      <c r="V23" s="2036"/>
      <c r="W23" s="2036"/>
      <c r="X23" s="2051">
        <v>44530</v>
      </c>
      <c r="Y23" s="2052"/>
      <c r="Z23" s="2052"/>
      <c r="AA23" s="2053"/>
    </row>
    <row r="24" spans="1:27" ht="14.1" customHeight="1" x14ac:dyDescent="0.2">
      <c r="A24" s="88" t="s">
        <v>677</v>
      </c>
      <c r="B24" s="49"/>
      <c r="C24" s="49"/>
      <c r="D24" s="49"/>
      <c r="E24" s="49"/>
      <c r="F24" s="49"/>
      <c r="G24" s="49"/>
      <c r="H24" s="61"/>
      <c r="J24" s="2137" t="str">
        <f>IF(B5="x",IF(AUDITCHECK!D29="AFR form Incomplete.","",IF(AUDITCHECK!D29="Deficit reduction plan is required.","School District must complete a deficit reduction plan in the 2019-2020 Budget",)),"")</f>
        <v>School District must complete a deficit reduction plan in the 2019-2020 Budget</v>
      </c>
      <c r="K24" s="2137"/>
      <c r="L24" s="2137"/>
      <c r="M24" s="2137"/>
      <c r="N24" s="2137"/>
      <c r="O24" s="2137"/>
      <c r="P24" s="2137"/>
      <c r="Q24" s="2137"/>
      <c r="R24" s="2137"/>
      <c r="S24" s="2138"/>
      <c r="T24" s="104" t="s">
        <v>531</v>
      </c>
      <c r="U24" s="105"/>
      <c r="V24" s="105"/>
      <c r="W24" s="105"/>
      <c r="X24" s="106"/>
      <c r="Y24" s="106"/>
      <c r="Z24" s="106"/>
      <c r="AA24" s="107"/>
    </row>
    <row r="25" spans="1:27" ht="14.1" customHeight="1" x14ac:dyDescent="0.2">
      <c r="A25" s="2072">
        <v>60081</v>
      </c>
      <c r="B25" s="2073"/>
      <c r="C25" s="2073"/>
      <c r="D25" s="2073"/>
      <c r="E25" s="2073"/>
      <c r="F25" s="2073"/>
      <c r="G25" s="2073"/>
      <c r="H25" s="2074"/>
      <c r="I25" s="112"/>
      <c r="J25" s="2139"/>
      <c r="K25" s="2139"/>
      <c r="L25" s="2139"/>
      <c r="M25" s="2139"/>
      <c r="N25" s="2139"/>
      <c r="O25" s="2139"/>
      <c r="P25" s="2139"/>
      <c r="Q25" s="2139"/>
      <c r="R25" s="2139"/>
      <c r="S25" s="2140"/>
      <c r="T25" s="2032" t="s">
        <v>2070</v>
      </c>
      <c r="U25" s="2033"/>
      <c r="V25" s="2033"/>
      <c r="W25" s="2033"/>
      <c r="X25" s="2033"/>
      <c r="Y25" s="2033"/>
      <c r="Z25" s="2033"/>
      <c r="AA25" s="2034"/>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130" t="s">
        <v>1511</v>
      </c>
      <c r="J27" s="2103"/>
      <c r="K27" s="2103"/>
      <c r="L27" s="2103"/>
      <c r="M27" s="2103"/>
      <c r="N27" s="2103"/>
      <c r="O27" s="2103"/>
      <c r="P27" s="2103"/>
      <c r="Q27" s="2103"/>
      <c r="R27" s="2103"/>
      <c r="S27" s="2104"/>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c r="K29" s="28" t="s">
        <v>576</v>
      </c>
      <c r="L29" s="147" t="s">
        <v>2060</v>
      </c>
      <c r="M29" s="40" t="s">
        <v>99</v>
      </c>
      <c r="N29" s="32" t="s">
        <v>1523</v>
      </c>
      <c r="O29" s="32"/>
      <c r="P29" s="32"/>
      <c r="Q29" s="32"/>
      <c r="R29" s="32"/>
      <c r="S29" s="122"/>
      <c r="T29" s="6"/>
      <c r="U29" s="6"/>
      <c r="V29" s="6"/>
      <c r="W29" s="6"/>
      <c r="X29" s="6"/>
      <c r="Y29" s="6"/>
      <c r="Z29" s="6"/>
      <c r="AA29" s="131"/>
    </row>
    <row r="30" spans="1:27" ht="13.5" customHeight="1" x14ac:dyDescent="0.2">
      <c r="A30" s="152"/>
      <c r="B30" s="135" t="s">
        <v>2060</v>
      </c>
      <c r="C30" s="123" t="s">
        <v>1164</v>
      </c>
      <c r="D30" s="28"/>
      <c r="E30" s="28"/>
      <c r="F30" s="139"/>
      <c r="G30" s="113"/>
      <c r="H30" s="113"/>
      <c r="I30" s="54"/>
      <c r="J30" s="147"/>
      <c r="K30" s="28" t="s">
        <v>576</v>
      </c>
      <c r="L30" s="147" t="s">
        <v>2060</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2060</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c r="C34" s="32" t="s">
        <v>542</v>
      </c>
      <c r="D34" s="31"/>
      <c r="E34" s="31"/>
      <c r="F34" s="31"/>
      <c r="G34" s="31"/>
      <c r="H34" s="31"/>
      <c r="I34" s="54"/>
      <c r="J34" s="83"/>
      <c r="L34" s="148"/>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6"/>
      <c r="Q35" s="2073"/>
      <c r="R35" s="2073"/>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2035"/>
      <c r="B38" s="2105"/>
      <c r="C38" s="2105"/>
      <c r="D38" s="2105"/>
      <c r="E38" s="2105"/>
      <c r="F38" s="2073"/>
      <c r="G38" s="2073"/>
      <c r="H38" s="2074"/>
      <c r="I38" s="2124"/>
      <c r="J38" s="2044"/>
      <c r="K38" s="2044"/>
      <c r="L38" s="2044"/>
      <c r="M38" s="2044"/>
      <c r="N38" s="2044"/>
      <c r="O38" s="2044"/>
      <c r="P38" s="2045"/>
      <c r="Q38" s="2045"/>
      <c r="R38" s="2045"/>
      <c r="S38" s="2046"/>
      <c r="T38" s="2043"/>
      <c r="U38" s="2044"/>
      <c r="V38" s="2044"/>
      <c r="W38" s="2044"/>
      <c r="X38" s="2045"/>
      <c r="Y38" s="2045"/>
      <c r="Z38" s="2045"/>
      <c r="AA38" s="2046"/>
    </row>
    <row r="39" spans="1:27" ht="12" customHeight="1" x14ac:dyDescent="0.2">
      <c r="A39" s="2128" t="s">
        <v>531</v>
      </c>
      <c r="B39" s="2129"/>
      <c r="C39" s="72"/>
      <c r="D39" s="69"/>
      <c r="E39" s="69"/>
      <c r="F39" s="79"/>
      <c r="G39" s="69"/>
      <c r="H39" s="56"/>
      <c r="I39" s="2128" t="s">
        <v>531</v>
      </c>
      <c r="J39" s="2129"/>
      <c r="K39" s="2129"/>
      <c r="L39" s="2129"/>
      <c r="M39" s="2129"/>
      <c r="N39" s="67"/>
      <c r="O39" s="72"/>
      <c r="P39" s="72"/>
      <c r="Q39" s="78"/>
      <c r="R39" s="72"/>
      <c r="S39" s="56"/>
      <c r="T39" s="72" t="s">
        <v>531</v>
      </c>
      <c r="U39" s="51"/>
      <c r="V39" s="72"/>
      <c r="W39" s="50"/>
      <c r="X39" s="78"/>
      <c r="Y39" s="45"/>
      <c r="Z39" s="45"/>
      <c r="AA39" s="46"/>
    </row>
    <row r="40" spans="1:27" ht="13.5" customHeight="1" x14ac:dyDescent="0.2">
      <c r="A40" s="2131"/>
      <c r="B40" s="2132"/>
      <c r="C40" s="2133"/>
      <c r="D40" s="2133"/>
      <c r="E40" s="2133"/>
      <c r="F40" s="2134"/>
      <c r="G40" s="2134"/>
      <c r="H40" s="2135"/>
      <c r="I40" s="2047"/>
      <c r="J40" s="2049"/>
      <c r="K40" s="2049"/>
      <c r="L40" s="2049"/>
      <c r="M40" s="2049"/>
      <c r="N40" s="2049"/>
      <c r="O40" s="2049"/>
      <c r="P40" s="2049"/>
      <c r="Q40" s="2049"/>
      <c r="R40" s="2049"/>
      <c r="S40" s="2050"/>
      <c r="T40" s="2047"/>
      <c r="U40" s="2048"/>
      <c r="V40" s="2049"/>
      <c r="W40" s="2049"/>
      <c r="X40" s="2049"/>
      <c r="Y40" s="2049"/>
      <c r="Z40" s="2049"/>
      <c r="AA40" s="205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21"/>
      <c r="B42" s="2122"/>
      <c r="C42" s="2123"/>
      <c r="D42" s="2136"/>
      <c r="E42" s="2122"/>
      <c r="F42" s="2122"/>
      <c r="G42" s="2122"/>
      <c r="H42" s="2123"/>
      <c r="I42" s="2042"/>
      <c r="J42" s="2038"/>
      <c r="K42" s="2038"/>
      <c r="L42" s="2038"/>
      <c r="M42" s="2038"/>
      <c r="N42" s="2038"/>
      <c r="O42" s="2039"/>
      <c r="P42" s="2037"/>
      <c r="Q42" s="2038"/>
      <c r="R42" s="2038"/>
      <c r="S42" s="2039"/>
      <c r="T42" s="2042"/>
      <c r="U42" s="2038"/>
      <c r="V42" s="2038"/>
      <c r="W42" s="2039"/>
      <c r="X42" s="2037"/>
      <c r="Y42" s="2038"/>
      <c r="Z42" s="2038"/>
      <c r="AA42" s="203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25"/>
      <c r="B44" s="2126"/>
      <c r="C44" s="2126"/>
      <c r="D44" s="2126"/>
      <c r="E44" s="2126"/>
      <c r="F44" s="2126"/>
      <c r="G44" s="2126"/>
      <c r="H44" s="2127"/>
      <c r="I44" s="2117"/>
      <c r="J44" s="2119"/>
      <c r="K44" s="2119"/>
      <c r="L44" s="2119"/>
      <c r="M44" s="2119"/>
      <c r="N44" s="2119"/>
      <c r="O44" s="2119"/>
      <c r="P44" s="2119"/>
      <c r="Q44" s="2119"/>
      <c r="R44" s="2119"/>
      <c r="S44" s="2120"/>
      <c r="T44" s="2117"/>
      <c r="U44" s="2118"/>
      <c r="V44" s="2118"/>
      <c r="W44" s="2118"/>
      <c r="X44" s="2118"/>
      <c r="Y44" s="2118"/>
      <c r="Z44" s="2119"/>
      <c r="AA44" s="2120"/>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6"/>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ColWidth="9.140625"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274" t="s">
        <v>1799</v>
      </c>
      <c r="B2" s="1527" t="s">
        <v>1947</v>
      </c>
      <c r="C2" s="713" t="s">
        <v>1948</v>
      </c>
      <c r="D2" s="713" t="s">
        <v>1949</v>
      </c>
      <c r="E2" s="713" t="s">
        <v>1950</v>
      </c>
      <c r="F2" s="713" t="s">
        <v>1951</v>
      </c>
    </row>
    <row r="3" spans="1:6" ht="12" customHeight="1" x14ac:dyDescent="0.2">
      <c r="A3" s="2275"/>
      <c r="B3" s="1524"/>
      <c r="C3" s="1525"/>
      <c r="D3" s="1526" t="s">
        <v>256</v>
      </c>
      <c r="E3" s="1525"/>
      <c r="F3" s="1526" t="s">
        <v>257</v>
      </c>
    </row>
    <row r="4" spans="1:6" ht="13.7" customHeight="1" x14ac:dyDescent="0.2">
      <c r="A4" s="714" t="s">
        <v>1155</v>
      </c>
      <c r="B4" s="1748">
        <f>'Revenues 9-14'!C5</f>
        <v>4605519</v>
      </c>
      <c r="C4" s="1523">
        <v>2382785</v>
      </c>
      <c r="D4" s="1751">
        <f>B4-C4</f>
        <v>2222734</v>
      </c>
      <c r="E4" s="1523">
        <v>4813909</v>
      </c>
      <c r="F4" s="1751">
        <f>E4-C4</f>
        <v>2431124</v>
      </c>
    </row>
    <row r="5" spans="1:6" ht="13.7" customHeight="1" x14ac:dyDescent="0.2">
      <c r="A5" s="714" t="s">
        <v>870</v>
      </c>
      <c r="B5" s="1749">
        <f>'Revenues 9-14'!D5</f>
        <v>980762</v>
      </c>
      <c r="C5" s="584">
        <v>514478</v>
      </c>
      <c r="D5" s="1752">
        <f t="shared" ref="D5:D18" si="0">B5-C5</f>
        <v>466284</v>
      </c>
      <c r="E5" s="584">
        <v>1039114</v>
      </c>
      <c r="F5" s="1752">
        <f>E5-C5</f>
        <v>524636</v>
      </c>
    </row>
    <row r="6" spans="1:6" ht="13.7" customHeight="1" x14ac:dyDescent="0.2">
      <c r="A6" s="714" t="s">
        <v>411</v>
      </c>
      <c r="B6" s="1749">
        <f>'Revenues 9-14'!E5</f>
        <v>1664225</v>
      </c>
      <c r="C6" s="584">
        <v>876464</v>
      </c>
      <c r="D6" s="1752">
        <f t="shared" si="0"/>
        <v>787761</v>
      </c>
      <c r="E6" s="584">
        <v>1770077</v>
      </c>
      <c r="F6" s="1752">
        <f t="shared" ref="F6:F18" si="1">E6-C6</f>
        <v>893613</v>
      </c>
    </row>
    <row r="7" spans="1:6" ht="13.7" customHeight="1" x14ac:dyDescent="0.2">
      <c r="A7" s="714" t="s">
        <v>155</v>
      </c>
      <c r="B7" s="1749">
        <f>'Revenues 9-14'!F5</f>
        <v>250667</v>
      </c>
      <c r="C7" s="584">
        <v>135581</v>
      </c>
      <c r="D7" s="1752">
        <f t="shared" si="0"/>
        <v>115086</v>
      </c>
      <c r="E7" s="584">
        <v>273684</v>
      </c>
      <c r="F7" s="1752">
        <f t="shared" si="1"/>
        <v>138103</v>
      </c>
    </row>
    <row r="8" spans="1:6" ht="13.7" customHeight="1" x14ac:dyDescent="0.2">
      <c r="A8" s="714" t="s">
        <v>1179</v>
      </c>
      <c r="B8" s="1749">
        <f>'Revenues 9-14'!G5</f>
        <v>243851</v>
      </c>
      <c r="C8" s="584">
        <v>169414</v>
      </c>
      <c r="D8" s="1752">
        <f t="shared" si="0"/>
        <v>74437</v>
      </c>
      <c r="E8" s="584">
        <v>268851</v>
      </c>
      <c r="F8" s="1752">
        <f t="shared" si="1"/>
        <v>99437</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92540</v>
      </c>
      <c r="C10" s="584">
        <v>50263</v>
      </c>
      <c r="D10" s="1752">
        <f t="shared" si="0"/>
        <v>42277</v>
      </c>
      <c r="E10" s="584">
        <v>101341</v>
      </c>
      <c r="F10" s="1752">
        <f t="shared" si="1"/>
        <v>51078</v>
      </c>
    </row>
    <row r="11" spans="1:6" x14ac:dyDescent="0.2">
      <c r="A11" s="714" t="s">
        <v>409</v>
      </c>
      <c r="B11" s="1749">
        <f>'Revenues 9-14'!J5</f>
        <v>0</v>
      </c>
      <c r="C11" s="584"/>
      <c r="D11" s="1752">
        <f t="shared" si="0"/>
        <v>0</v>
      </c>
      <c r="E11" s="584"/>
      <c r="F11" s="1752">
        <f t="shared" si="1"/>
        <v>0</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80694</v>
      </c>
      <c r="C14" s="584">
        <v>41816</v>
      </c>
      <c r="D14" s="1752">
        <f t="shared" si="0"/>
        <v>38878</v>
      </c>
      <c r="E14" s="584">
        <v>84199</v>
      </c>
      <c r="F14" s="1752">
        <f t="shared" si="1"/>
        <v>42383</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150105</v>
      </c>
      <c r="C16" s="584">
        <v>53158</v>
      </c>
      <c r="D16" s="1752">
        <f t="shared" si="0"/>
        <v>96947</v>
      </c>
      <c r="E16" s="584">
        <v>180559</v>
      </c>
      <c r="F16" s="1752">
        <f t="shared" si="1"/>
        <v>127401</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8068363</v>
      </c>
      <c r="C19" s="1750">
        <f>SUM(C4:C18)</f>
        <v>4223959</v>
      </c>
      <c r="D19" s="1750">
        <f>SUM(D4:D18)</f>
        <v>3844404</v>
      </c>
      <c r="E19" s="1750">
        <f>SUM(E4:E18)</f>
        <v>8531734</v>
      </c>
      <c r="F19" s="1750">
        <f>SUM(F4:F18)</f>
        <v>4307775</v>
      </c>
    </row>
    <row r="20" spans="1:6" ht="13.5" thickTop="1" x14ac:dyDescent="0.2">
      <c r="B20" s="712"/>
      <c r="F20" s="715"/>
    </row>
    <row r="21" spans="1:6" x14ac:dyDescent="0.2">
      <c r="A21" s="716" t="s">
        <v>1805</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G31" sqref="G31"/>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80" t="s">
        <v>629</v>
      </c>
      <c r="B1" s="2281"/>
      <c r="C1" s="720"/>
    </row>
    <row r="2" spans="1:7" ht="33.75" x14ac:dyDescent="0.2">
      <c r="A2" s="2289" t="s">
        <v>1799</v>
      </c>
      <c r="B2" s="2290"/>
      <c r="C2" s="1883" t="s">
        <v>1952</v>
      </c>
      <c r="D2" s="722" t="s">
        <v>1953</v>
      </c>
      <c r="E2" s="722" t="s">
        <v>1954</v>
      </c>
      <c r="F2" s="1883" t="s">
        <v>1955</v>
      </c>
    </row>
    <row r="3" spans="1:7" ht="15.75" customHeight="1" x14ac:dyDescent="0.2">
      <c r="A3" s="2293" t="s">
        <v>1114</v>
      </c>
      <c r="B3" s="2294"/>
      <c r="C3" s="2282"/>
      <c r="D3" s="2283"/>
      <c r="E3" s="2283"/>
      <c r="F3" s="2284"/>
    </row>
    <row r="4" spans="1:7" ht="12.75" customHeight="1" thickBot="1" x14ac:dyDescent="0.25">
      <c r="A4" s="2291" t="s">
        <v>630</v>
      </c>
      <c r="B4" s="2292"/>
      <c r="C4" s="580"/>
      <c r="D4" s="580"/>
      <c r="E4" s="580"/>
      <c r="F4" s="1754">
        <f>SUM(C4+D4)-E4</f>
        <v>0</v>
      </c>
    </row>
    <row r="5" spans="1:7" ht="15.75" customHeight="1" thickTop="1" x14ac:dyDescent="0.2">
      <c r="A5" s="2276" t="s">
        <v>1110</v>
      </c>
      <c r="B5" s="2277"/>
      <c r="C5" s="2285"/>
      <c r="D5" s="2286"/>
      <c r="E5" s="2286"/>
      <c r="F5" s="2287"/>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278" t="s">
        <v>631</v>
      </c>
      <c r="B15" s="2279"/>
      <c r="C15" s="1754">
        <f>SUM(C6:C14)</f>
        <v>0</v>
      </c>
      <c r="D15" s="1754">
        <f>SUM(D6:D14)</f>
        <v>0</v>
      </c>
      <c r="E15" s="1754">
        <f>SUM(E6:E14)</f>
        <v>0</v>
      </c>
      <c r="F15" s="1754">
        <f>SUM(F6:F14)</f>
        <v>0</v>
      </c>
      <c r="G15" s="551"/>
    </row>
    <row r="16" spans="1:7" s="201" customFormat="1" ht="15.75" customHeight="1" thickTop="1" x14ac:dyDescent="0.2">
      <c r="A16" s="2288" t="s">
        <v>1111</v>
      </c>
      <c r="B16" s="2277"/>
      <c r="C16" s="2285"/>
      <c r="D16" s="2286"/>
      <c r="E16" s="2286"/>
      <c r="F16" s="2287"/>
    </row>
    <row r="17" spans="1:11" ht="12.75" customHeight="1" thickBot="1" x14ac:dyDescent="0.25">
      <c r="A17" s="2301" t="s">
        <v>64</v>
      </c>
      <c r="B17" s="2302"/>
      <c r="C17" s="725"/>
      <c r="D17" s="584"/>
      <c r="E17" s="725"/>
      <c r="F17" s="1754">
        <f>SUM(C17+D17)-E17</f>
        <v>0</v>
      </c>
    </row>
    <row r="18" spans="1:11" ht="12.75" customHeight="1" thickTop="1" thickBot="1" x14ac:dyDescent="0.25">
      <c r="A18" s="2301" t="s">
        <v>6</v>
      </c>
      <c r="B18" s="2302"/>
      <c r="C18" s="725"/>
      <c r="D18" s="584"/>
      <c r="E18" s="725"/>
      <c r="F18" s="1754">
        <f>SUM(C18+D18)-E18</f>
        <v>0</v>
      </c>
    </row>
    <row r="19" spans="1:11" ht="12.75" customHeight="1" thickTop="1" thickBot="1" x14ac:dyDescent="0.25">
      <c r="A19" s="2301" t="s">
        <v>388</v>
      </c>
      <c r="B19" s="2302"/>
      <c r="C19" s="725"/>
      <c r="D19" s="584"/>
      <c r="E19" s="725"/>
      <c r="F19" s="1754">
        <f>SUM(C19+D19)-E19</f>
        <v>0</v>
      </c>
    </row>
    <row r="20" spans="1:11" ht="12.75" customHeight="1" thickTop="1" thickBot="1" x14ac:dyDescent="0.25">
      <c r="A20" s="2301" t="s">
        <v>448</v>
      </c>
      <c r="B20" s="2302"/>
      <c r="C20" s="725"/>
      <c r="D20" s="584"/>
      <c r="E20" s="725"/>
      <c r="F20" s="1754">
        <f>SUM(C20+D20)-E20</f>
        <v>0</v>
      </c>
    </row>
    <row r="21" spans="1:11" ht="14.25" thickTop="1" thickBot="1" x14ac:dyDescent="0.25">
      <c r="A21" s="2278" t="s">
        <v>632</v>
      </c>
      <c r="B21" s="2279"/>
      <c r="C21" s="1754">
        <f>SUM(C17:C20)</f>
        <v>0</v>
      </c>
      <c r="D21" s="1754">
        <f>SUM(D17:D20)</f>
        <v>0</v>
      </c>
      <c r="E21" s="1754">
        <f>SUM(E17:E20)</f>
        <v>0</v>
      </c>
      <c r="F21" s="1754">
        <f>SUM(F17:F20)</f>
        <v>0</v>
      </c>
      <c r="G21" s="551"/>
    </row>
    <row r="22" spans="1:11" ht="15.75" customHeight="1" thickTop="1" x14ac:dyDescent="0.2">
      <c r="A22" s="2303" t="s">
        <v>1112</v>
      </c>
      <c r="B22" s="2277"/>
      <c r="C22" s="2285"/>
      <c r="D22" s="2286"/>
      <c r="E22" s="2286"/>
      <c r="F22" s="2287"/>
    </row>
    <row r="23" spans="1:11" ht="13.5" thickBot="1" x14ac:dyDescent="0.25">
      <c r="A23" s="2291" t="s">
        <v>633</v>
      </c>
      <c r="B23" s="2292"/>
      <c r="C23" s="580"/>
      <c r="D23" s="580"/>
      <c r="E23" s="580"/>
      <c r="F23" s="1754">
        <f>SUM(C23+D23)-E23</f>
        <v>0</v>
      </c>
      <c r="G23" s="551"/>
    </row>
    <row r="24" spans="1:11" ht="15.75" customHeight="1" thickTop="1" x14ac:dyDescent="0.2">
      <c r="A24" s="2303" t="s">
        <v>1113</v>
      </c>
      <c r="B24" s="2277"/>
      <c r="C24" s="2285"/>
      <c r="D24" s="2286"/>
      <c r="E24" s="2286"/>
      <c r="F24" s="2287"/>
    </row>
    <row r="25" spans="1:11" ht="13.5" thickBot="1" x14ac:dyDescent="0.25">
      <c r="A25" s="2291" t="s">
        <v>634</v>
      </c>
      <c r="B25" s="2292"/>
      <c r="C25" s="580"/>
      <c r="D25" s="580"/>
      <c r="E25" s="580"/>
      <c r="F25" s="1754">
        <f>SUM(C25+D25)-E25</f>
        <v>0</v>
      </c>
      <c r="G25" s="551"/>
    </row>
    <row r="26" spans="1:11" ht="15.75" customHeight="1" thickTop="1" x14ac:dyDescent="0.2">
      <c r="A26" s="2276" t="s">
        <v>657</v>
      </c>
      <c r="B26" s="2277"/>
      <c r="C26" s="726"/>
      <c r="D26" s="726"/>
      <c r="E26" s="726"/>
      <c r="F26" s="727"/>
    </row>
    <row r="27" spans="1:11" ht="13.5" thickBot="1" x14ac:dyDescent="0.25">
      <c r="A27" s="2278" t="s">
        <v>1070</v>
      </c>
      <c r="B27" s="2279"/>
      <c r="C27" s="584"/>
      <c r="D27" s="584"/>
      <c r="E27" s="584"/>
      <c r="F27" s="1754">
        <f>SUM(C27+D27)-E27</f>
        <v>0</v>
      </c>
      <c r="G27" s="551"/>
    </row>
    <row r="28" spans="1:11" ht="7.5" customHeight="1" thickTop="1" x14ac:dyDescent="0.2">
      <c r="A28" s="592"/>
    </row>
    <row r="29" spans="1:11" ht="23.25" customHeight="1" x14ac:dyDescent="0.2">
      <c r="A29" s="2304" t="s">
        <v>582</v>
      </c>
      <c r="B29" s="2281"/>
      <c r="C29" s="728"/>
      <c r="D29" s="728"/>
      <c r="E29" s="728"/>
      <c r="F29" s="728"/>
      <c r="G29" s="728"/>
      <c r="H29" s="728"/>
      <c r="I29" s="728"/>
      <c r="J29" s="728"/>
    </row>
    <row r="30" spans="1:11" ht="33.75" x14ac:dyDescent="0.2">
      <c r="A30" s="1528" t="s">
        <v>1071</v>
      </c>
      <c r="B30" s="729" t="s">
        <v>1124</v>
      </c>
      <c r="C30" s="1884" t="s">
        <v>583</v>
      </c>
      <c r="D30" s="1884" t="s">
        <v>1673</v>
      </c>
      <c r="E30" s="1884" t="s">
        <v>1956</v>
      </c>
      <c r="F30" s="1884" t="s">
        <v>1957</v>
      </c>
      <c r="G30" s="1884" t="s">
        <v>1907</v>
      </c>
      <c r="H30" s="1884" t="s">
        <v>1958</v>
      </c>
      <c r="I30" s="1884" t="s">
        <v>1959</v>
      </c>
      <c r="J30" s="1885" t="s">
        <v>2</v>
      </c>
      <c r="K30" s="730"/>
    </row>
    <row r="31" spans="1:11" ht="12" customHeight="1" x14ac:dyDescent="0.2">
      <c r="A31" s="731" t="s">
        <v>2076</v>
      </c>
      <c r="B31" s="732">
        <v>38106</v>
      </c>
      <c r="C31" s="733">
        <v>1459463</v>
      </c>
      <c r="D31" s="734">
        <v>6</v>
      </c>
      <c r="E31" s="733">
        <v>379788</v>
      </c>
      <c r="F31" s="733"/>
      <c r="G31" s="733">
        <v>-84881</v>
      </c>
      <c r="H31" s="733">
        <v>87045</v>
      </c>
      <c r="I31" s="1755">
        <f>((E31+F31)-H31)+G31</f>
        <v>207862</v>
      </c>
      <c r="J31" s="733">
        <v>318733</v>
      </c>
      <c r="K31" s="735"/>
    </row>
    <row r="32" spans="1:11" ht="12" customHeight="1" x14ac:dyDescent="0.2">
      <c r="A32" s="731" t="s">
        <v>2077</v>
      </c>
      <c r="B32" s="732">
        <v>41207</v>
      </c>
      <c r="C32" s="733">
        <v>3740000</v>
      </c>
      <c r="D32" s="734">
        <v>1</v>
      </c>
      <c r="E32" s="733">
        <v>1430000</v>
      </c>
      <c r="F32" s="733"/>
      <c r="G32" s="733"/>
      <c r="H32" s="733">
        <v>500000</v>
      </c>
      <c r="I32" s="1755">
        <f>((E32+F32)-H32)+G32</f>
        <v>930000</v>
      </c>
      <c r="J32" s="733">
        <v>784965</v>
      </c>
      <c r="K32" s="735"/>
    </row>
    <row r="33" spans="1:11" ht="12" customHeight="1" x14ac:dyDescent="0.2">
      <c r="A33" s="731" t="s">
        <v>2078</v>
      </c>
      <c r="B33" s="732">
        <v>42283</v>
      </c>
      <c r="C33" s="733">
        <v>4310000</v>
      </c>
      <c r="D33" s="734">
        <v>3</v>
      </c>
      <c r="E33" s="733">
        <v>2685000</v>
      </c>
      <c r="F33" s="733"/>
      <c r="G33" s="733"/>
      <c r="H33" s="733">
        <v>845000</v>
      </c>
      <c r="I33" s="1755">
        <f t="shared" ref="I33:I48" si="1">((E33+F33)-H33)+G33</f>
        <v>1840000</v>
      </c>
      <c r="J33" s="733">
        <v>1553049</v>
      </c>
      <c r="K33" s="735"/>
    </row>
    <row r="34" spans="1:11" ht="12" customHeight="1" x14ac:dyDescent="0.2">
      <c r="A34" s="731" t="s">
        <v>2079</v>
      </c>
      <c r="B34" s="732">
        <v>43417</v>
      </c>
      <c r="C34" s="733">
        <v>2560000</v>
      </c>
      <c r="D34" s="734">
        <v>1</v>
      </c>
      <c r="E34" s="733"/>
      <c r="F34" s="733">
        <v>2560000</v>
      </c>
      <c r="G34" s="733"/>
      <c r="H34" s="733"/>
      <c r="I34" s="1755">
        <f t="shared" si="1"/>
        <v>2560000</v>
      </c>
      <c r="J34" s="733">
        <v>2160762</v>
      </c>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c r="B36" s="732"/>
      <c r="C36" s="733"/>
      <c r="D36" s="734"/>
      <c r="E36" s="733"/>
      <c r="F36" s="733"/>
      <c r="G36" s="733"/>
      <c r="H36" s="733"/>
      <c r="I36" s="1755">
        <f t="shared" si="1"/>
        <v>0</v>
      </c>
      <c r="J36" s="733"/>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12069463</v>
      </c>
      <c r="D49" s="744"/>
      <c r="E49" s="1755">
        <f t="shared" ref="E49:J49" si="2">SUM(E31:E48)</f>
        <v>4494788</v>
      </c>
      <c r="F49" s="1755">
        <f t="shared" si="2"/>
        <v>2560000</v>
      </c>
      <c r="G49" s="1755">
        <f t="shared" si="2"/>
        <v>-84881</v>
      </c>
      <c r="H49" s="1755">
        <f t="shared" si="2"/>
        <v>1432045</v>
      </c>
      <c r="I49" s="1755">
        <f t="shared" si="2"/>
        <v>5537862</v>
      </c>
      <c r="J49" s="1755">
        <f t="shared" si="2"/>
        <v>4817509</v>
      </c>
      <c r="K49" s="736"/>
    </row>
    <row r="50" spans="1:11" ht="6" customHeight="1" x14ac:dyDescent="0.2">
      <c r="A50" s="745"/>
      <c r="B50" s="735"/>
      <c r="C50" s="735"/>
      <c r="D50" s="735"/>
      <c r="E50" s="735"/>
      <c r="F50" s="735"/>
      <c r="G50" s="735"/>
      <c r="H50" s="735"/>
      <c r="I50" s="735"/>
      <c r="J50" s="745"/>
    </row>
    <row r="51" spans="1:11" x14ac:dyDescent="0.2">
      <c r="A51" s="746" t="s">
        <v>1804</v>
      </c>
      <c r="B51" s="745"/>
      <c r="C51" s="736"/>
      <c r="D51" s="736"/>
      <c r="E51" s="736"/>
      <c r="F51" s="736"/>
      <c r="G51" s="736"/>
      <c r="H51" s="735"/>
      <c r="I51" s="735"/>
      <c r="J51" s="745"/>
    </row>
    <row r="52" spans="1:11" ht="11.25" customHeight="1" x14ac:dyDescent="0.2">
      <c r="A52" s="747" t="s">
        <v>912</v>
      </c>
      <c r="B52" s="2295" t="s">
        <v>584</v>
      </c>
      <c r="C52" s="2296"/>
      <c r="D52" s="2296"/>
      <c r="E52" s="748" t="s">
        <v>845</v>
      </c>
      <c r="F52" s="2297"/>
      <c r="G52" s="2298"/>
      <c r="H52" s="735"/>
      <c r="I52" s="735"/>
      <c r="J52" s="745"/>
    </row>
    <row r="53" spans="1:11" ht="11.25" customHeight="1" x14ac:dyDescent="0.2">
      <c r="A53" s="749" t="s">
        <v>913</v>
      </c>
      <c r="B53" s="750" t="s">
        <v>951</v>
      </c>
      <c r="C53" s="745"/>
      <c r="D53" s="736"/>
      <c r="E53" s="748" t="s">
        <v>497</v>
      </c>
      <c r="F53" s="2299"/>
      <c r="G53" s="2300"/>
      <c r="H53" s="735"/>
      <c r="I53" s="735"/>
      <c r="J53" s="745"/>
    </row>
    <row r="54" spans="1:11" ht="11.25" customHeight="1" x14ac:dyDescent="0.2">
      <c r="A54" s="751" t="s">
        <v>914</v>
      </c>
      <c r="B54" s="746" t="s">
        <v>952</v>
      </c>
      <c r="C54" s="745"/>
      <c r="D54" s="736"/>
      <c r="E54" s="748" t="s">
        <v>498</v>
      </c>
      <c r="F54" s="2299"/>
      <c r="G54" s="2300"/>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5" zoomScaleNormal="115" workbookViewId="0">
      <selection activeCell="H23" sqref="H23"/>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329" t="s">
        <v>856</v>
      </c>
      <c r="B1" s="2330"/>
      <c r="C1" s="2330"/>
      <c r="D1" s="2330"/>
      <c r="E1" s="2330"/>
      <c r="F1" s="2330"/>
      <c r="G1" s="2331"/>
      <c r="H1" s="1529"/>
      <c r="I1" s="759"/>
      <c r="J1" s="432"/>
    </row>
    <row r="2" spans="1:11" ht="26.25" x14ac:dyDescent="0.2">
      <c r="A2" s="2308" t="s">
        <v>1677</v>
      </c>
      <c r="B2" s="2309"/>
      <c r="C2" s="2309"/>
      <c r="D2" s="2309"/>
      <c r="E2" s="2310"/>
      <c r="F2" s="760" t="s">
        <v>904</v>
      </c>
      <c r="G2" s="761" t="s">
        <v>1674</v>
      </c>
      <c r="H2" s="761" t="s">
        <v>410</v>
      </c>
      <c r="I2" s="761" t="s">
        <v>1158</v>
      </c>
      <c r="J2" s="761" t="s">
        <v>1809</v>
      </c>
      <c r="K2" s="761" t="s">
        <v>138</v>
      </c>
    </row>
    <row r="3" spans="1:11" x14ac:dyDescent="0.2">
      <c r="A3" s="2311" t="s">
        <v>1960</v>
      </c>
      <c r="B3" s="2312"/>
      <c r="C3" s="2312"/>
      <c r="D3" s="2312"/>
      <c r="E3" s="2313"/>
      <c r="F3" s="762"/>
      <c r="G3" s="763"/>
      <c r="H3" s="763"/>
      <c r="I3" s="763"/>
      <c r="J3" s="764"/>
      <c r="K3" s="764"/>
    </row>
    <row r="4" spans="1:11" x14ac:dyDescent="0.2">
      <c r="A4" s="2314" t="s">
        <v>369</v>
      </c>
      <c r="B4" s="2315"/>
      <c r="C4" s="2315"/>
      <c r="D4" s="2315"/>
      <c r="E4" s="2296"/>
      <c r="F4" s="765"/>
      <c r="G4" s="766"/>
      <c r="H4" s="767"/>
      <c r="I4" s="766"/>
      <c r="J4" s="768"/>
      <c r="K4" s="768"/>
    </row>
    <row r="5" spans="1:11" x14ac:dyDescent="0.2">
      <c r="A5" s="2332" t="s">
        <v>1069</v>
      </c>
      <c r="B5" s="2305"/>
      <c r="C5" s="2305"/>
      <c r="D5" s="2305"/>
      <c r="E5" s="2333"/>
      <c r="F5" s="769" t="s">
        <v>848</v>
      </c>
      <c r="G5" s="770"/>
      <c r="H5" s="763">
        <v>80694</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332" t="s">
        <v>1810</v>
      </c>
      <c r="B10" s="2305"/>
      <c r="C10" s="2305"/>
      <c r="D10" s="2305"/>
      <c r="E10" s="2334"/>
      <c r="F10" s="782" t="s">
        <v>862</v>
      </c>
      <c r="G10" s="781"/>
      <c r="H10" s="783"/>
      <c r="I10" s="763"/>
      <c r="J10" s="764"/>
      <c r="K10" s="764"/>
    </row>
    <row r="11" spans="1:11" x14ac:dyDescent="0.2">
      <c r="A11" s="2332" t="s">
        <v>160</v>
      </c>
      <c r="B11" s="2305"/>
      <c r="C11" s="2305"/>
      <c r="D11" s="2305"/>
      <c r="E11" s="2333"/>
      <c r="F11" s="769" t="s">
        <v>852</v>
      </c>
      <c r="G11" s="770"/>
      <c r="H11" s="763"/>
      <c r="I11" s="763"/>
      <c r="J11" s="764"/>
      <c r="K11" s="772"/>
    </row>
    <row r="12" spans="1:11" ht="13.5" thickBot="1" x14ac:dyDescent="0.25">
      <c r="A12" s="2322" t="s">
        <v>905</v>
      </c>
      <c r="B12" s="2323"/>
      <c r="C12" s="2323"/>
      <c r="D12" s="2323"/>
      <c r="E12" s="2324"/>
      <c r="F12" s="1756"/>
      <c r="G12" s="1757">
        <f>SUM(G5:G11)</f>
        <v>0</v>
      </c>
      <c r="H12" s="1757">
        <f>SUM(H5:H11)</f>
        <v>80694</v>
      </c>
      <c r="I12" s="1757">
        <f>SUM(I5:I11)</f>
        <v>0</v>
      </c>
      <c r="J12" s="1757">
        <f>SUM(J5:J11)</f>
        <v>0</v>
      </c>
      <c r="K12" s="1757">
        <f>SUM(K5:K11)</f>
        <v>0</v>
      </c>
    </row>
    <row r="13" spans="1:11" ht="13.5" thickTop="1" x14ac:dyDescent="0.2">
      <c r="A13" s="2316" t="s">
        <v>370</v>
      </c>
      <c r="B13" s="2317"/>
      <c r="C13" s="2317"/>
      <c r="D13" s="2317"/>
      <c r="E13" s="2318"/>
      <c r="F13" s="784"/>
      <c r="G13" s="785"/>
      <c r="H13" s="786"/>
      <c r="I13" s="787"/>
      <c r="J13" s="787"/>
      <c r="K13" s="787"/>
    </row>
    <row r="14" spans="1:11" x14ac:dyDescent="0.2">
      <c r="A14" s="2338" t="s">
        <v>456</v>
      </c>
      <c r="B14" s="2338"/>
      <c r="C14" s="2338"/>
      <c r="D14" s="2338"/>
      <c r="E14" s="2339"/>
      <c r="F14" s="788" t="s">
        <v>854</v>
      </c>
      <c r="G14" s="781"/>
      <c r="H14" s="763"/>
      <c r="I14" s="770"/>
      <c r="J14" s="772"/>
      <c r="K14" s="764"/>
    </row>
    <row r="15" spans="1:11" x14ac:dyDescent="0.2">
      <c r="A15" s="2305" t="s">
        <v>4</v>
      </c>
      <c r="B15" s="2305"/>
      <c r="C15" s="2305"/>
      <c r="D15" s="2305"/>
      <c r="E15" s="2333"/>
      <c r="F15" s="788" t="s">
        <v>855</v>
      </c>
      <c r="G15" s="770"/>
      <c r="H15" s="763"/>
      <c r="I15" s="763"/>
      <c r="J15" s="764"/>
      <c r="K15" s="764"/>
    </row>
    <row r="16" spans="1:11" x14ac:dyDescent="0.2">
      <c r="A16" s="2305" t="s">
        <v>298</v>
      </c>
      <c r="B16" s="2305"/>
      <c r="C16" s="2305"/>
      <c r="D16" s="2305"/>
      <c r="E16" s="2333"/>
      <c r="F16" s="788" t="s">
        <v>923</v>
      </c>
      <c r="G16" s="771"/>
      <c r="H16" s="766"/>
      <c r="I16" s="766"/>
      <c r="J16" s="768"/>
      <c r="K16" s="768"/>
    </row>
    <row r="17" spans="1:11" x14ac:dyDescent="0.2">
      <c r="A17" s="2327" t="s">
        <v>935</v>
      </c>
      <c r="B17" s="2327"/>
      <c r="C17" s="2327"/>
      <c r="D17" s="2327"/>
      <c r="E17" s="2328"/>
      <c r="F17" s="789"/>
      <c r="G17" s="790"/>
      <c r="H17" s="791"/>
      <c r="I17" s="791"/>
      <c r="J17" s="792"/>
      <c r="K17" s="793"/>
    </row>
    <row r="18" spans="1:11" x14ac:dyDescent="0.2">
      <c r="A18" s="2319" t="s">
        <v>368</v>
      </c>
      <c r="B18" s="2320"/>
      <c r="C18" s="2320"/>
      <c r="D18" s="2320"/>
      <c r="E18" s="2321"/>
      <c r="F18" s="788" t="s">
        <v>932</v>
      </c>
      <c r="G18" s="781"/>
      <c r="H18" s="781"/>
      <c r="I18" s="781"/>
      <c r="J18" s="764"/>
      <c r="K18" s="794"/>
    </row>
    <row r="19" spans="1:11" ht="21.75" customHeight="1" x14ac:dyDescent="0.2">
      <c r="A19" s="2340" t="s">
        <v>1806</v>
      </c>
      <c r="B19" s="2340"/>
      <c r="C19" s="2340"/>
      <c r="D19" s="2340"/>
      <c r="E19" s="2341"/>
      <c r="F19" s="788" t="s">
        <v>933</v>
      </c>
      <c r="G19" s="781"/>
      <c r="H19" s="781"/>
      <c r="I19" s="781"/>
      <c r="J19" s="764"/>
      <c r="K19" s="794"/>
    </row>
    <row r="20" spans="1:11" x14ac:dyDescent="0.2">
      <c r="A20" s="2319" t="s">
        <v>1811</v>
      </c>
      <c r="B20" s="2320"/>
      <c r="C20" s="2320"/>
      <c r="D20" s="2320"/>
      <c r="E20" s="2321"/>
      <c r="F20" s="788" t="s">
        <v>934</v>
      </c>
      <c r="G20" s="781"/>
      <c r="H20" s="781"/>
      <c r="I20" s="781"/>
      <c r="J20" s="764"/>
      <c r="K20" s="794"/>
    </row>
    <row r="21" spans="1:11" ht="13.5" thickBot="1" x14ac:dyDescent="0.25">
      <c r="A21" s="2325" t="s">
        <v>638</v>
      </c>
      <c r="B21" s="2325"/>
      <c r="C21" s="2325"/>
      <c r="D21" s="2325"/>
      <c r="E21" s="2325"/>
      <c r="F21" s="1758"/>
      <c r="G21" s="791"/>
      <c r="H21" s="795"/>
      <c r="I21" s="795"/>
      <c r="J21" s="1759">
        <f>SUM(J18:J20)</f>
        <v>0</v>
      </c>
      <c r="K21" s="792"/>
    </row>
    <row r="22" spans="1:11" ht="13.5" thickTop="1" x14ac:dyDescent="0.2">
      <c r="A22" s="2305" t="s">
        <v>1812</v>
      </c>
      <c r="B22" s="2305"/>
      <c r="C22" s="2305"/>
      <c r="D22" s="2305"/>
      <c r="E22" s="2333"/>
      <c r="F22" s="788" t="s">
        <v>862</v>
      </c>
      <c r="G22" s="781"/>
      <c r="H22" s="763">
        <v>80694</v>
      </c>
      <c r="I22" s="763"/>
      <c r="J22" s="796"/>
      <c r="K22" s="764"/>
    </row>
    <row r="23" spans="1:11" ht="13.5" thickBot="1" x14ac:dyDescent="0.25">
      <c r="A23" s="2326" t="s">
        <v>906</v>
      </c>
      <c r="B23" s="2325"/>
      <c r="C23" s="2325"/>
      <c r="D23" s="2325"/>
      <c r="E23" s="2325"/>
      <c r="F23" s="1760"/>
      <c r="G23" s="1757">
        <f>SUM(G14:G16,G21,G22)</f>
        <v>0</v>
      </c>
      <c r="H23" s="1757">
        <f>SUM(H14:H16,H21,H22)</f>
        <v>80694</v>
      </c>
      <c r="I23" s="1757">
        <f>SUM(I14:I16,I21,I22)</f>
        <v>0</v>
      </c>
      <c r="J23" s="1757">
        <f>SUM(J14:J16,J21,J22)</f>
        <v>0</v>
      </c>
      <c r="K23" s="1757">
        <f>SUM(K14:K16,K21,K22)</f>
        <v>0</v>
      </c>
    </row>
    <row r="24" spans="1:11" ht="14.25" thickTop="1" thickBot="1" x14ac:dyDescent="0.25">
      <c r="A24" s="2326" t="s">
        <v>1961</v>
      </c>
      <c r="B24" s="2325"/>
      <c r="C24" s="2325"/>
      <c r="D24" s="2325"/>
      <c r="E24" s="2325"/>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1906</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c r="E30" s="807" t="s">
        <v>768</v>
      </c>
      <c r="F30" s="201"/>
      <c r="G30" s="804"/>
    </row>
    <row r="31" spans="1:11" x14ac:dyDescent="0.2">
      <c r="A31" s="808"/>
      <c r="D31" s="236"/>
      <c r="E31" s="809" t="s">
        <v>769</v>
      </c>
      <c r="F31" s="810" t="s">
        <v>539</v>
      </c>
      <c r="G31" s="763"/>
      <c r="H31" s="2335"/>
      <c r="I31" s="2336"/>
      <c r="J31" s="2336"/>
      <c r="K31" s="2336"/>
    </row>
    <row r="32" spans="1:11" x14ac:dyDescent="0.2">
      <c r="A32" s="808"/>
      <c r="B32" s="236"/>
      <c r="C32" s="236"/>
      <c r="D32" s="236"/>
      <c r="E32" s="804"/>
      <c r="F32" s="810" t="s">
        <v>540</v>
      </c>
      <c r="G32" s="763"/>
      <c r="H32" s="2337"/>
      <c r="I32" s="2336"/>
      <c r="J32" s="2336"/>
      <c r="K32" s="2336"/>
    </row>
    <row r="33" spans="1:11" ht="1.5" customHeight="1" x14ac:dyDescent="0.2">
      <c r="A33" s="811" t="s">
        <v>1169</v>
      </c>
      <c r="B33" s="363"/>
      <c r="C33" s="363"/>
      <c r="D33" s="363"/>
      <c r="E33" s="363"/>
      <c r="F33" s="363"/>
      <c r="G33" s="812"/>
      <c r="H33" s="2337"/>
      <c r="I33" s="2336"/>
      <c r="J33" s="2336"/>
      <c r="K33" s="2336"/>
    </row>
    <row r="34" spans="1:11" x14ac:dyDescent="0.2">
      <c r="A34" s="813" t="s">
        <v>1813</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305" t="s">
        <v>541</v>
      </c>
      <c r="B41" s="2306"/>
      <c r="C41" s="2306"/>
      <c r="D41" s="2306"/>
      <c r="E41" s="2306"/>
      <c r="F41" s="2307"/>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1807</v>
      </c>
      <c r="B46" s="407" t="s">
        <v>1675</v>
      </c>
    </row>
    <row r="47" spans="1:11" s="822" customFormat="1" ht="12.75" customHeight="1" x14ac:dyDescent="0.2">
      <c r="A47" s="820"/>
      <c r="B47" s="821" t="s">
        <v>1676</v>
      </c>
      <c r="E47" s="821"/>
      <c r="K47" s="823"/>
    </row>
    <row r="48" spans="1:11" ht="12.75" customHeight="1" x14ac:dyDescent="0.2">
      <c r="A48" s="1531" t="s">
        <v>1808</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344" t="s">
        <v>1905</v>
      </c>
      <c r="B1" s="2345"/>
      <c r="C1" s="2346"/>
      <c r="D1" s="825"/>
      <c r="E1" s="826"/>
      <c r="F1" s="826"/>
      <c r="G1" s="827"/>
      <c r="H1" s="828"/>
      <c r="I1" s="829"/>
      <c r="J1" s="2342"/>
      <c r="K1" s="2343"/>
      <c r="L1" s="2343"/>
    </row>
    <row r="2" spans="1:14" ht="69.75" customHeight="1" x14ac:dyDescent="0.2">
      <c r="A2" s="830" t="s">
        <v>1678</v>
      </c>
      <c r="B2" s="831" t="s">
        <v>378</v>
      </c>
      <c r="C2" s="832" t="s">
        <v>1962</v>
      </c>
      <c r="D2" s="832" t="s">
        <v>1963</v>
      </c>
      <c r="E2" s="832" t="s">
        <v>1964</v>
      </c>
      <c r="F2" s="832" t="s">
        <v>1965</v>
      </c>
      <c r="G2" s="832" t="s">
        <v>605</v>
      </c>
      <c r="H2" s="832" t="s">
        <v>1966</v>
      </c>
      <c r="I2" s="832" t="s">
        <v>1967</v>
      </c>
      <c r="J2" s="832" t="s">
        <v>1968</v>
      </c>
      <c r="K2" s="832" t="s">
        <v>1969</v>
      </c>
      <c r="L2" s="832" t="s">
        <v>1970</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57292</v>
      </c>
      <c r="D5" s="840"/>
      <c r="E5" s="840"/>
      <c r="F5" s="1759">
        <f>(C5+D5)-E5</f>
        <v>57292</v>
      </c>
      <c r="G5" s="836"/>
      <c r="H5" s="841"/>
      <c r="I5" s="841"/>
      <c r="J5" s="841"/>
      <c r="K5" s="792"/>
      <c r="L5" s="1768">
        <f>F5-K5</f>
        <v>57292</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17379329</v>
      </c>
      <c r="D8" s="843"/>
      <c r="E8" s="843"/>
      <c r="F8" s="1759">
        <f>(C8+D8)-E8</f>
        <v>17379329</v>
      </c>
      <c r="G8" s="842">
        <v>50</v>
      </c>
      <c r="H8" s="764">
        <v>8194369</v>
      </c>
      <c r="I8" s="764">
        <v>409472</v>
      </c>
      <c r="J8" s="764"/>
      <c r="K8" s="1768">
        <f>(H8+I8)-J8</f>
        <v>8603841</v>
      </c>
      <c r="L8" s="1768">
        <f>F8-K8</f>
        <v>8775488</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398913</v>
      </c>
      <c r="D10" s="845">
        <v>10765</v>
      </c>
      <c r="E10" s="845"/>
      <c r="F10" s="1763">
        <f>(C10+D10)-E10</f>
        <v>409678</v>
      </c>
      <c r="G10" s="842">
        <v>20</v>
      </c>
      <c r="H10" s="846">
        <v>356338</v>
      </c>
      <c r="I10" s="846">
        <v>8984</v>
      </c>
      <c r="J10" s="846"/>
      <c r="K10" s="1768">
        <f>(H10+I10)-J10</f>
        <v>365322</v>
      </c>
      <c r="L10" s="1768">
        <f>F10-K10</f>
        <v>44356</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1964760</v>
      </c>
      <c r="D12" s="843">
        <v>92130</v>
      </c>
      <c r="E12" s="843"/>
      <c r="F12" s="1759">
        <f>(C12+D12)-E12</f>
        <v>2056890</v>
      </c>
      <c r="G12" s="842">
        <v>10</v>
      </c>
      <c r="H12" s="764">
        <v>1560989</v>
      </c>
      <c r="I12" s="764">
        <v>78424</v>
      </c>
      <c r="J12" s="764"/>
      <c r="K12" s="1768">
        <f>(H12+I12)-J12</f>
        <v>1639413</v>
      </c>
      <c r="L12" s="1768">
        <f>F12-K12</f>
        <v>417477</v>
      </c>
    </row>
    <row r="13" spans="1:14" ht="14.25" thickTop="1" thickBot="1" x14ac:dyDescent="0.25">
      <c r="A13" s="847" t="s">
        <v>1122</v>
      </c>
      <c r="B13" s="839">
        <v>252</v>
      </c>
      <c r="C13" s="843">
        <v>996884</v>
      </c>
      <c r="D13" s="843"/>
      <c r="E13" s="843"/>
      <c r="F13" s="1759">
        <f>(C13+D13)-E13</f>
        <v>996884</v>
      </c>
      <c r="G13" s="842">
        <v>5</v>
      </c>
      <c r="H13" s="764">
        <v>615683</v>
      </c>
      <c r="I13" s="764">
        <v>59071</v>
      </c>
      <c r="J13" s="764"/>
      <c r="K13" s="1768">
        <f>(H13+I13)-J13</f>
        <v>674754</v>
      </c>
      <c r="L13" s="1768">
        <f>F13-K13</f>
        <v>322130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c r="D15" s="843">
        <v>20987</v>
      </c>
      <c r="E15" s="843"/>
      <c r="F15" s="1759">
        <f>(C15+D15)-E15</f>
        <v>20987</v>
      </c>
      <c r="G15" s="848" t="s">
        <v>862</v>
      </c>
      <c r="H15" s="780"/>
      <c r="I15" s="780"/>
      <c r="J15" s="780"/>
      <c r="K15" s="780"/>
      <c r="L15" s="1768">
        <f>F15-K15</f>
        <v>20987</v>
      </c>
    </row>
    <row r="16" spans="1:14" ht="15" customHeight="1" thickTop="1" thickBot="1" x14ac:dyDescent="0.25">
      <c r="A16" s="1764" t="s">
        <v>643</v>
      </c>
      <c r="B16" s="1765">
        <v>200</v>
      </c>
      <c r="C16" s="1759">
        <f>SUM(C3,C5:C6,C8:C10,C12:C15)</f>
        <v>20797178</v>
      </c>
      <c r="D16" s="1759">
        <f>SUM(D3,D5:D6,D8:D10,D12:D15)</f>
        <v>123882</v>
      </c>
      <c r="E16" s="1759">
        <f>SUM(E3,E5:E6,E8:E10,E12:E15)</f>
        <v>0</v>
      </c>
      <c r="F16" s="1759">
        <f>SUM(F3,F5:F6,F8:F10,F12:F15)</f>
        <v>20921060</v>
      </c>
      <c r="G16" s="842"/>
      <c r="H16" s="1759">
        <f>SUM(H3,H6,H8:H10,H12:H14,)</f>
        <v>10727379</v>
      </c>
      <c r="I16" s="1759">
        <f>SUM(I3,I6,I8:I10,I12:I14,)</f>
        <v>555951</v>
      </c>
      <c r="J16" s="1759">
        <f>SUM(J3,J6,J8:J10,J12:J14,)</f>
        <v>0</v>
      </c>
      <c r="K16" s="1759">
        <f>(H16+I16)-J16</f>
        <v>11283330</v>
      </c>
      <c r="L16" s="1759">
        <f>F16-K16</f>
        <v>9637730</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0</v>
      </c>
      <c r="G17" s="836">
        <v>10</v>
      </c>
      <c r="H17" s="768"/>
      <c r="I17" s="1768">
        <f>F17/G17</f>
        <v>0</v>
      </c>
      <c r="J17" s="768"/>
      <c r="K17" s="794"/>
      <c r="L17" s="794"/>
    </row>
    <row r="18" spans="1:12" ht="14.25" thickTop="1" thickBot="1" x14ac:dyDescent="0.25">
      <c r="A18" s="1766" t="s">
        <v>685</v>
      </c>
      <c r="B18" s="1767"/>
      <c r="C18" s="770"/>
      <c r="D18" s="770"/>
      <c r="E18" s="770"/>
      <c r="F18" s="849"/>
      <c r="G18" s="850"/>
      <c r="H18" s="772"/>
      <c r="I18" s="1759">
        <f>SUM(I16,I17)</f>
        <v>555951</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50" t="s">
        <v>1971</v>
      </c>
      <c r="B1" s="2351"/>
      <c r="C1" s="2351"/>
      <c r="D1" s="2351"/>
      <c r="E1" s="2351"/>
      <c r="F1" s="2352"/>
      <c r="G1" s="854"/>
    </row>
    <row r="2" spans="1:7" ht="15" customHeight="1" thickBot="1" x14ac:dyDescent="0.25">
      <c r="A2" s="2353" t="s">
        <v>477</v>
      </c>
      <c r="B2" s="2354"/>
      <c r="C2" s="2354"/>
      <c r="D2" s="2354"/>
      <c r="E2" s="2354"/>
      <c r="F2" s="2355"/>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356"/>
      <c r="B5" s="2357"/>
      <c r="C5" s="2357"/>
      <c r="D5" s="2357"/>
      <c r="E5" s="2357"/>
      <c r="F5" s="2357"/>
    </row>
    <row r="6" spans="1:7" ht="13.5" customHeight="1" thickBot="1" x14ac:dyDescent="0.25">
      <c r="A6" s="2347" t="s">
        <v>1104</v>
      </c>
      <c r="B6" s="2348"/>
      <c r="C6" s="2348"/>
      <c r="D6" s="2348"/>
      <c r="E6" s="2348"/>
      <c r="F6" s="2349"/>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8526291</v>
      </c>
      <c r="G8" s="864"/>
    </row>
    <row r="9" spans="1:7" x14ac:dyDescent="0.2">
      <c r="A9" s="868" t="s">
        <v>460</v>
      </c>
      <c r="B9" s="869" t="s">
        <v>1873</v>
      </c>
      <c r="C9" s="870"/>
      <c r="D9" s="868" t="s">
        <v>501</v>
      </c>
      <c r="E9" s="867"/>
      <c r="F9" s="1908">
        <f>'Expenditures 15-22'!K151</f>
        <v>959670</v>
      </c>
      <c r="G9" s="871"/>
    </row>
    <row r="10" spans="1:7" x14ac:dyDescent="0.2">
      <c r="A10" s="868" t="s">
        <v>499</v>
      </c>
      <c r="B10" s="869" t="s">
        <v>1874</v>
      </c>
      <c r="C10" s="870"/>
      <c r="D10" s="868" t="s">
        <v>501</v>
      </c>
      <c r="E10" s="867"/>
      <c r="F10" s="1908">
        <f>'Expenditures 15-22'!K174</f>
        <v>1813486</v>
      </c>
      <c r="G10" s="871"/>
    </row>
    <row r="11" spans="1:7" x14ac:dyDescent="0.2">
      <c r="A11" s="868" t="s">
        <v>461</v>
      </c>
      <c r="B11" s="869" t="s">
        <v>1875</v>
      </c>
      <c r="C11" s="870"/>
      <c r="D11" s="868" t="s">
        <v>501</v>
      </c>
      <c r="E11" s="867"/>
      <c r="F11" s="1908">
        <f>'Expenditures 15-22'!K210</f>
        <v>944565</v>
      </c>
      <c r="G11" s="871"/>
    </row>
    <row r="12" spans="1:7" x14ac:dyDescent="0.2">
      <c r="A12" s="868" t="s">
        <v>462</v>
      </c>
      <c r="B12" s="869" t="s">
        <v>1876</v>
      </c>
      <c r="C12" s="870"/>
      <c r="D12" s="868" t="s">
        <v>501</v>
      </c>
      <c r="E12" s="867"/>
      <c r="F12" s="1908">
        <f>'Expenditures 15-22'!K295</f>
        <v>376934</v>
      </c>
      <c r="G12" s="871"/>
    </row>
    <row r="13" spans="1:7" x14ac:dyDescent="0.2">
      <c r="A13" s="868" t="s">
        <v>106</v>
      </c>
      <c r="B13" s="869" t="s">
        <v>1877</v>
      </c>
      <c r="C13" s="870"/>
      <c r="D13" s="868" t="s">
        <v>501</v>
      </c>
      <c r="E13" s="867"/>
      <c r="F13" s="1908">
        <f>'Expenditures 15-22'!K342</f>
        <v>0</v>
      </c>
      <c r="G13" s="872"/>
    </row>
    <row r="14" spans="1:7" ht="12" customHeight="1" thickBot="1" x14ac:dyDescent="0.25">
      <c r="A14" s="1769"/>
      <c r="B14" s="1770"/>
      <c r="C14" s="1771"/>
      <c r="D14" s="1772" t="s">
        <v>501</v>
      </c>
      <c r="E14" s="1773" t="s">
        <v>958</v>
      </c>
      <c r="F14" s="1774">
        <f>SUM(F8:F13)</f>
        <v>12620946</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1994</v>
      </c>
      <c r="C30" s="879">
        <f>'Revenues 9-14'!B150</f>
        <v>3499</v>
      </c>
      <c r="D30" s="880" t="str">
        <f>'Revenues 9-14'!A150</f>
        <v>Adult Ed - Other (Describe &amp; Itemize)</v>
      </c>
      <c r="E30" s="867"/>
      <c r="F30" s="1913">
        <f>('Revenues 9-14'!D150+'Revenues 9-14'!F150)</f>
        <v>0</v>
      </c>
      <c r="G30" s="864"/>
    </row>
    <row r="31" spans="1:7" x14ac:dyDescent="0.2">
      <c r="A31" s="868" t="s">
        <v>1097</v>
      </c>
      <c r="B31" s="869" t="s">
        <v>1995</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1996</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1997</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278872</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21048</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16853</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0</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5203</v>
      </c>
      <c r="G52" s="864"/>
    </row>
    <row r="53" spans="1:7" x14ac:dyDescent="0.2">
      <c r="A53" s="868" t="s">
        <v>459</v>
      </c>
      <c r="B53" s="868" t="s">
        <v>1475</v>
      </c>
      <c r="C53" s="888">
        <f>'Expenditures 15-22'!B102</f>
        <v>4000</v>
      </c>
      <c r="D53" s="887" t="str">
        <f>'Expenditures 15-22'!A102</f>
        <v>Total Payments to Other Govt Units</v>
      </c>
      <c r="E53" s="867"/>
      <c r="F53" s="1912">
        <f>'Expenditures 15-22'!K102</f>
        <v>667569</v>
      </c>
      <c r="G53" s="864"/>
    </row>
    <row r="54" spans="1:7" x14ac:dyDescent="0.2">
      <c r="A54" s="868" t="s">
        <v>459</v>
      </c>
      <c r="B54" s="868" t="s">
        <v>1476</v>
      </c>
      <c r="C54" s="888" t="s">
        <v>982</v>
      </c>
      <c r="D54" s="884" t="s">
        <v>1095</v>
      </c>
      <c r="E54" s="867"/>
      <c r="F54" s="1912">
        <f>'Expenditures 15-22'!G114</f>
        <v>50822</v>
      </c>
      <c r="G54" s="864"/>
    </row>
    <row r="55" spans="1:7" x14ac:dyDescent="0.2">
      <c r="A55" s="868" t="s">
        <v>459</v>
      </c>
      <c r="B55" s="868" t="s">
        <v>1477</v>
      </c>
      <c r="C55" s="888" t="s">
        <v>982</v>
      </c>
      <c r="D55" s="884" t="s">
        <v>291</v>
      </c>
      <c r="E55" s="867"/>
      <c r="F55" s="1912">
        <f>'Expenditures 15-22'!I114</f>
        <v>0</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1878</v>
      </c>
      <c r="C57" s="888">
        <f>'Expenditures 15-22'!B139</f>
        <v>4000</v>
      </c>
      <c r="D57" s="886" t="str">
        <f>'Expenditures 15-22'!A139</f>
        <v>Total Payments to Other Govt Units</v>
      </c>
      <c r="E57" s="867"/>
      <c r="F57" s="1912">
        <f>'Expenditures 15-22'!K139</f>
        <v>0</v>
      </c>
      <c r="G57" s="864"/>
    </row>
    <row r="58" spans="1:7" x14ac:dyDescent="0.2">
      <c r="A58" s="868" t="s">
        <v>460</v>
      </c>
      <c r="B58" s="868" t="s">
        <v>1879</v>
      </c>
      <c r="C58" s="885" t="s">
        <v>982</v>
      </c>
      <c r="D58" s="884" t="s">
        <v>1095</v>
      </c>
      <c r="E58" s="867"/>
      <c r="F58" s="1914">
        <f>'Expenditures 15-22'!G151</f>
        <v>28543</v>
      </c>
      <c r="G58" s="864"/>
    </row>
    <row r="59" spans="1:7" x14ac:dyDescent="0.2">
      <c r="A59" s="892" t="s">
        <v>460</v>
      </c>
      <c r="B59" s="855" t="s">
        <v>1880</v>
      </c>
      <c r="C59" s="893" t="s">
        <v>982</v>
      </c>
      <c r="D59" s="855" t="s">
        <v>291</v>
      </c>
      <c r="F59" s="1915">
        <f>'Expenditures 15-22'!I151</f>
        <v>0</v>
      </c>
      <c r="G59" s="864"/>
    </row>
    <row r="60" spans="1:7" x14ac:dyDescent="0.2">
      <c r="A60" s="892" t="s">
        <v>499</v>
      </c>
      <c r="B60" s="855" t="s">
        <v>1881</v>
      </c>
      <c r="C60" s="893">
        <v>4000</v>
      </c>
      <c r="D60" s="855" t="s">
        <v>312</v>
      </c>
      <c r="F60" s="1913">
        <f>'Expenditures 15-22'!K160</f>
        <v>0</v>
      </c>
      <c r="G60" s="864"/>
    </row>
    <row r="61" spans="1:7" x14ac:dyDescent="0.2">
      <c r="A61" s="894" t="s">
        <v>499</v>
      </c>
      <c r="B61" s="894" t="s">
        <v>1882</v>
      </c>
      <c r="C61" s="895" t="str">
        <f>'Expenditures 15-22'!B170</f>
        <v>5300</v>
      </c>
      <c r="D61" s="896" t="s">
        <v>311</v>
      </c>
      <c r="E61" s="878"/>
      <c r="F61" s="1912">
        <f>'Expenditures 15-22'!K170</f>
        <v>1432045</v>
      </c>
      <c r="G61" s="864"/>
    </row>
    <row r="62" spans="1:7" x14ac:dyDescent="0.2">
      <c r="A62" s="868" t="s">
        <v>461</v>
      </c>
      <c r="B62" s="868" t="s">
        <v>1883</v>
      </c>
      <c r="C62" s="885">
        <f>'Expenditures 15-22'!B185</f>
        <v>3000</v>
      </c>
      <c r="D62" s="875" t="s">
        <v>449</v>
      </c>
      <c r="E62" s="867"/>
      <c r="F62" s="1912">
        <f>'Expenditures 15-22'!K185-SUM('Expenditures 15-22'!G185,'Expenditures 15-22'!I185)</f>
        <v>0</v>
      </c>
      <c r="G62" s="864"/>
    </row>
    <row r="63" spans="1:7" x14ac:dyDescent="0.2">
      <c r="A63" s="868" t="s">
        <v>461</v>
      </c>
      <c r="B63" s="868" t="s">
        <v>1884</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1885</v>
      </c>
      <c r="C64" s="895" t="str">
        <f>'Expenditures 15-22'!B206</f>
        <v>5300</v>
      </c>
      <c r="D64" s="891" t="s">
        <v>311</v>
      </c>
      <c r="E64" s="867"/>
      <c r="F64" s="1912">
        <f>'Expenditures 15-22'!K206</f>
        <v>0</v>
      </c>
      <c r="G64" s="864"/>
    </row>
    <row r="65" spans="1:8" x14ac:dyDescent="0.2">
      <c r="A65" s="868" t="s">
        <v>461</v>
      </c>
      <c r="B65" s="868" t="s">
        <v>1886</v>
      </c>
      <c r="C65" s="885" t="s">
        <v>982</v>
      </c>
      <c r="D65" s="884" t="s">
        <v>1095</v>
      </c>
      <c r="E65" s="867"/>
      <c r="F65" s="1912">
        <f>'Expenditures 15-22'!G210</f>
        <v>9709</v>
      </c>
      <c r="G65" s="864"/>
    </row>
    <row r="66" spans="1:8" x14ac:dyDescent="0.2">
      <c r="A66" s="868" t="s">
        <v>461</v>
      </c>
      <c r="B66" s="868" t="s">
        <v>1887</v>
      </c>
      <c r="C66" s="885" t="s">
        <v>982</v>
      </c>
      <c r="D66" s="884" t="s">
        <v>291</v>
      </c>
      <c r="E66" s="867"/>
      <c r="F66" s="1912">
        <f>'Expenditures 15-22'!I210</f>
        <v>0</v>
      </c>
      <c r="G66" s="864"/>
    </row>
    <row r="67" spans="1:8" x14ac:dyDescent="0.2">
      <c r="A67" s="868" t="s">
        <v>462</v>
      </c>
      <c r="B67" s="868" t="s">
        <v>1888</v>
      </c>
      <c r="C67" s="885" t="str">
        <f>'Expenditures 15-22'!B216</f>
        <v>1125</v>
      </c>
      <c r="D67" s="891" t="str">
        <f>'Expenditures 15-22'!A216</f>
        <v>Pre-K Programs</v>
      </c>
      <c r="E67" s="867"/>
      <c r="F67" s="1912">
        <f>'Expenditures 15-22'!K216</f>
        <v>50112</v>
      </c>
      <c r="G67" s="864"/>
    </row>
    <row r="68" spans="1:8" x14ac:dyDescent="0.2">
      <c r="A68" s="868" t="s">
        <v>462</v>
      </c>
      <c r="B68" s="868" t="s">
        <v>1479</v>
      </c>
      <c r="C68" s="885" t="str">
        <f>'Expenditures 15-22'!B218</f>
        <v>1225</v>
      </c>
      <c r="D68" s="891" t="str">
        <f>'Expenditures 15-22'!A218</f>
        <v>Special Education Programs - Pre-K</v>
      </c>
      <c r="E68" s="867"/>
      <c r="F68" s="1912">
        <f>'Expenditures 15-22'!K218</f>
        <v>0</v>
      </c>
      <c r="G68" s="864"/>
    </row>
    <row r="69" spans="1:8" x14ac:dyDescent="0.2">
      <c r="A69" s="868" t="s">
        <v>462</v>
      </c>
      <c r="B69" s="868" t="s">
        <v>1889</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1890</v>
      </c>
      <c r="C70" s="885">
        <f>'Expenditures 15-22'!B221</f>
        <v>1300</v>
      </c>
      <c r="D70" s="886" t="str">
        <f>'Expenditures 15-22'!A221</f>
        <v>Adult/Continuing Education Programs</v>
      </c>
      <c r="E70" s="867"/>
      <c r="F70" s="1912">
        <f>'Expenditures 15-22'!K221</f>
        <v>0</v>
      </c>
      <c r="G70" s="864"/>
    </row>
    <row r="71" spans="1:8" x14ac:dyDescent="0.2">
      <c r="A71" s="868" t="s">
        <v>462</v>
      </c>
      <c r="B71" s="868" t="s">
        <v>1891</v>
      </c>
      <c r="C71" s="885">
        <f>'Expenditures 15-22'!B224</f>
        <v>1600</v>
      </c>
      <c r="D71" s="886" t="str">
        <f>'Expenditures 15-22'!A224</f>
        <v>Summer School Programs</v>
      </c>
      <c r="E71" s="867"/>
      <c r="F71" s="1912">
        <f>'Expenditures 15-22'!K224</f>
        <v>1047</v>
      </c>
      <c r="G71" s="864"/>
    </row>
    <row r="72" spans="1:8" x14ac:dyDescent="0.2">
      <c r="A72" s="868" t="s">
        <v>462</v>
      </c>
      <c r="B72" s="868" t="s">
        <v>1892</v>
      </c>
      <c r="C72" s="885">
        <f>'Expenditures 15-22'!B280</f>
        <v>3000</v>
      </c>
      <c r="D72" s="875" t="s">
        <v>449</v>
      </c>
      <c r="E72" s="867"/>
      <c r="F72" s="1912">
        <f>'Expenditures 15-22'!K280</f>
        <v>128</v>
      </c>
      <c r="G72" s="864"/>
    </row>
    <row r="73" spans="1:8" x14ac:dyDescent="0.2">
      <c r="A73" s="868" t="s">
        <v>462</v>
      </c>
      <c r="B73" s="868" t="s">
        <v>1893</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1894</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1895</v>
      </c>
      <c r="E76" s="1773" t="s">
        <v>958</v>
      </c>
      <c r="F76" s="1777">
        <f>SUM(F18:F74)</f>
        <v>2561951</v>
      </c>
      <c r="G76" s="864"/>
    </row>
    <row r="77" spans="1:8" s="892" customFormat="1" ht="12" customHeight="1" thickTop="1" thickBot="1" x14ac:dyDescent="0.25">
      <c r="A77" s="1778"/>
      <c r="B77" s="1775"/>
      <c r="C77" s="1771"/>
      <c r="D77" s="1776" t="s">
        <v>1896</v>
      </c>
      <c r="E77" s="1773"/>
      <c r="F77" s="1779">
        <f>(F14-F76)</f>
        <v>10058995</v>
      </c>
      <c r="G77" s="868"/>
    </row>
    <row r="78" spans="1:8" s="892" customFormat="1" ht="12" customHeight="1" thickTop="1" x14ac:dyDescent="0.2">
      <c r="A78" s="1780"/>
      <c r="B78" s="1775"/>
      <c r="C78" s="1771"/>
      <c r="D78" s="1776" t="s">
        <v>2057</v>
      </c>
      <c r="E78" s="1773"/>
      <c r="F78" s="897">
        <v>624.79999999999995</v>
      </c>
      <c r="G78" s="898"/>
      <c r="H78" s="868"/>
    </row>
    <row r="79" spans="1:8" s="892" customFormat="1" ht="12" customHeight="1" thickBot="1" x14ac:dyDescent="0.25">
      <c r="A79" s="1781"/>
      <c r="B79" s="1775"/>
      <c r="C79" s="1771"/>
      <c r="D79" s="1776" t="s">
        <v>1897</v>
      </c>
      <c r="E79" s="1773" t="s">
        <v>958</v>
      </c>
      <c r="F79" s="1782">
        <f>IF(F78&gt;0,F77/F78," Complete Line 78")</f>
        <v>16099.543854033293</v>
      </c>
      <c r="G79" s="868"/>
    </row>
    <row r="80" spans="1:8" s="892" customFormat="1" ht="8.25" customHeight="1" thickTop="1" x14ac:dyDescent="0.2">
      <c r="A80" s="899"/>
      <c r="B80" s="868"/>
      <c r="C80" s="870"/>
      <c r="D80" s="900"/>
      <c r="E80" s="867"/>
      <c r="F80" s="901"/>
      <c r="G80" s="868"/>
    </row>
    <row r="81" spans="1:7" s="892" customFormat="1" ht="12" thickBot="1" x14ac:dyDescent="0.25">
      <c r="A81" s="2347" t="s">
        <v>1105</v>
      </c>
      <c r="B81" s="2348"/>
      <c r="C81" s="2348"/>
      <c r="D81" s="2348"/>
      <c r="E81" s="2348"/>
      <c r="F81" s="2349"/>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0</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83266</v>
      </c>
      <c r="G94" s="911"/>
    </row>
    <row r="95" spans="1:7" x14ac:dyDescent="0.2">
      <c r="A95" s="907" t="s">
        <v>140</v>
      </c>
      <c r="B95" s="907" t="s">
        <v>175</v>
      </c>
      <c r="C95" s="909">
        <v>1700</v>
      </c>
      <c r="D95" s="917" t="str">
        <f>'Revenues 9-14'!A82</f>
        <v>Total District/School Activity Income</v>
      </c>
      <c r="E95" s="905"/>
      <c r="F95" s="1788">
        <f>SUM('Revenues 9-14'!C82,'Revenues 9-14'!D82)</f>
        <v>43049</v>
      </c>
      <c r="G95" s="911"/>
    </row>
    <row r="96" spans="1:7" x14ac:dyDescent="0.2">
      <c r="A96" s="907" t="s">
        <v>459</v>
      </c>
      <c r="B96" s="907" t="s">
        <v>176</v>
      </c>
      <c r="C96" s="909">
        <f>'Revenues 9-14'!B84</f>
        <v>1811</v>
      </c>
      <c r="D96" s="910" t="str">
        <f>'Revenues 9-14'!A84</f>
        <v>Rentals - Regular Textbooks</v>
      </c>
      <c r="E96" s="905"/>
      <c r="F96" s="1788">
        <f>'Revenues 9-14'!C84</f>
        <v>6566</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5500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117172</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1998</v>
      </c>
      <c r="C105" s="912">
        <v>3100</v>
      </c>
      <c r="D105" s="918" t="str">
        <f>'Revenues 9-14'!A132</f>
        <v>Total Special Education</v>
      </c>
      <c r="E105" s="905"/>
      <c r="F105" s="1788">
        <f>SUM('Revenues 9-14'!C132:D132,'Revenues 9-14'!F132)</f>
        <v>104154</v>
      </c>
      <c r="G105" s="911"/>
    </row>
    <row r="106" spans="1:7" x14ac:dyDescent="0.2">
      <c r="A106" s="907" t="s">
        <v>673</v>
      </c>
      <c r="B106" s="907" t="s">
        <v>1999</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2000</v>
      </c>
      <c r="C107" s="919">
        <v>3300</v>
      </c>
      <c r="D107" s="910" t="str">
        <f>'Revenues 9-14'!A145</f>
        <v>Total Bilingual Ed</v>
      </c>
      <c r="E107" s="905"/>
      <c r="F107" s="1788">
        <f>SUM('Revenues 9-14'!C145,'Revenues 9-14'!G145)</f>
        <v>0</v>
      </c>
      <c r="G107" s="911"/>
    </row>
    <row r="108" spans="1:7" x14ac:dyDescent="0.2">
      <c r="A108" s="907" t="s">
        <v>459</v>
      </c>
      <c r="B108" s="907" t="s">
        <v>2001</v>
      </c>
      <c r="C108" s="919">
        <f>'Revenues 9-14'!B146</f>
        <v>3360</v>
      </c>
      <c r="D108" s="910" t="str">
        <f>'Revenues 9-14'!A146</f>
        <v>State Free Lunch &amp; Breakfast</v>
      </c>
      <c r="E108" s="905"/>
      <c r="F108" s="1788">
        <f>'Revenues 9-14'!C146</f>
        <v>4231</v>
      </c>
      <c r="G108" s="911"/>
    </row>
    <row r="109" spans="1:7" x14ac:dyDescent="0.2">
      <c r="A109" s="907" t="s">
        <v>673</v>
      </c>
      <c r="B109" s="907" t="s">
        <v>2002</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2003</v>
      </c>
      <c r="C110" s="919">
        <f>'Revenues 9-14'!B148</f>
        <v>3370</v>
      </c>
      <c r="D110" s="910" t="str">
        <f>'Revenues 9-14'!A148</f>
        <v>Driver Education</v>
      </c>
      <c r="E110" s="905"/>
      <c r="F110" s="1788">
        <f>SUM('Revenues 9-14'!C148,'Revenues 9-14'!D148)</f>
        <v>0</v>
      </c>
      <c r="G110" s="911"/>
    </row>
    <row r="111" spans="1:7" x14ac:dyDescent="0.2">
      <c r="A111" s="907" t="s">
        <v>668</v>
      </c>
      <c r="B111" s="907" t="s">
        <v>2004</v>
      </c>
      <c r="C111" s="921">
        <v>3500</v>
      </c>
      <c r="D111" s="910" t="str">
        <f>'Revenues 9-14'!A155</f>
        <v>Total Transportation</v>
      </c>
      <c r="E111" s="905"/>
      <c r="F111" s="1788">
        <f>SUM('Revenues 9-14'!C155,'Revenues 9-14'!D155,'Revenues 9-14'!F155,'Revenues 9-14'!G155)</f>
        <v>325698</v>
      </c>
      <c r="G111" s="911"/>
    </row>
    <row r="112" spans="1:7" x14ac:dyDescent="0.2">
      <c r="A112" s="907" t="s">
        <v>459</v>
      </c>
      <c r="B112" s="907" t="s">
        <v>2005</v>
      </c>
      <c r="C112" s="919">
        <f>'Revenues 9-14'!B156</f>
        <v>3610</v>
      </c>
      <c r="D112" s="910" t="str">
        <f>'Revenues 9-14'!A156</f>
        <v>Learning Improvement - Change Grants</v>
      </c>
      <c r="E112" s="905"/>
      <c r="F112" s="1788">
        <f>'Revenues 9-14'!C156</f>
        <v>0</v>
      </c>
      <c r="G112" s="911"/>
    </row>
    <row r="113" spans="1:7" x14ac:dyDescent="0.2">
      <c r="A113" s="907" t="s">
        <v>668</v>
      </c>
      <c r="B113" s="907" t="s">
        <v>2006</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2007</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2008</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2009</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2010</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2011</v>
      </c>
      <c r="C118" s="923">
        <f>'Revenues 9-14'!B163</f>
        <v>3780</v>
      </c>
      <c r="D118" s="924" t="str">
        <f>'Revenues 9-14'!A163</f>
        <v>Technology - Technology for Success</v>
      </c>
      <c r="E118" s="905"/>
      <c r="F118" s="1906">
        <f>SUM('Revenues 9-14'!C163:G163)</f>
        <v>0</v>
      </c>
      <c r="G118" s="911"/>
    </row>
    <row r="119" spans="1:7" x14ac:dyDescent="0.2">
      <c r="A119" s="922" t="s">
        <v>504</v>
      </c>
      <c r="B119" s="922" t="s">
        <v>2012</v>
      </c>
      <c r="C119" s="923">
        <f>'Revenues 9-14'!B164</f>
        <v>3815</v>
      </c>
      <c r="D119" s="924" t="str">
        <f>'Revenues 9-14'!A164</f>
        <v>State Charter Schools</v>
      </c>
      <c r="E119" s="905"/>
      <c r="F119" s="1906">
        <f>SUM('Revenues 9-14'!C164,'Revenues 9-14'!F164)</f>
        <v>0</v>
      </c>
      <c r="G119" s="911"/>
    </row>
    <row r="120" spans="1:7" x14ac:dyDescent="0.2">
      <c r="A120" s="926" t="s">
        <v>460</v>
      </c>
      <c r="B120" s="926" t="s">
        <v>2013</v>
      </c>
      <c r="C120" s="927">
        <f>'Revenues 9-14'!B167</f>
        <v>3925</v>
      </c>
      <c r="D120" s="928" t="str">
        <f>'Revenues 9-14'!A167</f>
        <v>School Infrastructure - Maintenance Projects</v>
      </c>
      <c r="E120" s="905"/>
      <c r="F120" s="1788">
        <f>'Revenues 9-14'!D167</f>
        <v>0</v>
      </c>
      <c r="G120" s="929"/>
    </row>
    <row r="121" spans="1:7" x14ac:dyDescent="0.2">
      <c r="A121" s="926" t="s">
        <v>500</v>
      </c>
      <c r="B121" s="926" t="s">
        <v>2014</v>
      </c>
      <c r="C121" s="927">
        <f>'Revenues 9-14'!B168</f>
        <v>3999</v>
      </c>
      <c r="D121" s="928" t="s">
        <v>543</v>
      </c>
      <c r="E121" s="930"/>
      <c r="F121" s="1788">
        <f>SUM('Revenues 9-14'!C168:G168,'Revenues 9-14'!J168)</f>
        <v>150</v>
      </c>
      <c r="G121" s="929"/>
    </row>
    <row r="122" spans="1:7" x14ac:dyDescent="0.2">
      <c r="A122" s="926" t="s">
        <v>459</v>
      </c>
      <c r="B122" s="926" t="s">
        <v>2015</v>
      </c>
      <c r="C122" s="931">
        <f>'Revenues 9-14'!B177</f>
        <v>4045</v>
      </c>
      <c r="D122" s="928" t="str">
        <f>'Revenues 9-14'!A177 &amp; " (Subtract)"</f>
        <v>Head Start (Subtract)</v>
      </c>
      <c r="E122" s="905"/>
      <c r="F122" s="1788">
        <f>SUM(-'Revenues 9-14'!C177)</f>
        <v>0</v>
      </c>
      <c r="G122" s="929"/>
    </row>
    <row r="123" spans="1:7" x14ac:dyDescent="0.2">
      <c r="A123" s="926" t="s">
        <v>668</v>
      </c>
      <c r="B123" s="926" t="s">
        <v>2016</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2017</v>
      </c>
      <c r="C124" s="931">
        <v>4100</v>
      </c>
      <c r="D124" s="932" t="str">
        <f>'Revenues 9-14'!A188</f>
        <v>Total Title V</v>
      </c>
      <c r="E124" s="905"/>
      <c r="F124" s="1788">
        <f>SUM('Revenues 9-14'!C188,'Revenues 9-14'!D188,'Revenues 9-14'!F188,'Revenues 9-14'!G188)</f>
        <v>0</v>
      </c>
      <c r="G124" s="929"/>
    </row>
    <row r="125" spans="1:7" x14ac:dyDescent="0.2">
      <c r="A125" s="926" t="s">
        <v>664</v>
      </c>
      <c r="B125" s="926" t="s">
        <v>2018</v>
      </c>
      <c r="C125" s="931">
        <v>4200</v>
      </c>
      <c r="D125" s="928" t="str">
        <f>'Revenues 9-14'!A198</f>
        <v>Total Food Service</v>
      </c>
      <c r="E125" s="905"/>
      <c r="F125" s="1788">
        <f>SUM('Revenues 9-14'!C198,'Revenues 9-14'!G198)</f>
        <v>235540</v>
      </c>
      <c r="G125" s="929"/>
    </row>
    <row r="126" spans="1:7" x14ac:dyDescent="0.2">
      <c r="A126" s="926" t="s">
        <v>668</v>
      </c>
      <c r="B126" s="926" t="s">
        <v>2019</v>
      </c>
      <c r="C126" s="931">
        <v>4300</v>
      </c>
      <c r="D126" s="932" t="str">
        <f>'Revenues 9-14'!A204</f>
        <v>Total Title I</v>
      </c>
      <c r="E126" s="905"/>
      <c r="F126" s="1788">
        <f>SUM('Revenues 9-14'!C204,'Revenues 9-14'!D204,'Revenues 9-14'!F204,'Revenues 9-14'!G204)</f>
        <v>147844</v>
      </c>
      <c r="G126" s="929"/>
    </row>
    <row r="127" spans="1:7" x14ac:dyDescent="0.2">
      <c r="A127" s="926" t="s">
        <v>668</v>
      </c>
      <c r="B127" s="926" t="s">
        <v>2020</v>
      </c>
      <c r="C127" s="931">
        <v>4400</v>
      </c>
      <c r="D127" s="932" t="str">
        <f>'Revenues 9-14'!A209</f>
        <v>Total Title IV</v>
      </c>
      <c r="E127" s="905"/>
      <c r="F127" s="1788">
        <f>SUM('Revenues 9-14'!C209,'Revenues 9-14'!D209,'Revenues 9-14'!F209,'Revenues 9-14'!G209)</f>
        <v>10000</v>
      </c>
      <c r="G127" s="929"/>
    </row>
    <row r="128" spans="1:7" x14ac:dyDescent="0.2">
      <c r="A128" s="926" t="s">
        <v>668</v>
      </c>
      <c r="B128" s="926" t="s">
        <v>2021</v>
      </c>
      <c r="C128" s="931">
        <f>'Revenues 9-14'!B213</f>
        <v>4620</v>
      </c>
      <c r="D128" s="932" t="str">
        <f>'Revenues 9-14'!A213</f>
        <v>Fed - Spec Education - IDEA - Flow Through</v>
      </c>
      <c r="E128" s="905"/>
      <c r="F128" s="1788">
        <f>SUM('Revenues 9-14'!C213:D213,'Revenues 9-14'!F213:G213)</f>
        <v>94494</v>
      </c>
      <c r="G128" s="929"/>
    </row>
    <row r="129" spans="1:7" x14ac:dyDescent="0.2">
      <c r="A129" s="926" t="s">
        <v>668</v>
      </c>
      <c r="B129" s="926" t="s">
        <v>2022</v>
      </c>
      <c r="C129" s="931">
        <f>'Revenues 9-14'!B214</f>
        <v>4625</v>
      </c>
      <c r="D129" s="932" t="str">
        <f>'Revenues 9-14'!A214</f>
        <v>Fed - Spec Education - IDEA - Room &amp; Board</v>
      </c>
      <c r="E129" s="905"/>
      <c r="F129" s="1788">
        <f>SUM('Revenues 9-14'!C214,'Revenues 9-14'!D214,'Revenues 9-14'!F214,'Revenues 9-14'!G214)</f>
        <v>196981</v>
      </c>
      <c r="G129" s="929"/>
    </row>
    <row r="130" spans="1:7" x14ac:dyDescent="0.2">
      <c r="A130" s="926" t="s">
        <v>668</v>
      </c>
      <c r="B130" s="926" t="s">
        <v>2023</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2024</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2025</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2026</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2027</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2028</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2029</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2030</v>
      </c>
      <c r="C138" s="934" t="s">
        <v>212</v>
      </c>
      <c r="D138" s="935" t="str">
        <f>'Revenues 9-14'!A229</f>
        <v>ARRA - IDEA - Part B - Preschool</v>
      </c>
      <c r="E138" s="936"/>
      <c r="F138" s="1788">
        <v>0</v>
      </c>
      <c r="G138" s="904"/>
    </row>
    <row r="139" spans="1:7" s="866" customFormat="1" hidden="1" x14ac:dyDescent="0.2">
      <c r="A139" s="933" t="s">
        <v>206</v>
      </c>
      <c r="B139" s="933" t="s">
        <v>2031</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2032</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2033</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2034</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2035</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2036</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2037</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2038</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2039</v>
      </c>
      <c r="C157" s="939" t="s">
        <v>841</v>
      </c>
      <c r="D157" s="940" t="s">
        <v>777</v>
      </c>
      <c r="E157" s="941"/>
      <c r="F157" s="1788">
        <f>SUM(F133:F156)</f>
        <v>0</v>
      </c>
      <c r="G157" s="904"/>
    </row>
    <row r="158" spans="1:7" s="866" customFormat="1" x14ac:dyDescent="0.2">
      <c r="A158" s="937" t="s">
        <v>459</v>
      </c>
      <c r="B158" s="938" t="s">
        <v>2040</v>
      </c>
      <c r="C158" s="939" t="s">
        <v>1427</v>
      </c>
      <c r="D158" s="940" t="s">
        <v>1428</v>
      </c>
      <c r="E158" s="941"/>
      <c r="F158" s="1788">
        <f>SUM('Revenues 9-14'!C253)</f>
        <v>0</v>
      </c>
      <c r="G158" s="904"/>
    </row>
    <row r="159" spans="1:7" s="866" customFormat="1" x14ac:dyDescent="0.2">
      <c r="A159" s="937" t="s">
        <v>500</v>
      </c>
      <c r="B159" s="938" t="s">
        <v>2041</v>
      </c>
      <c r="C159" s="939" t="s">
        <v>1466</v>
      </c>
      <c r="D159" s="940" t="s">
        <v>1467</v>
      </c>
      <c r="E159" s="941"/>
      <c r="F159" s="1788">
        <f>SUM('Revenues 9-14'!C254:H254,'Revenues 9-14'!J254:K254)</f>
        <v>0</v>
      </c>
      <c r="G159" s="904"/>
    </row>
    <row r="160" spans="1:7" x14ac:dyDescent="0.2">
      <c r="A160" s="926" t="s">
        <v>5</v>
      </c>
      <c r="B160" s="926" t="s">
        <v>2042</v>
      </c>
      <c r="C160" s="931">
        <f>'Revenues 9-14'!B255</f>
        <v>4905</v>
      </c>
      <c r="D160" s="928" t="str">
        <f>'Revenues 9-14'!A255</f>
        <v>Title III - Immigrant Education Program (IEP)</v>
      </c>
      <c r="E160" s="905"/>
      <c r="F160" s="1788">
        <f>SUM('Revenues 9-14'!C255,'Revenues 9-14'!F255,'Revenues 9-14'!G255)</f>
        <v>0</v>
      </c>
      <c r="G160" s="942">
        <v>6306</v>
      </c>
    </row>
    <row r="161" spans="1:7" x14ac:dyDescent="0.2">
      <c r="A161" s="926" t="s">
        <v>5</v>
      </c>
      <c r="B161" s="926" t="s">
        <v>2043</v>
      </c>
      <c r="C161" s="931">
        <f>'Revenues 9-14'!B256</f>
        <v>4909</v>
      </c>
      <c r="D161" s="928" t="str">
        <f>'Revenues 9-14'!A256</f>
        <v>Title III - Language Inst Program - Limited Eng (LIPLEP)</v>
      </c>
      <c r="E161" s="905"/>
      <c r="F161" s="1788">
        <f>SUM('Revenues 9-14'!C256,'Revenues 9-14'!F256,'Revenues 9-14'!G256)</f>
        <v>1190</v>
      </c>
      <c r="G161" s="942"/>
    </row>
    <row r="162" spans="1:7" x14ac:dyDescent="0.2">
      <c r="A162" s="926" t="s">
        <v>668</v>
      </c>
      <c r="B162" s="926" t="s">
        <v>2044</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2045</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2046</v>
      </c>
      <c r="C164" s="931">
        <f>'Revenues 9-14'!B259</f>
        <v>4932</v>
      </c>
      <c r="D164" s="932" t="str">
        <f>'Revenues 9-14'!A259</f>
        <v>Title II - Teacher Quality</v>
      </c>
      <c r="E164" s="905"/>
      <c r="F164" s="1906">
        <f>SUM('Revenues 9-14'!C259,'Revenues 9-14'!D259,'Revenues 9-14'!F259,'Revenues 9-14'!G259)</f>
        <v>31131</v>
      </c>
      <c r="G164" s="929"/>
    </row>
    <row r="165" spans="1:7" x14ac:dyDescent="0.2">
      <c r="A165" s="926" t="s">
        <v>668</v>
      </c>
      <c r="B165" s="926" t="s">
        <v>2047</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1992</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1993</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2048</v>
      </c>
      <c r="C168" s="931">
        <f>'Revenues 9-14'!B263</f>
        <v>4991</v>
      </c>
      <c r="D168" s="932" t="str">
        <f>'Revenues 9-14'!A263</f>
        <v>Medicaid Matching Funds - Administrative Outreach</v>
      </c>
      <c r="E168" s="905"/>
      <c r="F168" s="1788">
        <f>SUM('Revenues 9-14'!C263:D263,'Revenues 9-14'!F263:G263)</f>
        <v>22774</v>
      </c>
      <c r="G168" s="946">
        <v>6320</v>
      </c>
    </row>
    <row r="169" spans="1:7" x14ac:dyDescent="0.2">
      <c r="A169" s="926" t="s">
        <v>668</v>
      </c>
      <c r="B169" s="926" t="s">
        <v>2049</v>
      </c>
      <c r="C169" s="931">
        <f>'Revenues 9-14'!B264</f>
        <v>4992</v>
      </c>
      <c r="D169" s="932" t="str">
        <f>'Revenues 9-14'!A264</f>
        <v>Medicaid Matching Funds - Fee-for-Service Program</v>
      </c>
      <c r="E169" s="905"/>
      <c r="F169" s="1788">
        <f>SUM('Revenues 9-14'!C264:D264,'Revenues 9-14'!F264:G264)</f>
        <v>82472</v>
      </c>
      <c r="G169" s="946"/>
    </row>
    <row r="170" spans="1:7" x14ac:dyDescent="0.2">
      <c r="A170" s="947" t="s">
        <v>668</v>
      </c>
      <c r="B170" s="943" t="s">
        <v>2050</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1916</v>
      </c>
      <c r="C171" s="1919">
        <v>3100</v>
      </c>
      <c r="D171" s="1920" t="s">
        <v>1918</v>
      </c>
      <c r="E171" s="905"/>
      <c r="F171" s="1905"/>
      <c r="G171" s="926"/>
    </row>
    <row r="172" spans="1:7" x14ac:dyDescent="0.2">
      <c r="A172" s="1917" t="s">
        <v>664</v>
      </c>
      <c r="B172" s="1918" t="s">
        <v>1916</v>
      </c>
      <c r="C172" s="1919">
        <v>3300</v>
      </c>
      <c r="D172" s="1920" t="s">
        <v>1919</v>
      </c>
      <c r="E172" s="905"/>
      <c r="F172" s="1905"/>
      <c r="G172" s="926"/>
    </row>
    <row r="173" spans="1:7" ht="6" customHeight="1" x14ac:dyDescent="0.2">
      <c r="A173" s="926"/>
      <c r="B173" s="926"/>
      <c r="C173" s="948"/>
      <c r="D173" s="926"/>
      <c r="E173" s="905"/>
      <c r="F173" s="949"/>
      <c r="G173" s="946"/>
    </row>
    <row r="174" spans="1:7" x14ac:dyDescent="0.2">
      <c r="A174" s="1769"/>
      <c r="B174" s="1783"/>
      <c r="C174" s="1784"/>
      <c r="D174" s="1785" t="s">
        <v>2051</v>
      </c>
      <c r="E174" s="1786" t="s">
        <v>958</v>
      </c>
      <c r="F174" s="1787">
        <f>SUM(F84:F132,F157:F172)</f>
        <v>1512212</v>
      </c>
    </row>
    <row r="175" spans="1:7" ht="12" customHeight="1" x14ac:dyDescent="0.2">
      <c r="A175" s="1769"/>
      <c r="B175" s="1783"/>
      <c r="C175" s="1784"/>
      <c r="D175" s="1785" t="s">
        <v>2052</v>
      </c>
      <c r="E175" s="1786"/>
      <c r="F175" s="1788">
        <f>'PCTC-OEPP 27-28'!F77-F174</f>
        <v>8546783</v>
      </c>
    </row>
    <row r="176" spans="1:7" ht="12" customHeight="1" x14ac:dyDescent="0.2">
      <c r="A176" s="1769"/>
      <c r="B176" s="1783"/>
      <c r="C176" s="1784"/>
      <c r="D176" s="1785" t="s">
        <v>1814</v>
      </c>
      <c r="E176" s="1786"/>
      <c r="F176" s="1788">
        <f>'Cap Outlay Deprec 26'!I18</f>
        <v>555951</v>
      </c>
    </row>
    <row r="177" spans="1:7" ht="12" customHeight="1" x14ac:dyDescent="0.2">
      <c r="A177" s="1769"/>
      <c r="B177" s="1783"/>
      <c r="C177" s="1784"/>
      <c r="D177" s="1785" t="s">
        <v>2053</v>
      </c>
      <c r="E177" s="1786"/>
      <c r="F177" s="1788">
        <f>F175+F176</f>
        <v>9102734</v>
      </c>
    </row>
    <row r="178" spans="1:7" ht="12" customHeight="1" x14ac:dyDescent="0.2">
      <c r="A178" s="1769"/>
      <c r="B178" s="1789"/>
      <c r="C178" s="1784"/>
      <c r="D178" s="1785" t="str">
        <f>D78</f>
        <v>9 Month ADA from District Average Daily Attendance/Prior General State Aid Inquiry 2018-2019</v>
      </c>
      <c r="E178" s="1786"/>
      <c r="F178" s="1790">
        <f>'PCTC-OEPP 27-28'!F78</f>
        <v>624.79999999999995</v>
      </c>
      <c r="G178" s="929"/>
    </row>
    <row r="179" spans="1:7" ht="12" customHeight="1" thickBot="1" x14ac:dyDescent="0.25">
      <c r="A179" s="1769"/>
      <c r="B179" s="1789"/>
      <c r="C179" s="1784"/>
      <c r="D179" s="1785" t="s">
        <v>2054</v>
      </c>
      <c r="E179" s="1786" t="s">
        <v>1545</v>
      </c>
      <c r="F179" s="1791">
        <f>F177/F178</f>
        <v>14569.036491677338</v>
      </c>
      <c r="G179" s="855">
        <v>6323</v>
      </c>
    </row>
    <row r="180" spans="1:7" ht="12" thickTop="1" x14ac:dyDescent="0.2">
      <c r="B180" s="929"/>
      <c r="C180" s="948"/>
      <c r="D180" s="929"/>
      <c r="E180" s="948"/>
      <c r="F180" s="929"/>
      <c r="G180" s="950">
        <v>6326</v>
      </c>
    </row>
    <row r="181" spans="1:7" ht="12.2" customHeight="1" x14ac:dyDescent="0.2">
      <c r="A181" s="929" t="s">
        <v>1917</v>
      </c>
      <c r="B181" s="929"/>
      <c r="C181" s="948"/>
      <c r="D181" s="929"/>
      <c r="E181" s="948"/>
      <c r="F181" s="929"/>
      <c r="G181" s="929"/>
    </row>
    <row r="182" spans="1:7" s="1921" customFormat="1" ht="12.2" customHeight="1" x14ac:dyDescent="0.2">
      <c r="A182" s="1921" t="s">
        <v>1989</v>
      </c>
      <c r="B182" s="1922"/>
      <c r="C182" s="1923"/>
      <c r="D182" s="1922"/>
      <c r="E182" s="1923"/>
      <c r="F182" s="1922"/>
      <c r="G182" s="1922"/>
    </row>
    <row r="183" spans="1:7" s="1921" customFormat="1" ht="12.2" customHeight="1" x14ac:dyDescent="0.2">
      <c r="A183" s="1924" t="s">
        <v>1991</v>
      </c>
      <c r="C183" s="1923"/>
      <c r="D183" s="1922"/>
      <c r="E183" s="1923"/>
      <c r="F183" s="1922"/>
      <c r="G183" s="1922"/>
    </row>
    <row r="184" spans="1:7" ht="12" customHeight="1" x14ac:dyDescent="0.2">
      <c r="C184" s="948"/>
      <c r="D184" s="929"/>
      <c r="E184" s="948"/>
      <c r="F184" s="929"/>
      <c r="G184" s="929"/>
    </row>
    <row r="185" spans="1:7" x14ac:dyDescent="0.2">
      <c r="A185" s="1925" t="s">
        <v>1921</v>
      </c>
      <c r="B185" s="1926" t="s">
        <v>1920</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3" zoomScaleNormal="100" workbookViewId="0">
      <selection activeCell="D21" sqref="D21"/>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361" t="s">
        <v>1815</v>
      </c>
      <c r="B4" s="2362"/>
      <c r="C4" s="2362"/>
      <c r="D4" s="2362"/>
      <c r="E4" s="2362"/>
      <c r="F4" s="2362"/>
      <c r="G4" s="2363"/>
    </row>
    <row r="5" spans="1:7" x14ac:dyDescent="0.25">
      <c r="A5" s="2364"/>
      <c r="B5" s="2365"/>
      <c r="C5" s="2365"/>
      <c r="D5" s="2365"/>
      <c r="E5" s="2365"/>
      <c r="F5" s="2365"/>
      <c r="G5" s="2366"/>
    </row>
    <row r="6" spans="1:7" ht="18.75" x14ac:dyDescent="0.25">
      <c r="A6" s="1533" t="s">
        <v>1816</v>
      </c>
      <c r="B6" s="1534"/>
      <c r="C6" s="1534"/>
      <c r="D6" s="1534"/>
      <c r="E6" s="1534"/>
      <c r="F6" s="1534"/>
      <c r="G6" s="1535"/>
    </row>
    <row r="7" spans="1:7" ht="30.75" customHeight="1" x14ac:dyDescent="0.25">
      <c r="A7" s="2367" t="s">
        <v>1928</v>
      </c>
      <c r="B7" s="2368"/>
      <c r="C7" s="2368"/>
      <c r="D7" s="2368"/>
      <c r="E7" s="2368"/>
      <c r="F7" s="2368"/>
      <c r="G7" s="2369"/>
    </row>
    <row r="8" spans="1:7" ht="15.75" customHeight="1" x14ac:dyDescent="0.25">
      <c r="A8" s="2370" t="s">
        <v>1903</v>
      </c>
      <c r="B8" s="2371"/>
      <c r="C8" s="2371"/>
      <c r="D8" s="2371"/>
      <c r="E8" s="2371"/>
      <c r="F8" s="2371"/>
      <c r="G8" s="2372"/>
    </row>
    <row r="9" spans="1:7" ht="35.25" customHeight="1" x14ac:dyDescent="0.25">
      <c r="A9" s="2367" t="s">
        <v>1931</v>
      </c>
      <c r="B9" s="2368"/>
      <c r="C9" s="2368"/>
      <c r="D9" s="2368"/>
      <c r="E9" s="2368"/>
      <c r="F9" s="2368"/>
      <c r="G9" s="2369"/>
    </row>
    <row r="10" spans="1:7" ht="15" customHeight="1" x14ac:dyDescent="0.25">
      <c r="A10" s="1536" t="s">
        <v>1817</v>
      </c>
      <c r="B10" s="1537"/>
      <c r="C10" s="1537"/>
      <c r="D10" s="1537"/>
      <c r="E10" s="1537"/>
      <c r="F10" s="1537"/>
      <c r="G10" s="1538"/>
    </row>
    <row r="11" spans="1:7" ht="17.25" customHeight="1" x14ac:dyDescent="0.25">
      <c r="A11" s="2367" t="s">
        <v>1930</v>
      </c>
      <c r="B11" s="2368"/>
      <c r="C11" s="2368"/>
      <c r="D11" s="2368"/>
      <c r="E11" s="2368"/>
      <c r="F11" s="2368"/>
      <c r="G11" s="2369"/>
    </row>
    <row r="12" spans="1:7" ht="15" customHeight="1" x14ac:dyDescent="0.25">
      <c r="A12" s="1536" t="s">
        <v>1822</v>
      </c>
      <c r="B12" s="1537"/>
      <c r="C12" s="1537"/>
      <c r="D12" s="1537"/>
      <c r="E12" s="1537"/>
      <c r="F12" s="1537"/>
      <c r="G12" s="1538"/>
    </row>
    <row r="13" spans="1:7" ht="32.25" customHeight="1" x14ac:dyDescent="0.25">
      <c r="A13" s="2358" t="s">
        <v>1972</v>
      </c>
      <c r="B13" s="2359"/>
      <c r="C13" s="2359"/>
      <c r="D13" s="2359"/>
      <c r="E13" s="2359"/>
      <c r="F13" s="2359"/>
      <c r="G13" s="2360"/>
    </row>
    <row r="14" spans="1:7" x14ac:dyDescent="0.25">
      <c r="A14" s="1660" t="s">
        <v>1830</v>
      </c>
      <c r="B14" s="1661"/>
      <c r="C14" s="1661"/>
      <c r="D14" s="1661"/>
      <c r="E14" s="1661"/>
      <c r="F14" s="1661"/>
      <c r="G14" s="1662"/>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2082</v>
      </c>
      <c r="B17" s="1933" t="s">
        <v>2086</v>
      </c>
      <c r="C17" s="1937" t="s">
        <v>2088</v>
      </c>
      <c r="D17" s="1843">
        <v>34951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9951</v>
      </c>
      <c r="H17" s="1646"/>
    </row>
    <row r="18" spans="1:8" x14ac:dyDescent="0.25">
      <c r="A18" s="1936" t="s">
        <v>2083</v>
      </c>
      <c r="B18" s="1933" t="s">
        <v>2080</v>
      </c>
      <c r="C18" s="1937" t="s">
        <v>2081</v>
      </c>
      <c r="D18" s="1843">
        <v>67583</v>
      </c>
      <c r="E18" s="1539">
        <f t="shared" ref="E18:E140" si="2">IF(D18&lt;=25000,D18,IF(D18&gt;25000,25000,0))</f>
        <v>25000</v>
      </c>
      <c r="F18" s="1931">
        <f t="shared" si="1"/>
        <v>25000</v>
      </c>
      <c r="G18" s="1792">
        <f t="shared" ref="G18:G140" si="3">IF(F18=0,0,D18-F18)</f>
        <v>42583</v>
      </c>
    </row>
    <row r="19" spans="1:8" ht="30" x14ac:dyDescent="0.25">
      <c r="A19" s="1936" t="s">
        <v>2084</v>
      </c>
      <c r="B19" s="1933" t="s">
        <v>2073</v>
      </c>
      <c r="C19" s="1937" t="s">
        <v>2089</v>
      </c>
      <c r="D19" s="1843">
        <v>159980</v>
      </c>
      <c r="E19" s="1539">
        <f t="shared" si="2"/>
        <v>25000</v>
      </c>
      <c r="F19" s="1931">
        <f t="shared" si="1"/>
        <v>25000</v>
      </c>
      <c r="G19" s="1792">
        <f t="shared" si="3"/>
        <v>134980</v>
      </c>
    </row>
    <row r="20" spans="1:8" ht="30" x14ac:dyDescent="0.25">
      <c r="A20" s="1936" t="s">
        <v>2085</v>
      </c>
      <c r="B20" s="1933" t="s">
        <v>2087</v>
      </c>
      <c r="C20" s="1937" t="s">
        <v>2090</v>
      </c>
      <c r="D20" s="1843">
        <v>42371</v>
      </c>
      <c r="E20" s="1539">
        <f t="shared" si="2"/>
        <v>25000</v>
      </c>
      <c r="F20" s="1931">
        <f t="shared" si="1"/>
        <v>25000</v>
      </c>
      <c r="G20" s="1792">
        <f t="shared" si="3"/>
        <v>17371</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304885</v>
      </c>
      <c r="E141" s="1540">
        <f t="shared" si="0"/>
        <v>25000</v>
      </c>
      <c r="F141" s="1932">
        <f>SUM(F17:F140)</f>
        <v>100000</v>
      </c>
      <c r="G141" s="1794">
        <f>SUM(G17:G140)</f>
        <v>204885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E12" sqref="E12"/>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373" t="s">
        <v>1679</v>
      </c>
      <c r="B5" s="2374"/>
      <c r="C5" s="2374"/>
      <c r="D5" s="2374"/>
      <c r="E5" s="2374"/>
      <c r="F5" s="2374"/>
      <c r="G5" s="2375"/>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1929</v>
      </c>
      <c r="B10" s="970"/>
      <c r="C10" s="975"/>
      <c r="D10" s="971"/>
      <c r="E10" s="972"/>
      <c r="F10" s="973"/>
      <c r="G10" s="974"/>
      <c r="H10" s="161"/>
      <c r="I10" s="161"/>
    </row>
    <row r="11" spans="1:9" s="667" customFormat="1" ht="22.5" customHeight="1" x14ac:dyDescent="0.2">
      <c r="A11" s="2378" t="s">
        <v>1973</v>
      </c>
      <c r="B11" s="2379"/>
      <c r="C11" s="2379"/>
      <c r="D11" s="2380"/>
      <c r="E11" s="976">
        <f>15672+14242</f>
        <v>29914</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4744079</v>
      </c>
      <c r="F19" s="1798"/>
      <c r="G19" s="1800">
        <f>'Expenditures 15-22'!K33-SUM('Expenditures 15-22'!G33,'Expenditures 15-22'!I33)+'Expenditures 15-22'!D229</f>
        <v>4744079</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767870</v>
      </c>
      <c r="F21" s="1801"/>
      <c r="G21" s="1804">
        <f>'Expenditures 15-22'!K42-SUM('Expenditures 15-22'!G42,'Expenditures 15-22'!I42)+'Expenditures 15-22'!K120-SUM('Expenditures 15-22'!G120,'Expenditures 15-22'!I120)+'Expenditures 15-22'!K180-SUM('Expenditures 15-22'!G180,'Expenditures 15-22'!I180)+'Expenditures 15-22'!D238</f>
        <v>767870</v>
      </c>
      <c r="H21" s="986"/>
      <c r="I21" s="161"/>
    </row>
    <row r="22" spans="1:9" s="667" customFormat="1" ht="12" customHeight="1" x14ac:dyDescent="0.2">
      <c r="A22" s="993" t="s">
        <v>564</v>
      </c>
      <c r="B22" s="994"/>
      <c r="C22" s="992">
        <v>2200</v>
      </c>
      <c r="D22" s="1801"/>
      <c r="E22" s="1803">
        <f>'Expenditures 15-22'!K47-SUM('Expenditures 15-22'!G47,'Expenditures 15-22'!I47)+'Expenditures 15-22'!D243</f>
        <v>242038</v>
      </c>
      <c r="F22" s="1801"/>
      <c r="G22" s="1804">
        <f>'Expenditures 15-22'!K47-SUM('Expenditures 15-22'!G47,'Expenditures 15-22'!I47)+'Expenditures 15-22'!D243</f>
        <v>242038</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636396</v>
      </c>
      <c r="F23" s="1801"/>
      <c r="G23" s="1803">
        <f>'Expenditures 15-22'!K53-SUM('Expenditures 15-22'!G53,'Expenditures 15-22'!I53)+'Expenditures 15-22'!D257+'Expenditures 15-22'!K330-SUM('Expenditures 15-22'!G330,'Expenditures 15-22'!I330)</f>
        <v>636396</v>
      </c>
      <c r="H23" s="986"/>
      <c r="I23" s="161"/>
    </row>
    <row r="24" spans="1:9" s="667" customFormat="1" ht="12" customHeight="1" x14ac:dyDescent="0.2">
      <c r="A24" s="993" t="s">
        <v>566</v>
      </c>
      <c r="B24" s="994"/>
      <c r="C24" s="992">
        <v>2400</v>
      </c>
      <c r="D24" s="1801"/>
      <c r="E24" s="1803">
        <f>'Expenditures 15-22'!K57-SUM('Expenditures 15-22'!G57,'Expenditures 15-22'!I57)+'Expenditures 15-22'!D261</f>
        <v>658463</v>
      </c>
      <c r="F24" s="1801"/>
      <c r="G24" s="1804">
        <f>'Expenditures 15-22'!K57-SUM('Expenditures 15-22'!G57,'Expenditures 15-22'!I57)+'Expenditures 15-22'!D261</f>
        <v>658463</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143806</v>
      </c>
      <c r="E26" s="1803">
        <f>'Expenditures 15-22'!K122-SUM('Expenditures 15-22'!G122,'Expenditures 15-22'!I122)+E7</f>
        <v>0</v>
      </c>
      <c r="F26" s="1803">
        <f>'Expenditures 15-22'!K59-SUM('Expenditures 15-22'!G59,'Expenditures 15-22'!I59)+'Expenditures 15-22'!D263-E7</f>
        <v>143806</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241699</v>
      </c>
      <c r="E27" s="1803">
        <f>E8</f>
        <v>0</v>
      </c>
      <c r="F27" s="1803">
        <f>'Expenditures 15-22'!K60-SUM('Expenditures 15-22'!G60,'Expenditures 15-22'!I60)+'Expenditures 15-22'!D264-E8</f>
        <v>241699</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987042</v>
      </c>
      <c r="F28" s="1805">
        <f>'Expenditures 15-22'!K61-SUM('Expenditures 15-22'!G61,'Expenditures 15-22'!I61)+'Expenditures 15-22'!K124-SUM('Expenditures 15-22'!G124,'Expenditures 15-22'!I124)+'Expenditures 15-22'!D266-E9</f>
        <v>987042</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986904</v>
      </c>
      <c r="F29" s="1801"/>
      <c r="G29" s="1804">
        <f>'Expenditures 15-22'!K62-SUM('Expenditures 15-22'!G62,'Expenditures 15-22'!I62)+'Expenditures 15-22'!K125-SUM('Expenditures 15-22'!G125,'Expenditures 15-22'!I125)+'Expenditures 15-22'!K182-SUM('Expenditures 15-22'!G182,'Expenditures 15-22'!I182)+'Expenditures 15-22'!D267</f>
        <v>986904</v>
      </c>
      <c r="H29" s="984"/>
    </row>
    <row r="30" spans="1:9" ht="12" customHeight="1" x14ac:dyDescent="0.2">
      <c r="A30" s="993" t="s">
        <v>100</v>
      </c>
      <c r="B30" s="996"/>
      <c r="C30" s="992">
        <v>2560</v>
      </c>
      <c r="D30" s="1801"/>
      <c r="E30" s="1803">
        <f>'Expenditures 15-22'!K63-SUM('Expenditures 15-22'!G63,'Expenditures 15-22'!I63)+'Expenditures 15-22'!D268-E10</f>
        <v>472034</v>
      </c>
      <c r="F30" s="1801"/>
      <c r="G30" s="1803">
        <f>'Expenditures 15-22'!K63-SUM('Expenditures 15-22'!G63,'Expenditures 15-22'!I63)+'Expenditures 15-22'!D268-E10</f>
        <v>472034</v>
      </c>
    </row>
    <row r="31" spans="1:9" ht="12" customHeight="1" x14ac:dyDescent="0.2">
      <c r="A31" s="993" t="s">
        <v>101</v>
      </c>
      <c r="B31" s="996"/>
      <c r="C31" s="992">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4000</v>
      </c>
      <c r="F35" s="1801"/>
      <c r="G35" s="1803">
        <f>'Expenditures 15-22'!K69-SUM('Expenditures 15-22'!G69,'Expenditures 15-22'!I69)+'Expenditures 15-22'!D274</f>
        <v>4000</v>
      </c>
    </row>
    <row r="36" spans="1:7" ht="12" customHeight="1" x14ac:dyDescent="0.2">
      <c r="A36" s="993" t="s">
        <v>403</v>
      </c>
      <c r="B36" s="996"/>
      <c r="C36" s="992">
        <v>2640</v>
      </c>
      <c r="D36" s="1803">
        <f>'Expenditures 15-22'!K70-SUM('Expenditures 15-22'!G70,'Expenditures 15-22'!I70)+'Expenditures 15-22'!D275-E13</f>
        <v>2080</v>
      </c>
      <c r="E36" s="1803">
        <f>E13</f>
        <v>0</v>
      </c>
      <c r="F36" s="1803">
        <f>'Expenditures 15-22'!K70-SUM('Expenditures 15-22'!G70,'Expenditures 15-22'!I70)+'Expenditures 15-22'!D275-E13</f>
        <v>2080</v>
      </c>
      <c r="G36" s="1803">
        <f>E13</f>
        <v>0</v>
      </c>
    </row>
    <row r="37" spans="1:7" ht="12" customHeight="1" x14ac:dyDescent="0.2">
      <c r="A37" s="993" t="s">
        <v>404</v>
      </c>
      <c r="B37" s="996"/>
      <c r="C37" s="992">
        <v>2660</v>
      </c>
      <c r="D37" s="1803">
        <f>'Expenditures 15-22'!K71-SUM('Expenditures 15-22'!G71,'Expenditures 15-22'!I71)+'Expenditures 15-22'!D276-E14</f>
        <v>153082</v>
      </c>
      <c r="E37" s="1803">
        <f>E14</f>
        <v>0</v>
      </c>
      <c r="F37" s="1803">
        <f>'Expenditures 15-22'!K71-SUM('Expenditures 15-22'!G71,'Expenditures 15-22'!I71)+'Expenditures 15-22'!D276-E14</f>
        <v>153082</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5993</v>
      </c>
      <c r="F38" s="1801"/>
      <c r="G38" s="1803">
        <f>'Expenditures 15-22'!K73-SUM('Expenditures 15-22'!G73,'Expenditures 15-22'!I73)+'Expenditures 15-22'!K128-SUM('Expenditures 15-22'!G128,'Expenditures 15-22'!I128)+'Expenditures 15-22'!K183-SUM('Expenditures 15-22'!G183,'Expenditures 15-22'!I183)+'Expenditures 15-22'!D278</f>
        <v>5993</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5331</v>
      </c>
      <c r="F39" s="1801"/>
      <c r="G39" s="1803">
        <f>'Expenditures 15-22'!K75-SUM('Expenditures 15-22'!G75,'Expenditures 15-22'!I75)+'Expenditures 15-22'!K130-SUM('Expenditures 15-22'!G130,'Expenditures 15-22'!I130)+'Expenditures 15-22'!K185-SUM('Expenditures 15-22'!G185,'Expenditures 15-22'!I185)+'Expenditures 15-22'!D280</f>
        <v>5331</v>
      </c>
    </row>
    <row r="40" spans="1:7" ht="12" customHeight="1" x14ac:dyDescent="0.2">
      <c r="A40" s="989" t="s">
        <v>1820</v>
      </c>
      <c r="B40" s="990"/>
      <c r="C40" s="992"/>
      <c r="D40" s="1801"/>
      <c r="E40" s="1805">
        <f>-'Contracts Paid in CY 29'!G141</f>
        <v>-204885</v>
      </c>
      <c r="F40" s="1801"/>
      <c r="G40" s="1805">
        <f>-'Contracts Paid in CY 29'!G141</f>
        <v>-204885</v>
      </c>
    </row>
    <row r="41" spans="1:7" ht="12" customHeight="1" x14ac:dyDescent="0.2">
      <c r="A41" s="997" t="s">
        <v>156</v>
      </c>
      <c r="B41" s="998"/>
      <c r="C41" s="999"/>
      <c r="D41" s="1805">
        <f>SUM(D19:D39)</f>
        <v>540667</v>
      </c>
      <c r="E41" s="1805">
        <f>SUM(E19:E40)</f>
        <v>9305265</v>
      </c>
      <c r="F41" s="1805">
        <f>SUM(F19:F39)</f>
        <v>1527709</v>
      </c>
      <c r="G41" s="1805">
        <f>SUM(G19:G40)</f>
        <v>8318223</v>
      </c>
    </row>
    <row r="42" spans="1:7" x14ac:dyDescent="0.2">
      <c r="A42" s="986"/>
      <c r="B42" s="161"/>
      <c r="C42" s="1000"/>
      <c r="D42" s="2376" t="s">
        <v>522</v>
      </c>
      <c r="E42" s="2377"/>
      <c r="F42" s="1001" t="s">
        <v>523</v>
      </c>
      <c r="G42" s="1002"/>
    </row>
    <row r="43" spans="1:7" ht="12" customHeight="1" x14ac:dyDescent="0.2">
      <c r="A43" s="986"/>
      <c r="B43" s="161"/>
      <c r="C43" s="1000"/>
      <c r="D43" s="1806" t="s">
        <v>473</v>
      </c>
      <c r="E43" s="1807">
        <f>D41</f>
        <v>540667</v>
      </c>
      <c r="F43" s="1806" t="s">
        <v>473</v>
      </c>
      <c r="G43" s="1807">
        <f>F41</f>
        <v>1527709</v>
      </c>
    </row>
    <row r="44" spans="1:7" ht="12" customHeight="1" x14ac:dyDescent="0.2">
      <c r="A44" s="986"/>
      <c r="B44" s="161"/>
      <c r="C44" s="1000"/>
      <c r="D44" s="1806" t="s">
        <v>474</v>
      </c>
      <c r="E44" s="1807">
        <f>E41</f>
        <v>9305265</v>
      </c>
      <c r="F44" s="1806" t="s">
        <v>474</v>
      </c>
      <c r="G44" s="1807">
        <f>G41</f>
        <v>8318223</v>
      </c>
    </row>
    <row r="45" spans="1:7" ht="12" customHeight="1" x14ac:dyDescent="0.2">
      <c r="A45" s="986"/>
      <c r="B45" s="161"/>
      <c r="C45" s="161"/>
      <c r="D45" s="1808" t="s">
        <v>1006</v>
      </c>
      <c r="E45" s="1809">
        <f>(E43/E44)</f>
        <v>5.810334257003965E-2</v>
      </c>
      <c r="F45" s="1808" t="s">
        <v>1006</v>
      </c>
      <c r="G45" s="1809">
        <f>(G43/G44)</f>
        <v>0.18365809620636522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8" activePane="bottomLeft" state="frozen"/>
      <selection activeCell="A47" sqref="A47"/>
      <selection pane="bottomLeft" activeCell="C25" sqref="C2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84" t="s">
        <v>1379</v>
      </c>
      <c r="B1" s="2384"/>
      <c r="C1" s="2384"/>
      <c r="D1" s="2384"/>
      <c r="E1" s="2384"/>
      <c r="F1" s="2384"/>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85" t="s">
        <v>1546</v>
      </c>
      <c r="B5" s="2386"/>
      <c r="C5" s="2387"/>
      <c r="D5" s="2387"/>
      <c r="E5" s="2387"/>
      <c r="F5" s="2387"/>
    </row>
    <row r="6" spans="1:10" ht="12" customHeight="1" x14ac:dyDescent="0.25">
      <c r="A6" s="1849"/>
      <c r="B6" s="1850"/>
      <c r="C6" s="2388" t="str">
        <f>COVER!A17</f>
        <v>Fox Lake GSD 114</v>
      </c>
      <c r="D6" s="2388"/>
      <c r="E6" s="2388"/>
      <c r="F6" s="1851"/>
    </row>
    <row r="7" spans="1:10" ht="11.25" customHeight="1" thickBot="1" x14ac:dyDescent="0.3">
      <c r="A7" s="1849"/>
      <c r="B7" s="1850"/>
      <c r="C7" s="2389">
        <f>COVER!A13</f>
        <v>34049114002</v>
      </c>
      <c r="D7" s="2389"/>
      <c r="E7" s="2389"/>
      <c r="F7" s="1851"/>
    </row>
    <row r="8" spans="1:10" ht="25.5" customHeight="1" thickBot="1" x14ac:dyDescent="0.25">
      <c r="A8" s="1892" t="s">
        <v>1904</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2060</v>
      </c>
      <c r="D19" s="1864" t="s">
        <v>2060</v>
      </c>
      <c r="E19" s="1867" t="s">
        <v>2060</v>
      </c>
      <c r="F19" s="1866" t="s">
        <v>2091</v>
      </c>
      <c r="H19" s="1877">
        <f t="shared" si="0"/>
        <v>5</v>
      </c>
      <c r="I19" s="1877">
        <f t="shared" si="1"/>
        <v>5</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t="s">
        <v>2060</v>
      </c>
      <c r="E25" s="1867" t="s">
        <v>2060</v>
      </c>
      <c r="F25" s="1866" t="s">
        <v>2092</v>
      </c>
      <c r="H25" s="1877">
        <f t="shared" si="0"/>
        <v>0</v>
      </c>
      <c r="I25" s="1877">
        <f t="shared" si="1"/>
        <v>5</v>
      </c>
      <c r="J25" s="1877">
        <f t="shared" si="2"/>
        <v>5</v>
      </c>
    </row>
    <row r="26" spans="1:12" ht="12" customHeight="1" x14ac:dyDescent="0.2">
      <c r="A26" s="1862" t="s">
        <v>1534</v>
      </c>
      <c r="B26" s="1863"/>
      <c r="C26" s="1864" t="s">
        <v>2060</v>
      </c>
      <c r="D26" s="1864" t="s">
        <v>2060</v>
      </c>
      <c r="E26" s="1867" t="s">
        <v>2060</v>
      </c>
      <c r="F26" s="1866" t="s">
        <v>2093</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10</v>
      </c>
      <c r="I34" s="1877">
        <f>SUM(I11:I32)</f>
        <v>15</v>
      </c>
      <c r="J34" s="1877">
        <f>SUM(J11:J32)</f>
        <v>15</v>
      </c>
      <c r="K34" s="1877">
        <f>SUM(H34:J34)</f>
        <v>40</v>
      </c>
    </row>
    <row r="35" spans="1:11" ht="12" customHeight="1" x14ac:dyDescent="0.2">
      <c r="A35" s="1870" t="s">
        <v>1392</v>
      </c>
      <c r="B35" s="1871"/>
      <c r="C35" s="2390"/>
      <c r="D35" s="2390"/>
      <c r="E35" s="2390"/>
      <c r="F35" s="2391"/>
    </row>
    <row r="36" spans="1:11" ht="12" customHeight="1" x14ac:dyDescent="0.2">
      <c r="A36" s="2381"/>
      <c r="B36" s="2382"/>
      <c r="C36" s="2382"/>
      <c r="D36" s="2382"/>
      <c r="E36" s="2382"/>
      <c r="F36" s="2383"/>
    </row>
    <row r="37" spans="1:11" ht="12" customHeight="1" x14ac:dyDescent="0.2">
      <c r="A37" s="2381"/>
      <c r="B37" s="2382"/>
      <c r="C37" s="2382"/>
      <c r="D37" s="2382"/>
      <c r="E37" s="2382"/>
      <c r="F37" s="2383"/>
    </row>
    <row r="38" spans="1:11" ht="12" customHeight="1" x14ac:dyDescent="0.2">
      <c r="A38" s="2395"/>
      <c r="B38" s="2396"/>
      <c r="C38" s="2396"/>
      <c r="D38" s="2396"/>
      <c r="E38" s="2396"/>
      <c r="F38" s="2397"/>
    </row>
    <row r="39" spans="1:11" ht="4.5" hidden="1" customHeight="1" x14ac:dyDescent="0.2">
      <c r="A39" s="1872"/>
      <c r="B39" s="1872"/>
      <c r="C39" s="1872"/>
      <c r="D39" s="1872"/>
      <c r="E39" s="1872"/>
      <c r="F39" s="1872"/>
    </row>
    <row r="40" spans="1:11" s="1869" customFormat="1" ht="12" customHeight="1" x14ac:dyDescent="0.25">
      <c r="A40" s="1873" t="s">
        <v>1391</v>
      </c>
      <c r="B40" s="1874"/>
      <c r="C40" s="2398"/>
      <c r="D40" s="2398"/>
      <c r="E40" s="2398"/>
      <c r="F40" s="2399"/>
      <c r="H40" s="1878"/>
      <c r="I40" s="1878"/>
      <c r="J40" s="1878"/>
      <c r="K40" s="1878"/>
    </row>
    <row r="41" spans="1:11" s="1869" customFormat="1" ht="12" customHeight="1" x14ac:dyDescent="0.25">
      <c r="A41" s="2400"/>
      <c r="B41" s="2401"/>
      <c r="C41" s="2401"/>
      <c r="D41" s="2401"/>
      <c r="E41" s="2401"/>
      <c r="F41" s="2402"/>
      <c r="H41" s="1878"/>
      <c r="I41" s="1878"/>
      <c r="J41" s="1878"/>
      <c r="K41" s="1878"/>
    </row>
    <row r="42" spans="1:11" s="1869" customFormat="1" ht="12" customHeight="1" x14ac:dyDescent="0.25">
      <c r="A42" s="2400"/>
      <c r="B42" s="2401"/>
      <c r="C42" s="2401"/>
      <c r="D42" s="2401"/>
      <c r="E42" s="2401"/>
      <c r="F42" s="2402"/>
      <c r="H42" s="1878"/>
      <c r="I42" s="1878"/>
      <c r="J42" s="1878"/>
      <c r="K42" s="1878"/>
    </row>
    <row r="43" spans="1:11" s="1869" customFormat="1" ht="15" x14ac:dyDescent="0.25">
      <c r="A43" s="2392"/>
      <c r="B43" s="2393"/>
      <c r="C43" s="2393"/>
      <c r="D43" s="2393"/>
      <c r="E43" s="2393"/>
      <c r="F43" s="2394"/>
      <c r="H43" s="1878"/>
      <c r="I43" s="1878"/>
      <c r="J43" s="1878"/>
      <c r="K43" s="1878"/>
    </row>
    <row r="44" spans="1:11" s="1869" customFormat="1" ht="12" hidden="1" customHeight="1" x14ac:dyDescent="0.25">
      <c r="A44" s="2392"/>
      <c r="B44" s="2393"/>
      <c r="C44" s="2393"/>
      <c r="D44" s="2393"/>
      <c r="E44" s="2393"/>
      <c r="F44" s="2394"/>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6" sqref="H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408" t="str">
        <f>COVER!A17</f>
        <v>Fox Lake GSD 114</v>
      </c>
      <c r="J6" s="2409"/>
      <c r="Q6" s="1663"/>
    </row>
    <row r="7" spans="1:17" x14ac:dyDescent="0.2">
      <c r="A7" s="2410" t="s">
        <v>869</v>
      </c>
      <c r="B7" s="2411"/>
      <c r="C7" s="2411"/>
      <c r="D7" s="2411"/>
      <c r="E7" s="2412"/>
      <c r="F7" s="1016"/>
      <c r="G7" s="1008"/>
      <c r="H7" s="1015" t="s">
        <v>372</v>
      </c>
      <c r="I7" s="2413">
        <f>COVER!A13</f>
        <v>34049114002</v>
      </c>
      <c r="J7" s="2413"/>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1975</v>
      </c>
      <c r="F9" s="1022"/>
      <c r="G9" s="1022"/>
      <c r="H9" s="1895" t="s">
        <v>1976</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414" t="s">
        <v>481</v>
      </c>
      <c r="B11" s="2415"/>
      <c r="C11" s="2416"/>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302733</v>
      </c>
      <c r="F12" s="1038"/>
      <c r="G12" s="1810">
        <f t="shared" ref="G12:G18" si="0">SUM(E12:F12)</f>
        <v>302733</v>
      </c>
      <c r="H12" s="1039">
        <v>298876</v>
      </c>
      <c r="I12" s="1038"/>
      <c r="J12" s="1810">
        <f t="shared" ref="J12:J18" si="1">SUM(H12:I12)</f>
        <v>298876</v>
      </c>
    </row>
    <row r="13" spans="1:17" ht="15" customHeight="1" x14ac:dyDescent="0.2">
      <c r="A13" s="1034">
        <v>2</v>
      </c>
      <c r="B13" s="1035" t="s">
        <v>42</v>
      </c>
      <c r="C13" s="1036"/>
      <c r="D13" s="1037">
        <v>2330</v>
      </c>
      <c r="E13" s="1810">
        <f>'Expenditures 15-22'!K51</f>
        <v>113910</v>
      </c>
      <c r="F13" s="1038"/>
      <c r="G13" s="1810">
        <f t="shared" si="0"/>
        <v>113910</v>
      </c>
      <c r="H13" s="1039">
        <v>101258</v>
      </c>
      <c r="I13" s="1038"/>
      <c r="J13" s="1810">
        <f t="shared" si="1"/>
        <v>101258</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142076</v>
      </c>
      <c r="F15" s="1810">
        <f>'Expenditures 15-22'!K122</f>
        <v>0</v>
      </c>
      <c r="G15" s="1810">
        <f t="shared" si="0"/>
        <v>142076</v>
      </c>
      <c r="H15" s="1039">
        <v>150325</v>
      </c>
      <c r="I15" s="1039"/>
      <c r="J15" s="1810">
        <f t="shared" si="1"/>
        <v>150325</v>
      </c>
    </row>
    <row r="16" spans="1:17" ht="15" customHeight="1" x14ac:dyDescent="0.2">
      <c r="A16" s="1034">
        <v>5</v>
      </c>
      <c r="B16" s="1035" t="s">
        <v>101</v>
      </c>
      <c r="C16" s="1036"/>
      <c r="D16" s="1037">
        <v>2570</v>
      </c>
      <c r="E16" s="1810">
        <f>'Expenditures 15-22'!K64</f>
        <v>0</v>
      </c>
      <c r="F16" s="1038"/>
      <c r="G16" s="1810">
        <f t="shared" si="0"/>
        <v>0</v>
      </c>
      <c r="H16" s="1039"/>
      <c r="I16" s="1038"/>
      <c r="J16" s="1810">
        <f t="shared" si="1"/>
        <v>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417" t="s">
        <v>7</v>
      </c>
      <c r="C18" s="2418"/>
      <c r="D18" s="2419"/>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558719</v>
      </c>
      <c r="F19" s="1812">
        <f t="shared" si="2"/>
        <v>0</v>
      </c>
      <c r="G19" s="1812">
        <f t="shared" si="2"/>
        <v>558719</v>
      </c>
      <c r="H19" s="1812">
        <f t="shared" si="2"/>
        <v>550459</v>
      </c>
      <c r="I19" s="1812">
        <f t="shared" si="2"/>
        <v>0</v>
      </c>
      <c r="J19" s="1812">
        <f t="shared" si="2"/>
        <v>550459</v>
      </c>
    </row>
    <row r="20" spans="1:10" ht="13.5" thickTop="1" x14ac:dyDescent="0.2">
      <c r="A20" s="1034">
        <v>9</v>
      </c>
      <c r="B20" s="2420" t="s">
        <v>1977</v>
      </c>
      <c r="C20" s="2420"/>
      <c r="D20" s="2421"/>
      <c r="E20" s="1045"/>
      <c r="F20" s="1045"/>
      <c r="G20" s="1045"/>
      <c r="H20" s="1045"/>
      <c r="I20" s="1045"/>
      <c r="J20" s="1813">
        <f>IF(AND(G19&gt;0,J19&gt;0),(((J19-G19)/G19)),"Enter Budget Data")</f>
        <v>-1.478381798363757E-2</v>
      </c>
    </row>
    <row r="21" spans="1:10" ht="9" customHeight="1" x14ac:dyDescent="0.2">
      <c r="B21" s="1046"/>
    </row>
    <row r="22" spans="1:10" x14ac:dyDescent="0.2">
      <c r="A22" s="1047" t="s">
        <v>133</v>
      </c>
      <c r="B22" s="1046"/>
    </row>
    <row r="23" spans="1:10" x14ac:dyDescent="0.2">
      <c r="A23" s="1010" t="s">
        <v>1978</v>
      </c>
      <c r="B23" s="1046"/>
    </row>
    <row r="24" spans="1:10" x14ac:dyDescent="0.2">
      <c r="A24" s="1010" t="s">
        <v>1990</v>
      </c>
      <c r="B24" s="1046"/>
    </row>
    <row r="25" spans="1:10" x14ac:dyDescent="0.2">
      <c r="A25" s="1048"/>
      <c r="B25" s="1046"/>
    </row>
    <row r="26" spans="1:10" ht="20.100000000000001" customHeight="1" x14ac:dyDescent="0.2">
      <c r="B26" s="1046"/>
      <c r="C26" s="2426"/>
      <c r="D26" s="2426"/>
      <c r="E26" s="1049"/>
      <c r="F26" s="2425"/>
      <c r="G26" s="2425"/>
    </row>
    <row r="27" spans="1:10" x14ac:dyDescent="0.2">
      <c r="B27" s="1046"/>
      <c r="C27" s="1050" t="s">
        <v>1033</v>
      </c>
      <c r="D27" s="1051"/>
      <c r="E27" s="1052"/>
      <c r="F27" s="2422" t="s">
        <v>1509</v>
      </c>
      <c r="G27" s="2422"/>
    </row>
    <row r="28" spans="1:10" ht="28.5" customHeight="1" x14ac:dyDescent="0.2">
      <c r="B28" s="1046"/>
      <c r="C28" s="2424"/>
      <c r="D28" s="2424"/>
      <c r="E28" s="1053"/>
      <c r="F28" s="2424"/>
      <c r="G28" s="2424"/>
    </row>
    <row r="29" spans="1:10" x14ac:dyDescent="0.2">
      <c r="B29" s="1046"/>
      <c r="C29" s="1054" t="s">
        <v>1561</v>
      </c>
      <c r="E29" s="1055"/>
      <c r="F29" s="2423" t="s">
        <v>1510</v>
      </c>
      <c r="G29" s="2423"/>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405" t="s">
        <v>132</v>
      </c>
      <c r="D33" s="2406"/>
      <c r="E33" s="2406"/>
      <c r="F33" s="2406"/>
      <c r="G33" s="2406"/>
      <c r="H33" s="2406"/>
      <c r="I33" s="2406"/>
    </row>
    <row r="34" spans="1:10" ht="10.35" customHeight="1" x14ac:dyDescent="0.2">
      <c r="C34" s="2406"/>
      <c r="D34" s="2406"/>
      <c r="E34" s="2406"/>
      <c r="F34" s="2406"/>
      <c r="G34" s="2406"/>
      <c r="H34" s="2406"/>
      <c r="I34" s="2406"/>
    </row>
    <row r="35" spans="1:10" ht="7.5" customHeight="1" x14ac:dyDescent="0.2">
      <c r="C35" s="1061"/>
    </row>
    <row r="36" spans="1:10" ht="13.5" customHeight="1" x14ac:dyDescent="0.2">
      <c r="B36" s="1060"/>
      <c r="C36" s="2407" t="s">
        <v>1979</v>
      </c>
      <c r="D36" s="2406"/>
      <c r="E36" s="2406"/>
      <c r="F36" s="2406"/>
      <c r="G36" s="2406"/>
      <c r="H36" s="2406"/>
      <c r="I36" s="2406"/>
      <c r="J36" s="1062"/>
    </row>
    <row r="37" spans="1:10" ht="22.5" customHeight="1" x14ac:dyDescent="0.2">
      <c r="C37" s="2406"/>
      <c r="D37" s="2406"/>
      <c r="E37" s="2406"/>
      <c r="F37" s="2406"/>
      <c r="G37" s="2406"/>
      <c r="H37" s="2406"/>
      <c r="I37" s="2406"/>
      <c r="J37" s="1062"/>
    </row>
    <row r="38" spans="1:10" ht="7.5" customHeight="1" x14ac:dyDescent="0.2">
      <c r="C38" s="1061"/>
      <c r="D38" s="1063"/>
      <c r="E38" s="1064"/>
      <c r="F38" s="1065"/>
      <c r="G38" s="1064"/>
    </row>
    <row r="39" spans="1:10" ht="13.5" customHeight="1" x14ac:dyDescent="0.2">
      <c r="B39" s="1060"/>
      <c r="C39" s="2403" t="s">
        <v>882</v>
      </c>
      <c r="D39" s="2404"/>
      <c r="E39" s="2404"/>
      <c r="F39" s="2404"/>
      <c r="G39" s="2404"/>
      <c r="H39" s="2404"/>
      <c r="I39" s="2404"/>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Fox Lake GSD 114</v>
      </c>
    </row>
    <row r="65" spans="2:2" x14ac:dyDescent="0.2">
      <c r="B65" s="1069">
        <f>COVER!A13</f>
        <v>34049114002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1855</v>
      </c>
      <c r="C4" s="161" t="s">
        <v>1169</v>
      </c>
      <c r="D4" s="168" t="s">
        <v>10</v>
      </c>
      <c r="E4" s="169" t="s">
        <v>22</v>
      </c>
    </row>
    <row r="5" spans="1:5" x14ac:dyDescent="0.2">
      <c r="A5" s="167" t="s">
        <v>1857</v>
      </c>
      <c r="C5" s="161" t="s">
        <v>1169</v>
      </c>
      <c r="D5" s="168" t="s">
        <v>10</v>
      </c>
      <c r="E5" s="169" t="s">
        <v>22</v>
      </c>
    </row>
    <row r="6" spans="1:5" x14ac:dyDescent="0.2">
      <c r="A6" s="167" t="s">
        <v>1856</v>
      </c>
      <c r="C6" s="161" t="s">
        <v>1169</v>
      </c>
      <c r="D6" s="166" t="s">
        <v>11</v>
      </c>
      <c r="E6" s="169" t="s">
        <v>941</v>
      </c>
    </row>
    <row r="7" spans="1:5" x14ac:dyDescent="0.2">
      <c r="A7" s="167" t="s">
        <v>1858</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1859</v>
      </c>
      <c r="C11" s="161" t="s">
        <v>1169</v>
      </c>
      <c r="D11" s="168" t="s">
        <v>14</v>
      </c>
      <c r="E11" s="169" t="s">
        <v>1156</v>
      </c>
    </row>
    <row r="12" spans="1:5" x14ac:dyDescent="0.2">
      <c r="B12" s="168" t="s">
        <v>1860</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1861</v>
      </c>
      <c r="C15" s="161" t="s">
        <v>1169</v>
      </c>
      <c r="D15" s="168" t="s">
        <v>17</v>
      </c>
      <c r="E15" s="169" t="s">
        <v>636</v>
      </c>
    </row>
    <row r="16" spans="1:5" x14ac:dyDescent="0.2">
      <c r="A16" s="171"/>
      <c r="B16" s="161" t="s">
        <v>1862</v>
      </c>
      <c r="C16" s="161" t="s">
        <v>1169</v>
      </c>
      <c r="D16" s="168" t="s">
        <v>681</v>
      </c>
      <c r="E16" s="169" t="s">
        <v>1040</v>
      </c>
    </row>
    <row r="17" spans="1:5" x14ac:dyDescent="0.2">
      <c r="B17" s="166" t="s">
        <v>988</v>
      </c>
      <c r="C17" s="161" t="s">
        <v>1169</v>
      </c>
    </row>
    <row r="18" spans="1:5" x14ac:dyDescent="0.2">
      <c r="B18" s="166" t="s">
        <v>1868</v>
      </c>
      <c r="D18" s="168" t="s">
        <v>18</v>
      </c>
      <c r="E18" s="169" t="s">
        <v>1041</v>
      </c>
    </row>
    <row r="19" spans="1:5" x14ac:dyDescent="0.2">
      <c r="A19" s="167" t="s">
        <v>1099</v>
      </c>
      <c r="C19" s="161" t="s">
        <v>1169</v>
      </c>
      <c r="D19" s="168"/>
      <c r="E19" s="170"/>
    </row>
    <row r="20" spans="1:5" x14ac:dyDescent="0.2">
      <c r="B20" s="166" t="s">
        <v>1863</v>
      </c>
      <c r="C20" s="161" t="s">
        <v>1169</v>
      </c>
      <c r="D20" s="168" t="s">
        <v>19</v>
      </c>
      <c r="E20" s="169" t="s">
        <v>51</v>
      </c>
    </row>
    <row r="21" spans="1:5" x14ac:dyDescent="0.2">
      <c r="B21" s="166" t="s">
        <v>1864</v>
      </c>
      <c r="C21" s="161" t="s">
        <v>1169</v>
      </c>
      <c r="D21" s="168" t="s">
        <v>20</v>
      </c>
      <c r="E21" s="169" t="s">
        <v>1610</v>
      </c>
    </row>
    <row r="22" spans="1:5" x14ac:dyDescent="0.2">
      <c r="A22" s="167"/>
      <c r="B22" s="161" t="s">
        <v>1852</v>
      </c>
      <c r="C22" s="161" t="s">
        <v>1169</v>
      </c>
      <c r="D22" s="166" t="s">
        <v>1854</v>
      </c>
      <c r="E22" s="1835" t="s">
        <v>1611</v>
      </c>
    </row>
    <row r="23" spans="1:5" x14ac:dyDescent="0.2">
      <c r="A23" s="167"/>
      <c r="B23" s="161" t="s">
        <v>1853</v>
      </c>
      <c r="D23" s="166" t="s">
        <v>637</v>
      </c>
      <c r="E23" s="1835" t="s">
        <v>959</v>
      </c>
    </row>
    <row r="24" spans="1:5" x14ac:dyDescent="0.2">
      <c r="A24" s="167" t="s">
        <v>1609</v>
      </c>
      <c r="C24" s="161" t="s">
        <v>1169</v>
      </c>
      <c r="D24" s="166" t="s">
        <v>1393</v>
      </c>
      <c r="E24" s="169" t="s">
        <v>960</v>
      </c>
    </row>
    <row r="25" spans="1:5" x14ac:dyDescent="0.2">
      <c r="A25" s="167" t="s">
        <v>1865</v>
      </c>
      <c r="C25" s="161" t="s">
        <v>1169</v>
      </c>
      <c r="D25" s="168" t="s">
        <v>21</v>
      </c>
      <c r="E25" s="169" t="s">
        <v>1042</v>
      </c>
    </row>
    <row r="26" spans="1:5" x14ac:dyDescent="0.2">
      <c r="A26" s="167" t="s">
        <v>1866</v>
      </c>
      <c r="C26" s="161" t="s">
        <v>1169</v>
      </c>
      <c r="D26" s="168" t="s">
        <v>563</v>
      </c>
      <c r="E26" s="169" t="s">
        <v>1043</v>
      </c>
    </row>
    <row r="27" spans="1:5" x14ac:dyDescent="0.2">
      <c r="A27" s="167" t="s">
        <v>1867</v>
      </c>
      <c r="C27" s="161" t="s">
        <v>1169</v>
      </c>
      <c r="D27" s="168" t="s">
        <v>557</v>
      </c>
      <c r="E27" s="169" t="s">
        <v>683</v>
      </c>
    </row>
    <row r="28" spans="1:5" x14ac:dyDescent="0.2">
      <c r="A28" s="167" t="s">
        <v>1869</v>
      </c>
      <c r="D28" s="168" t="s">
        <v>684</v>
      </c>
      <c r="E28" s="169" t="s">
        <v>1366</v>
      </c>
    </row>
    <row r="29" spans="1:5" x14ac:dyDescent="0.2">
      <c r="A29" s="167" t="s">
        <v>1870</v>
      </c>
      <c r="D29" s="168" t="s">
        <v>1394</v>
      </c>
      <c r="E29" s="169" t="s">
        <v>1375</v>
      </c>
    </row>
    <row r="30" spans="1:5" x14ac:dyDescent="0.2">
      <c r="A30" s="172" t="s">
        <v>1871</v>
      </c>
      <c r="C30" s="161" t="s">
        <v>1169</v>
      </c>
      <c r="D30" s="168" t="s">
        <v>40</v>
      </c>
      <c r="E30" s="169" t="s">
        <v>982</v>
      </c>
    </row>
    <row r="31" spans="1:5" x14ac:dyDescent="0.2">
      <c r="A31" s="167" t="s">
        <v>1521</v>
      </c>
      <c r="C31" s="161" t="s">
        <v>1169</v>
      </c>
      <c r="D31" s="166"/>
      <c r="E31" s="170"/>
    </row>
    <row r="32" spans="1:5" x14ac:dyDescent="0.2">
      <c r="B32" s="166" t="s">
        <v>1872</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144" t="s">
        <v>1065</v>
      </c>
      <c r="B35" s="2144"/>
      <c r="C35" s="2144"/>
      <c r="D35" s="2144"/>
      <c r="E35" s="2144"/>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141" t="s">
        <v>691</v>
      </c>
      <c r="B40" s="2141"/>
      <c r="C40" s="2141"/>
      <c r="D40" s="2141"/>
      <c r="E40" s="2141"/>
    </row>
    <row r="41" spans="1:5" x14ac:dyDescent="0.2">
      <c r="A41" s="2142" t="s">
        <v>1608</v>
      </c>
      <c r="B41" s="2142"/>
      <c r="C41" s="2142"/>
      <c r="D41" s="2142"/>
      <c r="E41" s="2142"/>
    </row>
    <row r="42" spans="1:5" ht="12.75" customHeight="1" x14ac:dyDescent="0.2">
      <c r="A42" s="2143" t="s">
        <v>1022</v>
      </c>
      <c r="B42" s="2143"/>
      <c r="C42" s="2143"/>
      <c r="D42" s="2143"/>
      <c r="E42" s="2143"/>
    </row>
    <row r="43" spans="1:5" ht="6.75" customHeight="1" x14ac:dyDescent="0.2">
      <c r="A43" s="166"/>
      <c r="B43" s="175"/>
    </row>
    <row r="44" spans="1:5" x14ac:dyDescent="0.2">
      <c r="A44" s="184" t="s">
        <v>983</v>
      </c>
      <c r="B44" s="185" t="s">
        <v>1898</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1768</v>
      </c>
    </row>
    <row r="52" spans="1:3" x14ac:dyDescent="0.2">
      <c r="A52" s="189"/>
      <c r="B52" s="187" t="s">
        <v>1788</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1769</v>
      </c>
    </row>
    <row r="57" spans="1:3" x14ac:dyDescent="0.2">
      <c r="A57" s="192"/>
      <c r="B57" s="189" t="s">
        <v>1771</v>
      </c>
    </row>
    <row r="58" spans="1:3" x14ac:dyDescent="0.2">
      <c r="A58" s="193"/>
      <c r="B58" s="189" t="s">
        <v>1772</v>
      </c>
    </row>
    <row r="59" spans="1:3" x14ac:dyDescent="0.2">
      <c r="A59" s="194"/>
      <c r="B59" s="1484" t="s">
        <v>1773</v>
      </c>
    </row>
    <row r="60" spans="1:3" x14ac:dyDescent="0.2">
      <c r="A60" s="195"/>
      <c r="B60" s="1484" t="s">
        <v>1774</v>
      </c>
    </row>
    <row r="61" spans="1:3" ht="6" customHeight="1" x14ac:dyDescent="0.2">
      <c r="A61" s="196"/>
      <c r="B61" s="188"/>
    </row>
    <row r="62" spans="1:3" x14ac:dyDescent="0.2">
      <c r="A62" s="168" t="s">
        <v>1616</v>
      </c>
      <c r="B62" s="197" t="s">
        <v>1770</v>
      </c>
    </row>
    <row r="63" spans="1:3" x14ac:dyDescent="0.2">
      <c r="A63" s="187"/>
      <c r="B63" s="168" t="s">
        <v>1785</v>
      </c>
    </row>
    <row r="64" spans="1:3" x14ac:dyDescent="0.2">
      <c r="A64" s="194"/>
      <c r="B64" s="1486" t="s">
        <v>1775</v>
      </c>
    </row>
    <row r="65" spans="1:9" x14ac:dyDescent="0.2">
      <c r="A65" s="187"/>
      <c r="B65" s="168" t="s">
        <v>1786</v>
      </c>
    </row>
    <row r="66" spans="1:9" x14ac:dyDescent="0.2">
      <c r="A66" s="189"/>
      <c r="B66" s="189" t="s">
        <v>1776</v>
      </c>
    </row>
    <row r="67" spans="1:9" ht="12" customHeight="1" x14ac:dyDescent="0.2">
      <c r="A67" s="187"/>
      <c r="B67" s="168" t="s">
        <v>1787</v>
      </c>
    </row>
    <row r="68" spans="1:9" x14ac:dyDescent="0.2">
      <c r="A68" s="188"/>
      <c r="B68" s="189" t="s">
        <v>1777</v>
      </c>
    </row>
    <row r="69" spans="1:9" x14ac:dyDescent="0.2">
      <c r="A69" s="189"/>
      <c r="B69" s="187" t="s">
        <v>1778</v>
      </c>
    </row>
    <row r="70" spans="1:9" ht="13.5" customHeight="1" x14ac:dyDescent="0.2">
      <c r="A70" s="189"/>
      <c r="B70" s="187" t="s">
        <v>1779</v>
      </c>
    </row>
    <row r="71" spans="1:9" ht="12" customHeight="1" x14ac:dyDescent="0.2">
      <c r="A71" s="191"/>
      <c r="B71" s="1485" t="s">
        <v>1619</v>
      </c>
    </row>
    <row r="72" spans="1:9" ht="9" customHeight="1" x14ac:dyDescent="0.2">
      <c r="A72" s="191"/>
      <c r="B72" s="198"/>
    </row>
    <row r="73" spans="1:9" x14ac:dyDescent="0.2">
      <c r="A73" s="188" t="s">
        <v>1620</v>
      </c>
      <c r="B73" s="168" t="s">
        <v>1781</v>
      </c>
    </row>
    <row r="74" spans="1:9" x14ac:dyDescent="0.2">
      <c r="A74" s="188"/>
      <c r="B74" s="168" t="s">
        <v>1780</v>
      </c>
    </row>
    <row r="75" spans="1:9" ht="8.25" customHeight="1" x14ac:dyDescent="0.2">
      <c r="A75" s="188"/>
      <c r="B75" s="188"/>
    </row>
    <row r="76" spans="1:9" ht="12.2" customHeight="1" x14ac:dyDescent="0.2">
      <c r="A76" s="188" t="s">
        <v>1621</v>
      </c>
      <c r="B76" s="197" t="s">
        <v>1782</v>
      </c>
    </row>
    <row r="77" spans="1:9" ht="12.2" customHeight="1" x14ac:dyDescent="0.2">
      <c r="A77" s="189"/>
      <c r="B77" s="168" t="s">
        <v>1622</v>
      </c>
      <c r="C77" s="178"/>
      <c r="D77" s="179"/>
      <c r="E77" s="180"/>
      <c r="F77" s="180"/>
      <c r="G77" s="180"/>
      <c r="H77" s="180"/>
      <c r="I77" s="180"/>
    </row>
    <row r="78" spans="1:9" ht="11.25" customHeight="1" x14ac:dyDescent="0.2">
      <c r="A78" s="189"/>
      <c r="B78" s="189" t="s">
        <v>1784</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I16" sqref="I16"/>
    </sheetView>
  </sheetViews>
  <sheetFormatPr defaultColWidth="9.140625"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427" t="s">
        <v>1685</v>
      </c>
      <c r="B18" s="242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3</xdr:col>
                <xdr:colOff>0</xdr:colOff>
                <xdr:row>4</xdr:row>
                <xdr:rowOff>0</xdr:rowOff>
              </from>
              <to>
                <xdr:col>4</xdr:col>
                <xdr:colOff>304800</xdr:colOff>
                <xdr:row>8</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6</xdr:col>
                <xdr:colOff>0</xdr:colOff>
                <xdr:row>5</xdr:row>
                <xdr:rowOff>0</xdr:rowOff>
              </from>
              <to>
                <xdr:col>7</xdr:col>
                <xdr:colOff>304800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9</xdr:col>
                <xdr:colOff>0</xdr:colOff>
                <xdr:row>7</xdr:row>
                <xdr:rowOff>0</xdr:rowOff>
              </from>
              <to>
                <xdr:col>10</xdr:col>
                <xdr:colOff>304800</xdr:colOff>
                <xdr:row>11</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4" sqref="A4:F4"/>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428" t="s">
        <v>1690</v>
      </c>
      <c r="B1" s="2429"/>
      <c r="C1" s="2429"/>
      <c r="D1" s="2429"/>
      <c r="E1" s="2429"/>
      <c r="F1" s="2430"/>
    </row>
    <row r="2" spans="1:8" ht="45" customHeight="1" x14ac:dyDescent="0.2">
      <c r="A2" s="2438" t="s">
        <v>1983</v>
      </c>
      <c r="B2" s="2439"/>
      <c r="C2" s="2439"/>
      <c r="D2" s="2439"/>
      <c r="E2" s="2439"/>
      <c r="F2" s="2440"/>
      <c r="G2" s="1073"/>
      <c r="H2" s="1073"/>
    </row>
    <row r="3" spans="1:8" ht="57" customHeight="1" x14ac:dyDescent="0.2">
      <c r="A3" s="2441" t="s">
        <v>1686</v>
      </c>
      <c r="B3" s="2442"/>
      <c r="C3" s="2442"/>
      <c r="D3" s="2442"/>
      <c r="E3" s="2442"/>
      <c r="F3" s="2443"/>
      <c r="G3" s="1073"/>
      <c r="H3" s="1073"/>
    </row>
    <row r="4" spans="1:8" ht="14.25" customHeight="1" x14ac:dyDescent="0.2">
      <c r="A4" s="2447" t="s">
        <v>1984</v>
      </c>
      <c r="B4" s="2448"/>
      <c r="C4" s="2448"/>
      <c r="D4" s="2448"/>
      <c r="E4" s="2448"/>
      <c r="F4" s="2449"/>
      <c r="G4" s="1073"/>
      <c r="H4" s="1073"/>
    </row>
    <row r="5" spans="1:8" ht="14.25" customHeight="1" x14ac:dyDescent="0.2">
      <c r="A5" s="2450" t="s">
        <v>1980</v>
      </c>
      <c r="B5" s="2451"/>
      <c r="C5" s="2451"/>
      <c r="D5" s="2451"/>
      <c r="E5" s="2451"/>
      <c r="F5" s="2452"/>
      <c r="G5" s="1073"/>
      <c r="H5" s="1073"/>
    </row>
    <row r="6" spans="1:8" s="1074" customFormat="1" ht="41.25" customHeight="1" x14ac:dyDescent="0.2">
      <c r="A6" s="2444" t="s">
        <v>1691</v>
      </c>
      <c r="B6" s="2445"/>
      <c r="C6" s="2445"/>
      <c r="D6" s="2445"/>
      <c r="E6" s="2445"/>
      <c r="F6" s="244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7513705</v>
      </c>
      <c r="C8" s="1814">
        <f>'Acct Summary 7-8'!D8</f>
        <v>993419</v>
      </c>
      <c r="D8" s="1814">
        <f>'Acct Summary 7-8'!F8</f>
        <v>585357</v>
      </c>
      <c r="E8" s="1814">
        <f>'Acct Summary 7-8'!I8</f>
        <v>158348</v>
      </c>
      <c r="F8" s="1814">
        <f>SUM(B8:E8)</f>
        <v>9250829</v>
      </c>
    </row>
    <row r="9" spans="1:8" s="1078" customFormat="1" ht="14.25" customHeight="1" thickBot="1" x14ac:dyDescent="0.25">
      <c r="A9" s="1077" t="s">
        <v>1369</v>
      </c>
      <c r="B9" s="1815">
        <f>'Acct Summary 7-8'!C17</f>
        <v>8526291</v>
      </c>
      <c r="C9" s="1815">
        <f>'Acct Summary 7-8'!D17</f>
        <v>959670</v>
      </c>
      <c r="D9" s="1815">
        <f>'Acct Summary 7-8'!F17</f>
        <v>944565</v>
      </c>
      <c r="E9" s="1814"/>
      <c r="F9" s="1814">
        <f>SUM(B9:E9)</f>
        <v>10430526</v>
      </c>
    </row>
    <row r="10" spans="1:8" s="1078" customFormat="1" ht="14.25" thickTop="1" thickBot="1" x14ac:dyDescent="0.25">
      <c r="A10" s="1079" t="s">
        <v>1370</v>
      </c>
      <c r="B10" s="1816">
        <f>(B8-B9)</f>
        <v>-1012586</v>
      </c>
      <c r="C10" s="1816">
        <f>(C8-C9)</f>
        <v>33749</v>
      </c>
      <c r="D10" s="1816">
        <f>(D8-D9)</f>
        <v>-359208</v>
      </c>
      <c r="E10" s="1815">
        <f>(E8-E9)</f>
        <v>158348</v>
      </c>
      <c r="F10" s="1817">
        <f>SUM(F8-F9)</f>
        <v>-1179697</v>
      </c>
    </row>
    <row r="11" spans="1:8" s="1078" customFormat="1" ht="14.25" thickTop="1" thickBot="1" x14ac:dyDescent="0.25">
      <c r="A11" s="1080" t="s">
        <v>1981</v>
      </c>
      <c r="B11" s="1818">
        <f>'Acct Summary 7-8'!C81</f>
        <v>-1079094</v>
      </c>
      <c r="C11" s="1818">
        <f>'Acct Summary 7-8'!D81</f>
        <v>287740</v>
      </c>
      <c r="D11" s="1818">
        <f>'Acct Summary 7-8'!F81</f>
        <v>-52628</v>
      </c>
      <c r="E11" s="1818">
        <f>'Acct Summary 7-8'!I81</f>
        <v>3850894</v>
      </c>
      <c r="F11" s="1819">
        <f>SUM(B11:E11)</f>
        <v>3006912</v>
      </c>
    </row>
    <row r="12" spans="1:8" ht="16.5" customHeight="1" thickTop="1" x14ac:dyDescent="0.2">
      <c r="A12" s="1081"/>
      <c r="B12" s="1082"/>
      <c r="C12" s="2432"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33"/>
      <c r="E12" s="2433"/>
      <c r="F12" s="2434"/>
    </row>
    <row r="13" spans="1:8" ht="19.5" customHeight="1" x14ac:dyDescent="0.2">
      <c r="A13" s="1083"/>
      <c r="B13" s="1084"/>
      <c r="C13" s="2432"/>
      <c r="D13" s="2433"/>
      <c r="E13" s="2433"/>
      <c r="F13" s="2434"/>
      <c r="H13" s="1073"/>
    </row>
    <row r="14" spans="1:8" ht="19.5" customHeight="1" x14ac:dyDescent="0.2">
      <c r="A14" s="1083"/>
      <c r="B14" s="1084"/>
      <c r="C14" s="2432"/>
      <c r="D14" s="2433"/>
      <c r="E14" s="2433"/>
      <c r="F14" s="2434"/>
      <c r="H14" s="1073"/>
    </row>
    <row r="15" spans="1:8" ht="17.25" customHeight="1" x14ac:dyDescent="0.2">
      <c r="A15" s="1083"/>
      <c r="B15" s="1084"/>
      <c r="C15" s="2435"/>
      <c r="D15" s="2436"/>
      <c r="E15" s="2436"/>
      <c r="F15" s="2437"/>
      <c r="H15" s="1073"/>
    </row>
    <row r="16" spans="1:8" s="309" customFormat="1" ht="51.75" hidden="1" customHeight="1" x14ac:dyDescent="0.2">
      <c r="A16" s="2431" t="s">
        <v>1687</v>
      </c>
      <c r="B16" s="2431"/>
      <c r="C16" s="2431"/>
      <c r="D16" s="2431"/>
      <c r="E16" s="2431"/>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23" sqref="D23"/>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453" t="s">
        <v>665</v>
      </c>
      <c r="B3" s="2454"/>
      <c r="C3" s="2454"/>
      <c r="D3" s="2455"/>
    </row>
    <row r="4" spans="1:4" x14ac:dyDescent="0.2">
      <c r="A4" s="1151" t="s">
        <v>1692</v>
      </c>
      <c r="B4" s="1152"/>
      <c r="C4" s="1153"/>
      <c r="D4" s="1154"/>
    </row>
    <row r="5" spans="1:4" ht="21" customHeight="1" x14ac:dyDescent="0.2">
      <c r="A5" s="1147"/>
      <c r="B5" s="1148">
        <v>1</v>
      </c>
      <c r="C5" s="1149" t="s">
        <v>1832</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464" t="s">
        <v>1504</v>
      </c>
      <c r="D7" s="2465"/>
    </row>
    <row r="8" spans="1:4" s="667" customFormat="1" ht="12.75" x14ac:dyDescent="0.2">
      <c r="A8" s="1137"/>
      <c r="B8" s="1092"/>
      <c r="C8" s="1095" t="s">
        <v>1503</v>
      </c>
      <c r="D8" s="1096"/>
    </row>
    <row r="9" spans="1:4" s="667" customFormat="1" ht="14.25" customHeight="1" x14ac:dyDescent="0.2">
      <c r="A9" s="1137"/>
      <c r="B9" s="1092">
        <f>B7+1</f>
        <v>4</v>
      </c>
      <c r="C9" s="1093" t="s">
        <v>1909</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456" t="s">
        <v>1008</v>
      </c>
      <c r="B15" s="2457"/>
      <c r="C15" s="2457"/>
      <c r="D15" s="2458"/>
    </row>
    <row r="16" spans="1:4" s="667" customFormat="1" ht="24" customHeight="1" x14ac:dyDescent="0.2">
      <c r="A16" s="2459" t="s">
        <v>663</v>
      </c>
      <c r="B16" s="2460"/>
      <c r="C16" s="2460"/>
      <c r="D16" s="2461"/>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68" t="s">
        <v>314</v>
      </c>
      <c r="D21" s="2469"/>
    </row>
    <row r="22" spans="1:10" ht="12.75" x14ac:dyDescent="0.2">
      <c r="A22" s="1138"/>
      <c r="B22" s="1139">
        <v>2</v>
      </c>
      <c r="C22" s="2466" t="s">
        <v>1524</v>
      </c>
      <c r="D22" s="246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70" t="s">
        <v>536</v>
      </c>
      <c r="D43" s="247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62" t="s">
        <v>784</v>
      </c>
      <c r="D56" s="246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1021</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OK</v>
      </c>
    </row>
    <row r="70" spans="1:4" x14ac:dyDescent="0.2">
      <c r="A70" s="1097"/>
      <c r="B70" s="1119">
        <f>B66+1</f>
        <v>9</v>
      </c>
      <c r="C70" s="2462" t="s">
        <v>1696</v>
      </c>
      <c r="D70" s="246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34049114002</v>
      </c>
    </row>
    <row r="3" spans="1:2" x14ac:dyDescent="0.2">
      <c r="A3" t="s">
        <v>956</v>
      </c>
      <c r="B3" s="137" t="str">
        <f>COVER!A15</f>
        <v>LAKE</v>
      </c>
    </row>
    <row r="4" spans="1:2" x14ac:dyDescent="0.2">
      <c r="A4" t="s">
        <v>1007</v>
      </c>
      <c r="B4" s="137" t="str">
        <f>COVER!A17</f>
        <v>Fox Lake GSD 114</v>
      </c>
    </row>
    <row r="5" spans="1:2" x14ac:dyDescent="0.2">
      <c r="A5" t="s">
        <v>704</v>
      </c>
      <c r="B5" s="137">
        <f>COVER!A38</f>
        <v>0</v>
      </c>
    </row>
    <row r="6" spans="1:2" x14ac:dyDescent="0.2">
      <c r="A6" t="s">
        <v>709</v>
      </c>
      <c r="B6" s="137">
        <f>COVER!P35</f>
        <v>0</v>
      </c>
    </row>
    <row r="7" spans="1:2" x14ac:dyDescent="0.2">
      <c r="A7" t="s">
        <v>705</v>
      </c>
      <c r="B7" s="137">
        <f>COVER!I38</f>
        <v>0</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066-005340</v>
      </c>
    </row>
    <row r="16" spans="1:2" x14ac:dyDescent="0.2">
      <c r="A16" t="s">
        <v>422</v>
      </c>
      <c r="B16" s="137" t="str">
        <f>COVER!T13</f>
        <v>EVANS, MARSHALL &amp; PEASE, P.C.</v>
      </c>
    </row>
    <row r="17" spans="1:2" x14ac:dyDescent="0.2">
      <c r="A17" t="s">
        <v>884</v>
      </c>
      <c r="B17" s="137" t="str">
        <f>COVER!T15</f>
        <v>JEFFERY M. ROLLEFSON</v>
      </c>
    </row>
    <row r="18" spans="1:2" x14ac:dyDescent="0.2">
      <c r="A18" t="s">
        <v>1150</v>
      </c>
      <c r="B18" s="137" t="str">
        <f>COVER!T17</f>
        <v>1875 HICKS ROAD</v>
      </c>
    </row>
    <row r="19" spans="1:2" x14ac:dyDescent="0.2">
      <c r="A19" t="s">
        <v>886</v>
      </c>
      <c r="B19" s="137" t="str">
        <f>COVER!T25</f>
        <v>JEFF@EMPCPA.COM</v>
      </c>
    </row>
    <row r="20" spans="1:2" x14ac:dyDescent="0.2">
      <c r="A20" t="s">
        <v>887</v>
      </c>
      <c r="B20" s="137" t="str">
        <f>COVER!T19</f>
        <v>ROLLING MEADOWS</v>
      </c>
    </row>
    <row r="21" spans="1:2" x14ac:dyDescent="0.2">
      <c r="A21" t="s">
        <v>479</v>
      </c>
      <c r="B21" s="137" t="str">
        <f>COVER!X19</f>
        <v>IL</v>
      </c>
    </row>
    <row r="22" spans="1:2" x14ac:dyDescent="0.2">
      <c r="A22" t="s">
        <v>888</v>
      </c>
      <c r="B22" s="137">
        <f>COVER!Z19</f>
        <v>60008</v>
      </c>
    </row>
    <row r="23" spans="1:2" x14ac:dyDescent="0.2">
      <c r="A23" t="s">
        <v>1152</v>
      </c>
      <c r="B23" s="137" t="str">
        <f>COVER!T21</f>
        <v>847-221-5700</v>
      </c>
    </row>
    <row r="24" spans="1:2" x14ac:dyDescent="0.2">
      <c r="A24" t="s">
        <v>1151</v>
      </c>
      <c r="B24" s="137">
        <f>COVER!Y21</f>
        <v>0</v>
      </c>
    </row>
    <row r="25" spans="1:2" x14ac:dyDescent="0.2">
      <c r="A25" t="s">
        <v>761</v>
      </c>
      <c r="B25" s="137">
        <f>COVER!B34</f>
        <v>0</v>
      </c>
    </row>
    <row r="26" spans="1:2" x14ac:dyDescent="0.2">
      <c r="A26" t="s">
        <v>1153</v>
      </c>
      <c r="B26" s="137">
        <f>COVER!L34</f>
        <v>0</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33512</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972259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2051353</v>
      </c>
      <c r="C91" s="2" t="s">
        <v>573</v>
      </c>
      <c r="D91" s="2" t="str">
        <f t="shared" si="0"/>
        <v>Error?</v>
      </c>
    </row>
    <row r="92" spans="1:4" x14ac:dyDescent="0.2">
      <c r="A92" s="5">
        <v>31</v>
      </c>
      <c r="B92" s="137">
        <f>'Assets-Liab 5-6'!C39</f>
        <v>-1079094</v>
      </c>
      <c r="D92" s="2" t="str">
        <f t="shared" si="0"/>
        <v>Error?</v>
      </c>
    </row>
    <row r="93" spans="1:4" x14ac:dyDescent="0.2">
      <c r="A93" s="5">
        <v>32</v>
      </c>
      <c r="B93" s="137">
        <f>'Assets-Liab 5-6'!C41</f>
        <v>972259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434877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147137</v>
      </c>
      <c r="C122" s="2" t="s">
        <v>573</v>
      </c>
      <c r="D122" s="2" t="str">
        <f t="shared" si="0"/>
        <v>Error?</v>
      </c>
    </row>
    <row r="123" spans="1:4" x14ac:dyDescent="0.2">
      <c r="A123" s="5">
        <v>62</v>
      </c>
      <c r="B123" s="137">
        <f>'Assets-Liab 5-6'!D39</f>
        <v>287740</v>
      </c>
      <c r="D123" s="2" t="str">
        <f t="shared" si="0"/>
        <v>Error?</v>
      </c>
    </row>
    <row r="124" spans="1:4" x14ac:dyDescent="0.2">
      <c r="A124" s="5">
        <v>63</v>
      </c>
      <c r="B124" s="137">
        <f>'Assets-Liab 5-6'!D41</f>
        <v>434877</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765578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45225</v>
      </c>
      <c r="C139" s="2" t="s">
        <v>573</v>
      </c>
      <c r="D139" s="2" t="str">
        <f t="shared" si="1"/>
        <v>Error?</v>
      </c>
    </row>
    <row r="140" spans="1:4" x14ac:dyDescent="0.2">
      <c r="A140" s="5">
        <v>79</v>
      </c>
      <c r="B140" s="137">
        <f>'Assets-Liab 5-6'!E39</f>
        <v>720353</v>
      </c>
      <c r="D140" s="2" t="str">
        <f t="shared" si="1"/>
        <v>Error?</v>
      </c>
    </row>
    <row r="141" spans="1:4" x14ac:dyDescent="0.2">
      <c r="A141" s="5">
        <v>80</v>
      </c>
      <c r="B141" s="137">
        <f>'Assets-Liab 5-6'!E41</f>
        <v>765578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47967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100595</v>
      </c>
      <c r="C169" s="2" t="s">
        <v>573</v>
      </c>
      <c r="D169" s="2" t="str">
        <f t="shared" si="1"/>
        <v>Error?</v>
      </c>
    </row>
    <row r="170" spans="1:4" x14ac:dyDescent="0.2">
      <c r="A170" s="5">
        <v>109</v>
      </c>
      <c r="B170" s="137">
        <f>'Assets-Liab 5-6'!F39</f>
        <v>-52628</v>
      </c>
      <c r="D170" s="2" t="str">
        <f t="shared" si="1"/>
        <v>Error?</v>
      </c>
    </row>
    <row r="171" spans="1:4" x14ac:dyDescent="0.2">
      <c r="A171" s="5">
        <v>110</v>
      </c>
      <c r="B171" s="137">
        <f>'Assets-Liab 5-6'!F41</f>
        <v>47967</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139286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122363</v>
      </c>
      <c r="C188" s="2" t="s">
        <v>573</v>
      </c>
      <c r="D188" s="2" t="str">
        <f t="shared" si="1"/>
        <v>Error?</v>
      </c>
    </row>
    <row r="189" spans="1:4" x14ac:dyDescent="0.2">
      <c r="A189" s="5">
        <v>128</v>
      </c>
      <c r="B189" s="137">
        <f>'Assets-Liab 5-6'!G39</f>
        <v>16923</v>
      </c>
      <c r="D189" s="2" t="str">
        <f t="shared" si="1"/>
        <v>Error?</v>
      </c>
    </row>
    <row r="190" spans="1:4" x14ac:dyDescent="0.2">
      <c r="A190" s="5">
        <v>129</v>
      </c>
      <c r="B190" s="137">
        <f>'Assets-Liab 5-6'!G41</f>
        <v>139286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57292</v>
      </c>
      <c r="D273" s="2" t="str">
        <f t="shared" si="3"/>
        <v>Error?</v>
      </c>
    </row>
    <row r="274" spans="1:4" x14ac:dyDescent="0.2">
      <c r="A274" s="5">
        <v>213</v>
      </c>
      <c r="B274" s="137">
        <f>'Assets-Liab 5-6'!M17</f>
        <v>17379329</v>
      </c>
      <c r="D274" s="2" t="str">
        <f t="shared" si="3"/>
        <v>Error?</v>
      </c>
    </row>
    <row r="275" spans="1:4" x14ac:dyDescent="0.2">
      <c r="A275" s="5">
        <v>214</v>
      </c>
      <c r="B275" s="137">
        <f>'Assets-Liab 5-6'!M18</f>
        <v>409678</v>
      </c>
      <c r="D275" s="2" t="str">
        <f t="shared" si="3"/>
        <v>Error?</v>
      </c>
    </row>
    <row r="276" spans="1:4" x14ac:dyDescent="0.2">
      <c r="A276" s="5">
        <v>215</v>
      </c>
      <c r="B276" s="137">
        <f>'Assets-Liab 5-6'!M19</f>
        <v>3053774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20921060</v>
      </c>
      <c r="C279" s="2" t="s">
        <v>573</v>
      </c>
      <c r="D279" s="2" t="str">
        <f t="shared" si="3"/>
        <v>Error?</v>
      </c>
    </row>
    <row r="280" spans="1:4" x14ac:dyDescent="0.2">
      <c r="A280" s="5">
        <v>219</v>
      </c>
      <c r="B280" s="137">
        <f>'Assets-Liab 5-6'!M40</f>
        <v>20921060</v>
      </c>
      <c r="D280" s="2" t="str">
        <f t="shared" si="3"/>
        <v>Error?</v>
      </c>
    </row>
    <row r="281" spans="1:4" x14ac:dyDescent="0.2">
      <c r="A281" s="5">
        <v>220</v>
      </c>
      <c r="B281" s="137">
        <f>'Assets-Liab 5-6'!M41</f>
        <v>20921060</v>
      </c>
      <c r="C281" s="2" t="s">
        <v>573</v>
      </c>
      <c r="D281" s="2" t="str">
        <f t="shared" si="3"/>
        <v>Error?</v>
      </c>
    </row>
    <row r="282" spans="1:4" x14ac:dyDescent="0.2">
      <c r="A282" s="5">
        <v>221</v>
      </c>
      <c r="B282" s="137">
        <f>'Assets-Liab 5-6'!N21</f>
        <v>720353</v>
      </c>
      <c r="D282" s="2" t="str">
        <f t="shared" si="3"/>
        <v>Error?</v>
      </c>
    </row>
    <row r="283" spans="1:4" x14ac:dyDescent="0.2">
      <c r="A283" s="5">
        <v>222</v>
      </c>
      <c r="B283" s="137">
        <f>'Assets-Liab 5-6'!N22</f>
        <v>4817509</v>
      </c>
      <c r="D283" s="2" t="str">
        <f t="shared" si="3"/>
        <v>Error?</v>
      </c>
    </row>
    <row r="284" spans="1:4" x14ac:dyDescent="0.2">
      <c r="A284" s="5">
        <v>223</v>
      </c>
      <c r="B284" s="137">
        <f>'Assets-Liab 5-6'!N23</f>
        <v>5537862</v>
      </c>
      <c r="C284" s="2" t="s">
        <v>573</v>
      </c>
      <c r="D284" s="2" t="str">
        <f t="shared" si="3"/>
        <v>Error?</v>
      </c>
    </row>
    <row r="285" spans="1:4" x14ac:dyDescent="0.2">
      <c r="A285" s="5">
        <v>224</v>
      </c>
      <c r="B285" s="137">
        <f>'Assets-Liab 5-6'!N36</f>
        <v>5537862</v>
      </c>
      <c r="D285" s="2" t="str">
        <f t="shared" si="3"/>
        <v>Error?</v>
      </c>
    </row>
    <row r="286" spans="1:4" x14ac:dyDescent="0.2">
      <c r="A286" s="10">
        <v>225</v>
      </c>
      <c r="D286" s="2" t="str">
        <f t="shared" si="3"/>
        <v>OK</v>
      </c>
    </row>
    <row r="287" spans="1:4" x14ac:dyDescent="0.2">
      <c r="A287" s="5">
        <v>226</v>
      </c>
      <c r="B287" s="137">
        <f>'Assets-Liab 5-6'!N37</f>
        <v>5537862</v>
      </c>
      <c r="C287" s="2" t="s">
        <v>573</v>
      </c>
      <c r="D287" s="2" t="str">
        <f t="shared" si="3"/>
        <v>Error?</v>
      </c>
    </row>
    <row r="288" spans="1:4" x14ac:dyDescent="0.2">
      <c r="A288" s="5">
        <v>227</v>
      </c>
      <c r="B288" s="137">
        <f>'Assets-Liab 5-6'!N41</f>
        <v>5537862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2253951</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2509148</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122988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65427</v>
      </c>
      <c r="D718" s="2" t="str">
        <f t="shared" si="10"/>
        <v>Error?</v>
      </c>
    </row>
    <row r="719" spans="1:4" x14ac:dyDescent="0.2">
      <c r="A719" s="5">
        <v>658</v>
      </c>
      <c r="B719" s="137">
        <f>'Expenditures 15-22'!C15</f>
        <v>16670</v>
      </c>
      <c r="D719" s="2" t="str">
        <f t="shared" si="10"/>
        <v>Error?</v>
      </c>
    </row>
    <row r="720" spans="1:4" x14ac:dyDescent="0.2">
      <c r="A720" s="5">
        <v>659</v>
      </c>
      <c r="B720" s="137">
        <f>'Expenditures 15-22'!C33</f>
        <v>3649202</v>
      </c>
      <c r="C720" s="2" t="s">
        <v>573</v>
      </c>
      <c r="D720" s="2" t="str">
        <f t="shared" si="10"/>
        <v>Error?</v>
      </c>
    </row>
    <row r="721" spans="1:4" x14ac:dyDescent="0.2">
      <c r="A721" s="5">
        <v>660</v>
      </c>
      <c r="B721" s="137">
        <f>'Expenditures 15-22'!C36</f>
        <v>161062</v>
      </c>
      <c r="D721" s="2" t="str">
        <f t="shared" si="10"/>
        <v>Error?</v>
      </c>
    </row>
    <row r="722" spans="1:4" x14ac:dyDescent="0.2">
      <c r="A722" s="5">
        <v>661</v>
      </c>
      <c r="B722" s="137">
        <f>'Expenditures 15-22'!C37</f>
        <v>0</v>
      </c>
      <c r="D722" s="2" t="str">
        <f t="shared" si="10"/>
        <v>Error?</v>
      </c>
    </row>
    <row r="723" spans="1:4" x14ac:dyDescent="0.2">
      <c r="A723" s="5">
        <v>662</v>
      </c>
      <c r="B723" s="137">
        <f>'Expenditures 15-22'!C38</f>
        <v>70116</v>
      </c>
      <c r="D723" s="2" t="str">
        <f t="shared" si="10"/>
        <v>Error?</v>
      </c>
    </row>
    <row r="724" spans="1:4" x14ac:dyDescent="0.2">
      <c r="A724" s="5">
        <v>663</v>
      </c>
      <c r="B724" s="137">
        <f>'Expenditures 15-22'!C39</f>
        <v>80373</v>
      </c>
      <c r="D724" s="2" t="str">
        <f t="shared" si="10"/>
        <v>Error?</v>
      </c>
    </row>
    <row r="725" spans="1:4" x14ac:dyDescent="0.2">
      <c r="A725" s="5">
        <v>664</v>
      </c>
      <c r="B725" s="137">
        <f>'Expenditures 15-22'!C40</f>
        <v>227100</v>
      </c>
      <c r="D725" s="2" t="str">
        <f t="shared" si="10"/>
        <v>Error?</v>
      </c>
    </row>
    <row r="726" spans="1:4" x14ac:dyDescent="0.2">
      <c r="A726" s="5">
        <v>665</v>
      </c>
      <c r="B726" s="137">
        <f>'Expenditures 15-22'!C41</f>
        <v>0</v>
      </c>
      <c r="D726" s="2" t="str">
        <f t="shared" si="10"/>
        <v>Error?</v>
      </c>
    </row>
    <row r="727" spans="1:4" x14ac:dyDescent="0.2">
      <c r="A727" s="5">
        <v>666</v>
      </c>
      <c r="B727" s="137">
        <f>'Expenditures 15-22'!C42</f>
        <v>538651</v>
      </c>
      <c r="C727" s="2" t="s">
        <v>573</v>
      </c>
      <c r="D727" s="2" t="str">
        <f t="shared" si="10"/>
        <v>Error?</v>
      </c>
    </row>
    <row r="728" spans="1:4" x14ac:dyDescent="0.2">
      <c r="A728" s="5">
        <v>667</v>
      </c>
      <c r="B728" s="137">
        <f>'Expenditures 15-22'!C44</f>
        <v>74441</v>
      </c>
      <c r="D728" s="2" t="str">
        <f t="shared" si="10"/>
        <v>Error?</v>
      </c>
    </row>
    <row r="729" spans="1:4" x14ac:dyDescent="0.2">
      <c r="A729" s="5">
        <v>668</v>
      </c>
      <c r="B729" s="137">
        <f>'Expenditures 15-22'!C45</f>
        <v>58403</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132844</v>
      </c>
      <c r="C731" s="2" t="s">
        <v>573</v>
      </c>
      <c r="D731" s="2" t="str">
        <f t="shared" si="10"/>
        <v>Error?</v>
      </c>
    </row>
    <row r="732" spans="1:4" x14ac:dyDescent="0.2">
      <c r="A732" s="5">
        <v>671</v>
      </c>
      <c r="B732" s="137">
        <f>'Expenditures 15-22'!C49</f>
        <v>2000</v>
      </c>
      <c r="D732" s="2" t="str">
        <f t="shared" si="10"/>
        <v>Error?</v>
      </c>
    </row>
    <row r="733" spans="1:4" x14ac:dyDescent="0.2">
      <c r="A733" s="5">
        <v>672</v>
      </c>
      <c r="B733" s="137">
        <f>'Expenditures 15-22'!C50</f>
        <v>227383</v>
      </c>
      <c r="D733" s="2" t="str">
        <f t="shared" si="10"/>
        <v>Error?</v>
      </c>
    </row>
    <row r="734" spans="1:4" x14ac:dyDescent="0.2">
      <c r="A734" s="5">
        <v>673</v>
      </c>
      <c r="B734" s="137">
        <f>'Expenditures 15-22'!C53</f>
        <v>327599</v>
      </c>
      <c r="C734" s="2" t="s">
        <v>573</v>
      </c>
      <c r="D734" s="2" t="str">
        <f t="shared" si="10"/>
        <v>Error?</v>
      </c>
    </row>
    <row r="735" spans="1:4" x14ac:dyDescent="0.2">
      <c r="A735" s="5">
        <v>674</v>
      </c>
      <c r="B735" s="137">
        <f>'Expenditures 15-22'!C55</f>
        <v>506665</v>
      </c>
      <c r="D735" s="2" t="str">
        <f t="shared" si="10"/>
        <v>Error?</v>
      </c>
    </row>
    <row r="736" spans="1:4" x14ac:dyDescent="0.2">
      <c r="A736" s="5">
        <v>675</v>
      </c>
      <c r="B736" s="137">
        <f>'Expenditures 15-22'!C56</f>
        <v>0</v>
      </c>
      <c r="D736" s="2" t="str">
        <f t="shared" si="10"/>
        <v>Error?</v>
      </c>
    </row>
    <row r="737" spans="1:4" x14ac:dyDescent="0.2">
      <c r="A737" s="5">
        <v>676</v>
      </c>
      <c r="B737" s="137">
        <f>'Expenditures 15-22'!C57</f>
        <v>506665</v>
      </c>
      <c r="C737" s="2" t="s">
        <v>573</v>
      </c>
      <c r="D737" s="2" t="str">
        <f t="shared" si="10"/>
        <v>Error?</v>
      </c>
    </row>
    <row r="738" spans="1:4" x14ac:dyDescent="0.2">
      <c r="A738" s="5">
        <v>677</v>
      </c>
      <c r="B738" s="137">
        <f>'Expenditures 15-22'!C59</f>
        <v>120000</v>
      </c>
      <c r="D738" s="2" t="str">
        <f t="shared" si="10"/>
        <v>Error?</v>
      </c>
    </row>
    <row r="739" spans="1:4" x14ac:dyDescent="0.2">
      <c r="A739" s="5">
        <v>678</v>
      </c>
      <c r="B739" s="137">
        <f>'Expenditures 15-22'!C60</f>
        <v>76534</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188013</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384547</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118306</v>
      </c>
      <c r="D751" s="2" t="str">
        <f t="shared" si="10"/>
        <v>Error?</v>
      </c>
    </row>
    <row r="752" spans="1:4" x14ac:dyDescent="0.2">
      <c r="A752" s="10">
        <v>691</v>
      </c>
      <c r="D752" s="2" t="str">
        <f t="shared" si="10"/>
        <v>OK</v>
      </c>
    </row>
    <row r="753" spans="1:4" x14ac:dyDescent="0.2">
      <c r="A753" s="5">
        <v>692</v>
      </c>
      <c r="B753" s="137">
        <f>'Expenditures 15-22'!C72</f>
        <v>118306</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2008612</v>
      </c>
      <c r="C755" s="2" t="s">
        <v>573</v>
      </c>
      <c r="D755" s="2" t="str">
        <f t="shared" si="10"/>
        <v>Error?</v>
      </c>
    </row>
    <row r="756" spans="1:4" x14ac:dyDescent="0.2">
      <c r="A756" s="5">
        <v>695</v>
      </c>
      <c r="B756" s="137">
        <f>'Expenditures 15-22'!C75</f>
        <v>3638</v>
      </c>
      <c r="D756" s="2" t="str">
        <f t="shared" si="10"/>
        <v>Error?</v>
      </c>
    </row>
    <row r="757" spans="1:4" x14ac:dyDescent="0.2">
      <c r="A757" s="5">
        <v>696</v>
      </c>
      <c r="B757" s="137">
        <f>'Expenditures 15-22'!C114</f>
        <v>5661452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300666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14569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655</v>
      </c>
      <c r="D776" s="2" t="str">
        <f t="shared" si="11"/>
        <v>Error?</v>
      </c>
    </row>
    <row r="777" spans="1:4" x14ac:dyDescent="0.2">
      <c r="A777" s="5">
        <v>716</v>
      </c>
      <c r="B777" s="137">
        <f>'Expenditures 15-22'!D15</f>
        <v>183</v>
      </c>
      <c r="D777" s="2" t="str">
        <f t="shared" si="11"/>
        <v>Error?</v>
      </c>
    </row>
    <row r="778" spans="1:4" x14ac:dyDescent="0.2">
      <c r="A778" s="5">
        <v>717</v>
      </c>
      <c r="B778" s="137">
        <f>'Expenditures 15-22'!D33</f>
        <v>458507</v>
      </c>
      <c r="C778" s="2" t="s">
        <v>573</v>
      </c>
      <c r="D778" s="2" t="str">
        <f t="shared" si="11"/>
        <v>Error?</v>
      </c>
    </row>
    <row r="779" spans="1:4" x14ac:dyDescent="0.2">
      <c r="A779" s="5">
        <v>718</v>
      </c>
      <c r="B779" s="137">
        <f>'Expenditures 15-22'!D36</f>
        <v>9426</v>
      </c>
      <c r="D779" s="2" t="str">
        <f t="shared" si="11"/>
        <v>Error?</v>
      </c>
    </row>
    <row r="780" spans="1:4" x14ac:dyDescent="0.2">
      <c r="A780" s="5">
        <v>719</v>
      </c>
      <c r="B780" s="137">
        <f>'Expenditures 15-22'!D37</f>
        <v>0</v>
      </c>
      <c r="D780" s="2" t="str">
        <f t="shared" si="11"/>
        <v>Error?</v>
      </c>
    </row>
    <row r="781" spans="1:4" x14ac:dyDescent="0.2">
      <c r="A781" s="5">
        <v>720</v>
      </c>
      <c r="B781" s="137">
        <f>'Expenditures 15-22'!D38</f>
        <v>7012</v>
      </c>
      <c r="D781" s="2" t="str">
        <f t="shared" si="11"/>
        <v>Error?</v>
      </c>
    </row>
    <row r="782" spans="1:4" x14ac:dyDescent="0.2">
      <c r="A782" s="5">
        <v>721</v>
      </c>
      <c r="B782" s="137">
        <f>'Expenditures 15-22'!D39</f>
        <v>6771</v>
      </c>
      <c r="D782" s="2" t="str">
        <f t="shared" si="11"/>
        <v>Error?</v>
      </c>
    </row>
    <row r="783" spans="1:4" x14ac:dyDescent="0.2">
      <c r="A783" s="5">
        <v>722</v>
      </c>
      <c r="B783" s="137">
        <f>'Expenditures 15-22'!D40</f>
        <v>21813</v>
      </c>
      <c r="D783" s="2" t="str">
        <f t="shared" si="11"/>
        <v>Error?</v>
      </c>
    </row>
    <row r="784" spans="1:4" x14ac:dyDescent="0.2">
      <c r="A784" s="5">
        <v>723</v>
      </c>
      <c r="B784" s="137">
        <f>'Expenditures 15-22'!D41</f>
        <v>0</v>
      </c>
      <c r="D784" s="2" t="str">
        <f t="shared" si="11"/>
        <v>Error?</v>
      </c>
    </row>
    <row r="785" spans="1:4" x14ac:dyDescent="0.2">
      <c r="A785" s="5">
        <v>724</v>
      </c>
      <c r="B785" s="137">
        <f>'Expenditures 15-22'!D42</f>
        <v>45022</v>
      </c>
      <c r="C785" s="2" t="s">
        <v>573</v>
      </c>
      <c r="D785" s="2" t="str">
        <f t="shared" si="11"/>
        <v>Error?</v>
      </c>
    </row>
    <row r="786" spans="1:4" x14ac:dyDescent="0.2">
      <c r="A786" s="5">
        <v>725</v>
      </c>
      <c r="B786" s="137">
        <f>'Expenditures 15-22'!D44</f>
        <v>11740</v>
      </c>
      <c r="D786" s="2" t="str">
        <f t="shared" si="11"/>
        <v>Error?</v>
      </c>
    </row>
    <row r="787" spans="1:4" x14ac:dyDescent="0.2">
      <c r="A787" s="5">
        <v>726</v>
      </c>
      <c r="B787" s="137">
        <f>'Expenditures 15-22'!D45</f>
        <v>1062</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12802</v>
      </c>
      <c r="C789" s="2" t="s">
        <v>573</v>
      </c>
      <c r="D789" s="2" t="str">
        <f t="shared" si="11"/>
        <v>Error?</v>
      </c>
    </row>
    <row r="790" spans="1:4" x14ac:dyDescent="0.2">
      <c r="A790" s="5">
        <v>729</v>
      </c>
      <c r="B790" s="137">
        <f>'Expenditures 15-22'!D49</f>
        <v>7926</v>
      </c>
      <c r="D790" s="2" t="str">
        <f t="shared" si="11"/>
        <v>Error?</v>
      </c>
    </row>
    <row r="791" spans="1:4" x14ac:dyDescent="0.2">
      <c r="A791" s="5">
        <v>730</v>
      </c>
      <c r="B791" s="137">
        <f>'Expenditures 15-22'!D50</f>
        <v>46096</v>
      </c>
      <c r="D791" s="2" t="str">
        <f t="shared" si="11"/>
        <v>Error?</v>
      </c>
    </row>
    <row r="792" spans="1:4" x14ac:dyDescent="0.2">
      <c r="A792" s="5">
        <v>731</v>
      </c>
      <c r="B792" s="137">
        <f>'Expenditures 15-22'!D53</f>
        <v>69716</v>
      </c>
      <c r="C792" s="2" t="s">
        <v>573</v>
      </c>
      <c r="D792" s="2" t="str">
        <f t="shared" si="11"/>
        <v>Error?</v>
      </c>
    </row>
    <row r="793" spans="1:4" x14ac:dyDescent="0.2">
      <c r="A793" s="5">
        <v>732</v>
      </c>
      <c r="B793" s="137">
        <f>'Expenditures 15-22'!D55</f>
        <v>114181</v>
      </c>
      <c r="D793" s="2" t="str">
        <f t="shared" si="11"/>
        <v>Error?</v>
      </c>
    </row>
    <row r="794" spans="1:4" x14ac:dyDescent="0.2">
      <c r="A794" s="5">
        <v>733</v>
      </c>
      <c r="B794" s="137">
        <f>'Expenditures 15-22'!D56</f>
        <v>0</v>
      </c>
      <c r="D794" s="2" t="str">
        <f t="shared" si="11"/>
        <v>Error?</v>
      </c>
    </row>
    <row r="795" spans="1:4" x14ac:dyDescent="0.2">
      <c r="A795" s="5">
        <v>734</v>
      </c>
      <c r="B795" s="137">
        <f>'Expenditures 15-22'!D57</f>
        <v>114181</v>
      </c>
      <c r="C795" s="2" t="s">
        <v>573</v>
      </c>
      <c r="D795" s="2" t="str">
        <f t="shared" si="11"/>
        <v>Error?</v>
      </c>
    </row>
    <row r="796" spans="1:4" x14ac:dyDescent="0.2">
      <c r="A796" s="5">
        <v>735</v>
      </c>
      <c r="B796" s="137">
        <f>'Expenditures 15-22'!D59</f>
        <v>22076</v>
      </c>
      <c r="D796" s="2" t="str">
        <f t="shared" si="11"/>
        <v>Error?</v>
      </c>
    </row>
    <row r="797" spans="1:4" x14ac:dyDescent="0.2">
      <c r="A797" s="5">
        <v>736</v>
      </c>
      <c r="B797" s="137">
        <f>'Expenditures 15-22'!D60</f>
        <v>7723</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25114</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54913</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14587</v>
      </c>
      <c r="D809" s="2" t="str">
        <f t="shared" si="11"/>
        <v>Error?</v>
      </c>
    </row>
    <row r="810" spans="1:4" x14ac:dyDescent="0.2">
      <c r="A810" s="10">
        <v>749</v>
      </c>
      <c r="D810" s="2" t="str">
        <f t="shared" si="11"/>
        <v>OK</v>
      </c>
    </row>
    <row r="811" spans="1:4" x14ac:dyDescent="0.2">
      <c r="A811" s="5">
        <v>750</v>
      </c>
      <c r="B811" s="137">
        <f>'Expenditures 15-22'!D72</f>
        <v>14587</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311221</v>
      </c>
      <c r="C813" s="2" t="s">
        <v>573</v>
      </c>
      <c r="D813" s="2" t="str">
        <f t="shared" si="11"/>
        <v>Error?</v>
      </c>
    </row>
    <row r="814" spans="1:4" x14ac:dyDescent="0.2">
      <c r="A814" s="5">
        <v>753</v>
      </c>
      <c r="B814" s="137">
        <f>'Expenditures 15-22'!D75</f>
        <v>23</v>
      </c>
      <c r="D814" s="2" t="str">
        <f t="shared" si="11"/>
        <v>Error?</v>
      </c>
    </row>
    <row r="815" spans="1:4" x14ac:dyDescent="0.2">
      <c r="A815" s="5">
        <v>754</v>
      </c>
      <c r="B815" s="137">
        <f>'Expenditures 15-22'!D114</f>
        <v>769751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141260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4451</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152190</v>
      </c>
      <c r="C836" s="2" t="s">
        <v>573</v>
      </c>
      <c r="D836" s="2" t="str">
        <f t="shared" si="12"/>
        <v>Error?</v>
      </c>
    </row>
    <row r="837" spans="1:4" x14ac:dyDescent="0.2">
      <c r="A837" s="5">
        <v>776</v>
      </c>
      <c r="B837" s="137">
        <f>'Expenditures 15-22'!E36</f>
        <v>45</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158708</v>
      </c>
      <c r="D839" s="2" t="str">
        <f t="shared" si="12"/>
        <v>Error?</v>
      </c>
    </row>
    <row r="840" spans="1:4" x14ac:dyDescent="0.2">
      <c r="A840" s="5">
        <v>779</v>
      </c>
      <c r="B840" s="137">
        <f>'Expenditures 15-22'!E39</f>
        <v>0</v>
      </c>
      <c r="D840" s="2" t="str">
        <f t="shared" si="12"/>
        <v>Error?</v>
      </c>
    </row>
    <row r="841" spans="1:4" x14ac:dyDescent="0.2">
      <c r="A841" s="5">
        <v>780</v>
      </c>
      <c r="B841" s="137">
        <f>'Expenditures 15-22'!E40</f>
        <v>602</v>
      </c>
      <c r="D841" s="2" t="str">
        <f t="shared" si="12"/>
        <v>Error?</v>
      </c>
    </row>
    <row r="842" spans="1:4" x14ac:dyDescent="0.2">
      <c r="A842" s="5">
        <v>781</v>
      </c>
      <c r="B842" s="137">
        <f>'Expenditures 15-22'!E41</f>
        <v>1426</v>
      </c>
      <c r="D842" s="2" t="str">
        <f t="shared" si="12"/>
        <v>Error?</v>
      </c>
    </row>
    <row r="843" spans="1:4" x14ac:dyDescent="0.2">
      <c r="A843" s="5">
        <v>782</v>
      </c>
      <c r="B843" s="137">
        <f>'Expenditures 15-22'!E42</f>
        <v>160781</v>
      </c>
      <c r="C843" s="2" t="s">
        <v>573</v>
      </c>
      <c r="D843" s="2" t="str">
        <f t="shared" si="12"/>
        <v>Error?</v>
      </c>
    </row>
    <row r="844" spans="1:4" x14ac:dyDescent="0.2">
      <c r="A844" s="5">
        <v>783</v>
      </c>
      <c r="B844" s="137">
        <f>'Expenditures 15-22'!E44</f>
        <v>65054</v>
      </c>
      <c r="D844" s="2" t="str">
        <f t="shared" si="12"/>
        <v>Error?</v>
      </c>
    </row>
    <row r="845" spans="1:4" x14ac:dyDescent="0.2">
      <c r="A845" s="5">
        <v>784</v>
      </c>
      <c r="B845" s="137">
        <f>'Expenditures 15-22'!E45</f>
        <v>0</v>
      </c>
      <c r="D845" s="2" t="str">
        <f t="shared" si="12"/>
        <v>Error?</v>
      </c>
    </row>
    <row r="846" spans="1:4" x14ac:dyDescent="0.2">
      <c r="A846" s="5">
        <v>785</v>
      </c>
      <c r="B846" s="137">
        <f>'Expenditures 15-22'!E46</f>
        <v>9099</v>
      </c>
      <c r="D846" s="2" t="str">
        <f t="shared" si="12"/>
        <v>Error?</v>
      </c>
    </row>
    <row r="847" spans="1:4" x14ac:dyDescent="0.2">
      <c r="A847" s="5">
        <v>786</v>
      </c>
      <c r="B847" s="137">
        <f>'Expenditures 15-22'!E47</f>
        <v>74153</v>
      </c>
      <c r="C847" s="2" t="s">
        <v>573</v>
      </c>
      <c r="D847" s="2" t="str">
        <f t="shared" si="12"/>
        <v>Error?</v>
      </c>
    </row>
    <row r="848" spans="1:4" x14ac:dyDescent="0.2">
      <c r="A848" s="5">
        <v>787</v>
      </c>
      <c r="B848" s="137">
        <f>'Expenditures 15-22'!E49</f>
        <v>185263</v>
      </c>
      <c r="D848" s="2" t="str">
        <f t="shared" si="12"/>
        <v>Error?</v>
      </c>
    </row>
    <row r="849" spans="1:4" x14ac:dyDescent="0.2">
      <c r="A849" s="5">
        <v>788</v>
      </c>
      <c r="B849" s="137">
        <f>'Expenditures 15-22'!E50</f>
        <v>17163</v>
      </c>
      <c r="D849" s="2" t="str">
        <f t="shared" si="12"/>
        <v>Error?</v>
      </c>
    </row>
    <row r="850" spans="1:4" x14ac:dyDescent="0.2">
      <c r="A850" s="5">
        <v>789</v>
      </c>
      <c r="B850" s="137">
        <f>'Expenditures 15-22'!E53</f>
        <v>202426</v>
      </c>
      <c r="C850" s="2" t="s">
        <v>573</v>
      </c>
      <c r="D850" s="2" t="str">
        <f t="shared" si="12"/>
        <v>Error?</v>
      </c>
    </row>
    <row r="851" spans="1:4" x14ac:dyDescent="0.2">
      <c r="A851" s="5">
        <v>790</v>
      </c>
      <c r="B851" s="137">
        <f>'Expenditures 15-22'!E55</f>
        <v>2775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2775</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109316</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2033</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111349</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4000</v>
      </c>
      <c r="D864" s="2" t="str">
        <f t="shared" si="12"/>
        <v>Error?</v>
      </c>
    </row>
    <row r="865" spans="1:4" x14ac:dyDescent="0.2">
      <c r="A865" s="5">
        <v>804</v>
      </c>
      <c r="B865" s="137">
        <f>'Expenditures 15-22'!E70</f>
        <v>2080</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6080</v>
      </c>
      <c r="C869" s="2" t="s">
        <v>573</v>
      </c>
      <c r="D869" s="2" t="str">
        <f t="shared" si="12"/>
        <v>Error?</v>
      </c>
    </row>
    <row r="870" spans="1:4" x14ac:dyDescent="0.2">
      <c r="A870" s="5">
        <v>809</v>
      </c>
      <c r="B870" s="137">
        <f>'Expenditures 15-22'!E73</f>
        <v>5650</v>
      </c>
      <c r="D870" s="2" t="str">
        <f t="shared" si="12"/>
        <v>Error?</v>
      </c>
    </row>
    <row r="871" spans="1:4" x14ac:dyDescent="0.2">
      <c r="A871" s="5">
        <v>810</v>
      </c>
      <c r="B871" s="137">
        <f>'Expenditures 15-22'!E74</f>
        <v>563214</v>
      </c>
      <c r="C871" s="2" t="s">
        <v>573</v>
      </c>
      <c r="D871" s="2" t="str">
        <f t="shared" si="12"/>
        <v>Error?</v>
      </c>
    </row>
    <row r="872" spans="1:4" x14ac:dyDescent="0.2">
      <c r="A872" s="5">
        <v>811</v>
      </c>
      <c r="B872" s="137">
        <f>'Expenditures 15-22'!E75</f>
        <v>0</v>
      </c>
      <c r="D872" s="2" t="str">
        <f t="shared" si="12"/>
        <v>Error?</v>
      </c>
    </row>
    <row r="873" spans="1:4" x14ac:dyDescent="0.2">
      <c r="A873" s="5">
        <v>812</v>
      </c>
      <c r="B873" s="137">
        <f>'Expenditures 15-22'!E114</f>
        <v>716044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261744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1952</v>
      </c>
      <c r="D892" s="2" t="str">
        <f t="shared" si="12"/>
        <v>Error?</v>
      </c>
    </row>
    <row r="893" spans="1:4" x14ac:dyDescent="0.2">
      <c r="A893" s="5">
        <v>832</v>
      </c>
      <c r="B893" s="137">
        <f>'Expenditures 15-22'!F15</f>
        <v>0</v>
      </c>
      <c r="D893" s="2" t="str">
        <f t="shared" si="12"/>
        <v>Error?</v>
      </c>
    </row>
    <row r="894" spans="1:4" x14ac:dyDescent="0.2">
      <c r="A894" s="5">
        <v>833</v>
      </c>
      <c r="B894" s="137">
        <f>'Expenditures 15-22'!F33</f>
        <v>344947</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3821</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165</v>
      </c>
      <c r="D899" s="2" t="str">
        <f t="shared" si="13"/>
        <v>Error?</v>
      </c>
    </row>
    <row r="900" spans="1:4" x14ac:dyDescent="0.2">
      <c r="A900" s="5">
        <v>839</v>
      </c>
      <c r="B900" s="137">
        <f>'Expenditures 15-22'!F41</f>
        <v>8087</v>
      </c>
      <c r="D900" s="2" t="str">
        <f t="shared" si="13"/>
        <v>Error?</v>
      </c>
    </row>
    <row r="901" spans="1:4" x14ac:dyDescent="0.2">
      <c r="A901" s="5">
        <v>840</v>
      </c>
      <c r="B901" s="137">
        <f>'Expenditures 15-22'!F42</f>
        <v>12073</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10903</v>
      </c>
      <c r="D903" s="2" t="str">
        <f t="shared" si="13"/>
        <v>Error?</v>
      </c>
    </row>
    <row r="904" spans="1:4" x14ac:dyDescent="0.2">
      <c r="A904" s="5">
        <v>843</v>
      </c>
      <c r="B904" s="137">
        <f>'Expenditures 15-22'!F46</f>
        <v>0</v>
      </c>
      <c r="D904" s="2" t="str">
        <f t="shared" si="13"/>
        <v>Error?</v>
      </c>
    </row>
    <row r="905" spans="1:4" x14ac:dyDescent="0.2">
      <c r="A905" s="5">
        <v>844</v>
      </c>
      <c r="B905" s="137">
        <f>'Expenditures 15-22'!F47</f>
        <v>10903</v>
      </c>
      <c r="C905" s="2" t="s">
        <v>573</v>
      </c>
      <c r="D905" s="2" t="str">
        <f t="shared" si="13"/>
        <v>Error?</v>
      </c>
    </row>
    <row r="906" spans="1:4" x14ac:dyDescent="0.2">
      <c r="A906" s="5">
        <v>845</v>
      </c>
      <c r="B906" s="137">
        <f>'Expenditures 15-22'!F49</f>
        <v>3560</v>
      </c>
      <c r="D906" s="2" t="str">
        <f t="shared" si="13"/>
        <v>Error?</v>
      </c>
    </row>
    <row r="907" spans="1:4" x14ac:dyDescent="0.2">
      <c r="A907" s="5">
        <v>846</v>
      </c>
      <c r="B907" s="137">
        <f>'Expenditures 15-22'!F50</f>
        <v>6741</v>
      </c>
      <c r="D907" s="2" t="str">
        <f t="shared" si="13"/>
        <v>Error?</v>
      </c>
    </row>
    <row r="908" spans="1:4" x14ac:dyDescent="0.2">
      <c r="A908" s="5">
        <v>847</v>
      </c>
      <c r="B908" s="137">
        <f>'Expenditures 15-22'!F53</f>
        <v>10301</v>
      </c>
      <c r="C908" s="2" t="s">
        <v>573</v>
      </c>
      <c r="D908" s="2" t="str">
        <f t="shared" si="13"/>
        <v>Error?</v>
      </c>
    </row>
    <row r="909" spans="1:4" x14ac:dyDescent="0.2">
      <c r="A909" s="5">
        <v>848</v>
      </c>
      <c r="B909" s="137">
        <f>'Expenditures 15-22'!F55</f>
        <v>3276</v>
      </c>
      <c r="D909" s="2" t="str">
        <f t="shared" si="13"/>
        <v>Error?</v>
      </c>
    </row>
    <row r="910" spans="1:4" x14ac:dyDescent="0.2">
      <c r="A910" s="5">
        <v>849</v>
      </c>
      <c r="B910" s="137">
        <f>'Expenditures 15-22'!F56</f>
        <v>0</v>
      </c>
      <c r="D910" s="2" t="str">
        <f t="shared" si="13"/>
        <v>Error?</v>
      </c>
    </row>
    <row r="911" spans="1:4" x14ac:dyDescent="0.2">
      <c r="A911" s="5">
        <v>850</v>
      </c>
      <c r="B911" s="137">
        <f>'Expenditures 15-22'!F57</f>
        <v>3276</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9639</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190179</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199818</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343</v>
      </c>
      <c r="D928" s="2" t="str">
        <f t="shared" si="13"/>
        <v>Error?</v>
      </c>
    </row>
    <row r="929" spans="1:4" x14ac:dyDescent="0.2">
      <c r="A929" s="5">
        <v>868</v>
      </c>
      <c r="B929" s="137">
        <f>'Expenditures 15-22'!F74</f>
        <v>236714</v>
      </c>
      <c r="C929" s="2" t="s">
        <v>573</v>
      </c>
      <c r="D929" s="2" t="str">
        <f t="shared" si="13"/>
        <v>Error?</v>
      </c>
    </row>
    <row r="930" spans="1:4" x14ac:dyDescent="0.2">
      <c r="A930" s="5">
        <v>869</v>
      </c>
      <c r="B930" s="137">
        <f>'Expenditures 15-22'!F75</f>
        <v>1542</v>
      </c>
      <c r="D930" s="2" t="str">
        <f t="shared" si="13"/>
        <v>Error?</v>
      </c>
    </row>
    <row r="931" spans="1:4" x14ac:dyDescent="0.2">
      <c r="A931" s="5">
        <v>870</v>
      </c>
      <c r="B931" s="137">
        <f>'Expenditures 15-22'!F114</f>
        <v>583203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49366</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49366</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1456</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1456</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1456</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50822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2185</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2185</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8864</v>
      </c>
      <c r="D1022" s="2" t="str">
        <f t="shared" si="14"/>
        <v>Error?</v>
      </c>
    </row>
    <row r="1023" spans="1:4" x14ac:dyDescent="0.2">
      <c r="A1023" s="5">
        <v>962</v>
      </c>
      <c r="B1023" s="137">
        <f>'Expenditures 15-22'!H50</f>
        <v>5350</v>
      </c>
      <c r="D1023" s="2" t="str">
        <f t="shared" ref="D1023:D1086" si="15">IF(ISBLANK(B1023),"OK",IF(A1023-B1023=0,"OK","Error?"))</f>
        <v>Error?</v>
      </c>
    </row>
    <row r="1024" spans="1:4" x14ac:dyDescent="0.2">
      <c r="A1024" s="5">
        <v>963</v>
      </c>
      <c r="B1024" s="137">
        <f>'Expenditures 15-22'!H53</f>
        <v>14214</v>
      </c>
      <c r="C1024" s="2" t="s">
        <v>573</v>
      </c>
      <c r="D1024" s="2" t="str">
        <f t="shared" si="15"/>
        <v>Error?</v>
      </c>
    </row>
    <row r="1025" spans="1:4" x14ac:dyDescent="0.2">
      <c r="A1025" s="5">
        <v>964</v>
      </c>
      <c r="B1025" s="137">
        <f>'Expenditures 15-22'!H55</f>
        <v>1602</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1602</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25280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34809</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60089</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75905</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666929</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745019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3262184</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137557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74670</v>
      </c>
      <c r="C1106" s="2" t="s">
        <v>573</v>
      </c>
      <c r="D1106" s="2" t="str">
        <f t="shared" si="16"/>
        <v>Error?</v>
      </c>
    </row>
    <row r="1107" spans="1:4" x14ac:dyDescent="0.2">
      <c r="A1107" s="5">
        <v>1046</v>
      </c>
      <c r="B1107" s="137">
        <f>'Expenditures 15-22'!K15</f>
        <v>16853</v>
      </c>
      <c r="C1107" s="2" t="s">
        <v>573</v>
      </c>
      <c r="D1107" s="2" t="str">
        <f t="shared" si="16"/>
        <v>Error?</v>
      </c>
    </row>
    <row r="1108" spans="1:4" x14ac:dyDescent="0.2">
      <c r="A1108" s="5">
        <v>1047</v>
      </c>
      <c r="B1108" s="137">
        <f>'Expenditures 15-22'!K33</f>
        <v>4656397</v>
      </c>
      <c r="C1108" s="2" t="s">
        <v>573</v>
      </c>
      <c r="D1108" s="2" t="str">
        <f t="shared" si="16"/>
        <v>Error?</v>
      </c>
    </row>
    <row r="1109" spans="1:4" x14ac:dyDescent="0.2">
      <c r="A1109" s="5">
        <v>1048</v>
      </c>
      <c r="B1109" s="137">
        <f>'Expenditures 15-22'!K36</f>
        <v>170533</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239657</v>
      </c>
      <c r="C1111" s="2" t="s">
        <v>573</v>
      </c>
      <c r="D1111" s="2" t="str">
        <f t="shared" si="16"/>
        <v>Error?</v>
      </c>
    </row>
    <row r="1112" spans="1:4" x14ac:dyDescent="0.2">
      <c r="A1112" s="5">
        <v>1051</v>
      </c>
      <c r="B1112" s="137">
        <f>'Expenditures 15-22'!K39</f>
        <v>87144</v>
      </c>
      <c r="C1112" s="2" t="s">
        <v>573</v>
      </c>
      <c r="D1112" s="2" t="str">
        <f t="shared" si="16"/>
        <v>Error?</v>
      </c>
    </row>
    <row r="1113" spans="1:4" x14ac:dyDescent="0.2">
      <c r="A1113" s="5">
        <v>1052</v>
      </c>
      <c r="B1113" s="137">
        <f>'Expenditures 15-22'!K40</f>
        <v>249680</v>
      </c>
      <c r="C1113" s="2" t="s">
        <v>573</v>
      </c>
      <c r="D1113" s="2" t="str">
        <f t="shared" si="16"/>
        <v>Error?</v>
      </c>
    </row>
    <row r="1114" spans="1:4" x14ac:dyDescent="0.2">
      <c r="A1114" s="5">
        <v>1053</v>
      </c>
      <c r="B1114" s="137">
        <f>'Expenditures 15-22'!K41</f>
        <v>9513</v>
      </c>
      <c r="C1114" s="2" t="s">
        <v>573</v>
      </c>
      <c r="D1114" s="2" t="str">
        <f t="shared" si="16"/>
        <v>Error?</v>
      </c>
    </row>
    <row r="1115" spans="1:4" x14ac:dyDescent="0.2">
      <c r="A1115" s="5">
        <v>1054</v>
      </c>
      <c r="B1115" s="137">
        <f>'Expenditures 15-22'!K42</f>
        <v>756527</v>
      </c>
      <c r="C1115" s="2" t="s">
        <v>573</v>
      </c>
      <c r="D1115" s="2" t="str">
        <f t="shared" si="16"/>
        <v>Error?</v>
      </c>
    </row>
    <row r="1116" spans="1:4" x14ac:dyDescent="0.2">
      <c r="A1116" s="5">
        <v>1055</v>
      </c>
      <c r="B1116" s="137">
        <f>'Expenditures 15-22'!K44</f>
        <v>151235</v>
      </c>
      <c r="C1116" s="2" t="s">
        <v>573</v>
      </c>
      <c r="D1116" s="2" t="str">
        <f t="shared" si="16"/>
        <v>Error?</v>
      </c>
    </row>
    <row r="1117" spans="1:4" x14ac:dyDescent="0.2">
      <c r="A1117" s="5">
        <v>1056</v>
      </c>
      <c r="B1117" s="137">
        <f>'Expenditures 15-22'!K45</f>
        <v>70368</v>
      </c>
      <c r="C1117" s="2" t="s">
        <v>573</v>
      </c>
      <c r="D1117" s="2" t="str">
        <f t="shared" si="16"/>
        <v>Error?</v>
      </c>
    </row>
    <row r="1118" spans="1:4" x14ac:dyDescent="0.2">
      <c r="A1118" s="5">
        <v>1057</v>
      </c>
      <c r="B1118" s="137">
        <f>'Expenditures 15-22'!K46</f>
        <v>9099</v>
      </c>
      <c r="C1118" s="2" t="s">
        <v>573</v>
      </c>
      <c r="D1118" s="2" t="str">
        <f t="shared" si="16"/>
        <v>Error?</v>
      </c>
    </row>
    <row r="1119" spans="1:4" x14ac:dyDescent="0.2">
      <c r="A1119" s="5">
        <v>1058</v>
      </c>
      <c r="B1119" s="137">
        <f>'Expenditures 15-22'!K47</f>
        <v>230702</v>
      </c>
      <c r="C1119" s="2" t="s">
        <v>573</v>
      </c>
      <c r="D1119" s="2" t="str">
        <f t="shared" si="16"/>
        <v>Error?</v>
      </c>
    </row>
    <row r="1120" spans="1:4" x14ac:dyDescent="0.2">
      <c r="A1120" s="5">
        <v>1059</v>
      </c>
      <c r="B1120" s="137">
        <f>'Expenditures 15-22'!K49</f>
        <v>207613</v>
      </c>
      <c r="C1120" s="2" t="s">
        <v>573</v>
      </c>
      <c r="D1120" s="2" t="str">
        <f t="shared" si="16"/>
        <v>Error?</v>
      </c>
    </row>
    <row r="1121" spans="1:4" x14ac:dyDescent="0.2">
      <c r="A1121" s="5">
        <v>1060</v>
      </c>
      <c r="B1121" s="137">
        <f>'Expenditures 15-22'!K50</f>
        <v>302733</v>
      </c>
      <c r="C1121" s="2" t="s">
        <v>573</v>
      </c>
      <c r="D1121" s="2" t="str">
        <f t="shared" si="16"/>
        <v>Error?</v>
      </c>
    </row>
    <row r="1122" spans="1:4" x14ac:dyDescent="0.2">
      <c r="A1122" s="5">
        <v>1061</v>
      </c>
      <c r="B1122" s="137">
        <f>'Expenditures 15-22'!K53</f>
        <v>624256</v>
      </c>
      <c r="C1122" s="2" t="s">
        <v>573</v>
      </c>
      <c r="D1122" s="2" t="str">
        <f t="shared" si="16"/>
        <v>Error?</v>
      </c>
    </row>
    <row r="1123" spans="1:4" x14ac:dyDescent="0.2">
      <c r="A1123" s="5">
        <v>1062</v>
      </c>
      <c r="B1123" s="137">
        <f>'Expenditures 15-22'!K55</f>
        <v>628499</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628499</v>
      </c>
      <c r="C1125" s="2" t="s">
        <v>573</v>
      </c>
      <c r="D1125" s="2" t="str">
        <f t="shared" si="16"/>
        <v>Error?</v>
      </c>
    </row>
    <row r="1126" spans="1:4" x14ac:dyDescent="0.2">
      <c r="A1126" s="5">
        <v>1065</v>
      </c>
      <c r="B1126" s="137">
        <f>'Expenditures 15-22'!K59</f>
        <v>142076</v>
      </c>
      <c r="C1126" s="2" t="s">
        <v>573</v>
      </c>
      <c r="D1126" s="2" t="str">
        <f t="shared" si="16"/>
        <v>Error?</v>
      </c>
    </row>
    <row r="1127" spans="1:4" x14ac:dyDescent="0.2">
      <c r="A1127" s="5">
        <v>1066</v>
      </c>
      <c r="B1127" s="137">
        <f>'Expenditures 15-22'!K60</f>
        <v>229948</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440148</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812172</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4000</v>
      </c>
      <c r="C1136" s="2" t="s">
        <v>573</v>
      </c>
      <c r="D1136" s="2" t="str">
        <f t="shared" si="16"/>
        <v>Error?</v>
      </c>
    </row>
    <row r="1137" spans="1:4" x14ac:dyDescent="0.2">
      <c r="A1137" s="5">
        <v>1076</v>
      </c>
      <c r="B1137" s="137">
        <f>'Expenditures 15-22'!K70</f>
        <v>2080</v>
      </c>
      <c r="C1137" s="2" t="s">
        <v>573</v>
      </c>
      <c r="D1137" s="2" t="str">
        <f t="shared" si="16"/>
        <v>Error?</v>
      </c>
    </row>
    <row r="1138" spans="1:4" x14ac:dyDescent="0.2">
      <c r="A1138" s="10">
        <v>1077</v>
      </c>
      <c r="D1138" s="2" t="str">
        <f t="shared" si="16"/>
        <v>OK</v>
      </c>
    </row>
    <row r="1139" spans="1:4" x14ac:dyDescent="0.2">
      <c r="A1139" s="5">
        <v>1078</v>
      </c>
      <c r="B1139" s="137">
        <f>'Expenditures 15-22'!K71</f>
        <v>132893</v>
      </c>
      <c r="C1139" s="2" t="s">
        <v>573</v>
      </c>
      <c r="D1139" s="2" t="str">
        <f t="shared" si="16"/>
        <v>Error?</v>
      </c>
    </row>
    <row r="1140" spans="1:4" x14ac:dyDescent="0.2">
      <c r="A1140" s="10">
        <v>1079</v>
      </c>
      <c r="D1140" s="2" t="str">
        <f t="shared" si="16"/>
        <v>OK</v>
      </c>
    </row>
    <row r="1141" spans="1:4" x14ac:dyDescent="0.2">
      <c r="A1141" s="5">
        <v>1080</v>
      </c>
      <c r="B1141" s="137">
        <f>'Expenditures 15-22'!K72</f>
        <v>138973</v>
      </c>
      <c r="C1141" s="2" t="s">
        <v>573</v>
      </c>
      <c r="D1141" s="2" t="str">
        <f t="shared" si="16"/>
        <v>Error?</v>
      </c>
    </row>
    <row r="1142" spans="1:4" x14ac:dyDescent="0.2">
      <c r="A1142" s="5">
        <v>1081</v>
      </c>
      <c r="B1142" s="137">
        <f>'Expenditures 15-22'!K73</f>
        <v>5993</v>
      </c>
      <c r="C1142" s="2" t="s">
        <v>573</v>
      </c>
      <c r="D1142" s="2" t="str">
        <f t="shared" si="16"/>
        <v>Error?</v>
      </c>
    </row>
    <row r="1143" spans="1:4" x14ac:dyDescent="0.2">
      <c r="A1143" s="5">
        <v>1082</v>
      </c>
      <c r="B1143" s="137">
        <f>'Expenditures 15-22'!K74</f>
        <v>3197122</v>
      </c>
      <c r="C1143" s="2" t="s">
        <v>573</v>
      </c>
      <c r="D1143" s="2" t="str">
        <f t="shared" si="16"/>
        <v>Error?</v>
      </c>
    </row>
    <row r="1144" spans="1:4" x14ac:dyDescent="0.2">
      <c r="A1144" s="5">
        <v>1083</v>
      </c>
      <c r="B1144" s="137">
        <f>'Expenditures 15-22'!K75</f>
        <v>5203</v>
      </c>
      <c r="C1144" s="2" t="s">
        <v>573</v>
      </c>
      <c r="D1144" s="2" t="str">
        <f t="shared" si="16"/>
        <v>Error?</v>
      </c>
    </row>
    <row r="1145" spans="1:4" x14ac:dyDescent="0.2">
      <c r="A1145" s="5">
        <v>1084</v>
      </c>
      <c r="B1145" s="137">
        <f>'Expenditures 15-22'!K102</f>
        <v>667569</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8526291</v>
      </c>
      <c r="C1152" s="2" t="s">
        <v>573</v>
      </c>
      <c r="D1152" s="2" t="str">
        <f t="shared" si="17"/>
        <v>Error?</v>
      </c>
    </row>
    <row r="1153" spans="1:4" x14ac:dyDescent="0.2">
      <c r="A1153" s="5">
        <v>1092</v>
      </c>
      <c r="B1153" s="137">
        <f>'Expenditures 15-22'!K115</f>
        <v>-1012586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324251</v>
      </c>
      <c r="D1221" s="2" t="str">
        <f t="shared" si="18"/>
        <v>Error?</v>
      </c>
    </row>
    <row r="1222" spans="1:4" x14ac:dyDescent="0.2">
      <c r="A1222" s="10">
        <v>1161</v>
      </c>
      <c r="D1222" s="2" t="str">
        <f t="shared" si="18"/>
        <v>OK</v>
      </c>
    </row>
    <row r="1223" spans="1:4" x14ac:dyDescent="0.2">
      <c r="A1223" s="5">
        <v>1162</v>
      </c>
      <c r="B1223" s="137">
        <f>'Expenditures 15-22'!C127</f>
        <v>324251</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324251</v>
      </c>
      <c r="C1225" s="2" t="s">
        <v>573</v>
      </c>
      <c r="D1225" s="2" t="str">
        <f t="shared" si="18"/>
        <v>Error?</v>
      </c>
    </row>
    <row r="1226" spans="1:4" x14ac:dyDescent="0.2">
      <c r="A1226" s="5">
        <v>1165</v>
      </c>
      <c r="B1226" s="137">
        <f>'Expenditures 15-22'!C151</f>
        <v>324251</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41562</v>
      </c>
      <c r="D1229" s="2" t="str">
        <f t="shared" si="18"/>
        <v>Error?</v>
      </c>
    </row>
    <row r="1230" spans="1:4" x14ac:dyDescent="0.2">
      <c r="A1230" s="10">
        <v>1169</v>
      </c>
      <c r="D1230" s="2" t="str">
        <f t="shared" si="18"/>
        <v>OK</v>
      </c>
    </row>
    <row r="1231" spans="1:4" x14ac:dyDescent="0.2">
      <c r="A1231" s="5">
        <v>1170</v>
      </c>
      <c r="B1231" s="137">
        <f>'Expenditures 15-22'!D127</f>
        <v>41562</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41562</v>
      </c>
      <c r="C1233" s="2" t="s">
        <v>573</v>
      </c>
      <c r="D1233" s="2" t="str">
        <f t="shared" si="18"/>
        <v>Error?</v>
      </c>
    </row>
    <row r="1234" spans="1:4" x14ac:dyDescent="0.2">
      <c r="A1234" s="5">
        <v>1173</v>
      </c>
      <c r="B1234" s="137">
        <f>'Expenditures 15-22'!D151</f>
        <v>41562</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304261</v>
      </c>
      <c r="D1237" s="2" t="str">
        <f t="shared" si="18"/>
        <v>Error?</v>
      </c>
    </row>
    <row r="1238" spans="1:4" x14ac:dyDescent="0.2">
      <c r="A1238" s="10">
        <v>1177</v>
      </c>
      <c r="D1238" s="2" t="str">
        <f t="shared" si="18"/>
        <v>OK</v>
      </c>
    </row>
    <row r="1239" spans="1:4" x14ac:dyDescent="0.2">
      <c r="A1239" s="5">
        <v>1178</v>
      </c>
      <c r="B1239" s="137">
        <f>'Expenditures 15-22'!E127</f>
        <v>304261</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304261</v>
      </c>
      <c r="C1241" s="2" t="s">
        <v>573</v>
      </c>
      <c r="D1241" s="2" t="str">
        <f t="shared" si="18"/>
        <v>Error?</v>
      </c>
    </row>
    <row r="1242" spans="1:4" x14ac:dyDescent="0.2">
      <c r="A1242" s="5">
        <v>1181</v>
      </c>
      <c r="B1242" s="137">
        <f>'Expenditures 15-22'!E151</f>
        <v>304261</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261053</v>
      </c>
      <c r="D1245" s="2" t="str">
        <f t="shared" si="18"/>
        <v>Error?</v>
      </c>
    </row>
    <row r="1246" spans="1:4" x14ac:dyDescent="0.2">
      <c r="A1246" s="10">
        <v>1185</v>
      </c>
      <c r="D1246" s="2" t="str">
        <f t="shared" si="18"/>
        <v>OK</v>
      </c>
    </row>
    <row r="1247" spans="1:4" x14ac:dyDescent="0.2">
      <c r="A1247" s="5">
        <v>1186</v>
      </c>
      <c r="B1247" s="137">
        <f>'Expenditures 15-22'!F127</f>
        <v>261053</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261053</v>
      </c>
      <c r="C1249" s="2" t="s">
        <v>573</v>
      </c>
      <c r="D1249" s="2" t="str">
        <f t="shared" si="18"/>
        <v>Error?</v>
      </c>
    </row>
    <row r="1250" spans="1:4" x14ac:dyDescent="0.2">
      <c r="A1250" s="5">
        <v>1189</v>
      </c>
      <c r="B1250" s="137">
        <f>'Expenditures 15-22'!F151</f>
        <v>261053</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28543</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28543</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28543</v>
      </c>
      <c r="C1258" s="2" t="s">
        <v>573</v>
      </c>
      <c r="D1258" s="2" t="str">
        <f t="shared" si="18"/>
        <v>Error?</v>
      </c>
    </row>
    <row r="1259" spans="1:4" x14ac:dyDescent="0.2">
      <c r="A1259" s="5">
        <v>1198</v>
      </c>
      <c r="B1259" s="137">
        <f>'Expenditures 15-22'!G151</f>
        <v>28543</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959670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959670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959670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959670</v>
      </c>
      <c r="C1288" s="2" t="s">
        <v>573</v>
      </c>
      <c r="D1288" s="2" t="str">
        <f t="shared" si="19"/>
        <v>Error?</v>
      </c>
    </row>
    <row r="1289" spans="1:4" x14ac:dyDescent="0.2">
      <c r="A1289" s="5">
        <v>1228</v>
      </c>
      <c r="B1289" s="137">
        <f>'Expenditures 15-22'!K152</f>
        <v>33749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298282</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1432045</v>
      </c>
      <c r="D1315" s="2" t="str">
        <f t="shared" si="19"/>
        <v>Error?</v>
      </c>
    </row>
    <row r="1316" spans="1:4" x14ac:dyDescent="0.2">
      <c r="A1316" s="5">
        <v>1255</v>
      </c>
      <c r="B1316" s="137">
        <f>'Expenditures 15-22'!H171</f>
        <v>83159</v>
      </c>
      <c r="D1316" s="2" t="str">
        <f t="shared" si="19"/>
        <v>Error?</v>
      </c>
    </row>
    <row r="1317" spans="1:4" x14ac:dyDescent="0.2">
      <c r="A1317" s="5">
        <v>1256</v>
      </c>
      <c r="B1317" s="137">
        <f>'Expenditures 15-22'!H172</f>
        <v>1813486</v>
      </c>
      <c r="C1317" s="2" t="s">
        <v>573</v>
      </c>
      <c r="D1317" s="2" t="str">
        <f t="shared" si="19"/>
        <v>Error?</v>
      </c>
    </row>
    <row r="1318" spans="1:4" x14ac:dyDescent="0.2">
      <c r="A1318" s="5">
        <v>1257</v>
      </c>
      <c r="B1318" s="137">
        <f>'Expenditures 15-22'!H174</f>
        <v>1813486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298282</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1432045</v>
      </c>
      <c r="C1329" s="2" t="s">
        <v>573</v>
      </c>
      <c r="D1329" s="2" t="str">
        <f t="shared" si="19"/>
        <v>Error?</v>
      </c>
    </row>
    <row r="1330" spans="1:4" x14ac:dyDescent="0.2">
      <c r="A1330" s="5">
        <v>1269</v>
      </c>
      <c r="B1330" s="137">
        <f>'Expenditures 15-22'!K171</f>
        <v>83159</v>
      </c>
      <c r="C1330" s="2" t="s">
        <v>573</v>
      </c>
      <c r="D1330" s="2" t="str">
        <f t="shared" si="19"/>
        <v>Error?</v>
      </c>
    </row>
    <row r="1331" spans="1:4" x14ac:dyDescent="0.2">
      <c r="A1331" s="5">
        <v>1270</v>
      </c>
      <c r="B1331" s="137">
        <f>'Expenditures 15-22'!K172</f>
        <v>1813486</v>
      </c>
      <c r="C1331" s="2" t="s">
        <v>573</v>
      </c>
      <c r="D1331" s="2" t="str">
        <f t="shared" si="19"/>
        <v>Error?</v>
      </c>
    </row>
    <row r="1332" spans="1:4" x14ac:dyDescent="0.2">
      <c r="A1332" s="5">
        <v>1271</v>
      </c>
      <c r="B1332" s="137">
        <f>'Expenditures 15-22'!K174</f>
        <v>1813486</v>
      </c>
      <c r="C1332" s="2" t="s">
        <v>573</v>
      </c>
      <c r="D1332" s="2" t="str">
        <f t="shared" si="19"/>
        <v>Error?</v>
      </c>
    </row>
    <row r="1333" spans="1:4" x14ac:dyDescent="0.2">
      <c r="A1333" s="5">
        <v>1272</v>
      </c>
      <c r="B1333" s="137">
        <f>'Expenditures 15-22'!K175</f>
        <v>-149261</v>
      </c>
      <c r="C1333" s="2" t="s">
        <v>573</v>
      </c>
      <c r="D1333" s="2" t="str">
        <f t="shared" si="19"/>
        <v>Error?</v>
      </c>
    </row>
    <row r="1334" spans="1:4" x14ac:dyDescent="0.2">
      <c r="A1334" s="10">
        <v>1273</v>
      </c>
      <c r="D1334" s="2" t="str">
        <f t="shared" si="19"/>
        <v>OK</v>
      </c>
    </row>
    <row r="1335" spans="1:4" x14ac:dyDescent="0.2">
      <c r="A1335" s="5">
        <v>1274</v>
      </c>
      <c r="B1335" s="137">
        <f>'Expenditures 15-22'!C182</f>
        <v>312263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312263</v>
      </c>
      <c r="C1339" s="2" t="s">
        <v>573</v>
      </c>
      <c r="D1339" s="2" t="str">
        <f t="shared" si="19"/>
        <v>Error?</v>
      </c>
    </row>
    <row r="1340" spans="1:4" x14ac:dyDescent="0.2">
      <c r="A1340" s="5">
        <v>1279</v>
      </c>
      <c r="B1340" s="137">
        <f>'Expenditures 15-22'!C210</f>
        <v>312263</v>
      </c>
      <c r="C1340" s="2" t="s">
        <v>573</v>
      </c>
      <c r="D1340" s="2" t="str">
        <f t="shared" si="19"/>
        <v>Error?</v>
      </c>
    </row>
    <row r="1341" spans="1:4" x14ac:dyDescent="0.2">
      <c r="A1341" s="5">
        <v>1280</v>
      </c>
      <c r="B1341" s="137">
        <f>'Expenditures 15-22'!D182</f>
        <v>58834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58834</v>
      </c>
      <c r="C1345" s="2" t="s">
        <v>573</v>
      </c>
      <c r="D1345" s="2" t="str">
        <f t="shared" si="20"/>
        <v>Error?</v>
      </c>
    </row>
    <row r="1346" spans="1:4" x14ac:dyDescent="0.2">
      <c r="A1346" s="5">
        <v>1285</v>
      </c>
      <c r="B1346" s="137">
        <f>'Expenditures 15-22'!D210</f>
        <v>58834</v>
      </c>
      <c r="C1346" s="2" t="s">
        <v>573</v>
      </c>
      <c r="D1346" s="2" t="str">
        <f t="shared" si="20"/>
        <v>Error?</v>
      </c>
    </row>
    <row r="1347" spans="1:4" x14ac:dyDescent="0.2">
      <c r="A1347" s="5">
        <v>1286</v>
      </c>
      <c r="B1347" s="137">
        <f>'Expenditures 15-22'!E182</f>
        <v>513154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513154</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513154</v>
      </c>
      <c r="C1353" s="2" t="s">
        <v>573</v>
      </c>
      <c r="D1353" s="2" t="str">
        <f t="shared" si="20"/>
        <v>Error?</v>
      </c>
    </row>
    <row r="1354" spans="1:4" x14ac:dyDescent="0.2">
      <c r="A1354" s="5">
        <v>1293</v>
      </c>
      <c r="B1354" s="137">
        <f>'Expenditures 15-22'!F182</f>
        <v>49757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49757</v>
      </c>
      <c r="C1358" s="2" t="s">
        <v>573</v>
      </c>
      <c r="D1358" s="2" t="str">
        <f t="shared" si="20"/>
        <v>Error?</v>
      </c>
    </row>
    <row r="1359" spans="1:4" x14ac:dyDescent="0.2">
      <c r="A1359" s="5">
        <v>1298</v>
      </c>
      <c r="B1359" s="137">
        <f>'Expenditures 15-22'!F210</f>
        <v>49757</v>
      </c>
      <c r="C1359" s="2" t="s">
        <v>573</v>
      </c>
      <c r="D1359" s="2" t="str">
        <f t="shared" si="20"/>
        <v>Error?</v>
      </c>
    </row>
    <row r="1360" spans="1:4" x14ac:dyDescent="0.2">
      <c r="A1360" s="5">
        <v>1299</v>
      </c>
      <c r="B1360" s="137">
        <f>'Expenditures 15-22'!G182</f>
        <v>9709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9709</v>
      </c>
      <c r="C1364" s="2" t="s">
        <v>573</v>
      </c>
      <c r="D1364" s="2" t="str">
        <f t="shared" si="20"/>
        <v>Error?</v>
      </c>
    </row>
    <row r="1365" spans="1:4" x14ac:dyDescent="0.2">
      <c r="A1365" s="5">
        <v>1304</v>
      </c>
      <c r="B1365" s="137">
        <f>'Expenditures 15-22'!G210</f>
        <v>9709</v>
      </c>
      <c r="C1365" s="2" t="s">
        <v>573</v>
      </c>
      <c r="D1365" s="2" t="str">
        <f t="shared" si="20"/>
        <v>Error?</v>
      </c>
    </row>
    <row r="1366" spans="1:4" x14ac:dyDescent="0.2">
      <c r="A1366" s="5">
        <v>1305</v>
      </c>
      <c r="B1366" s="137">
        <f>'Expenditures 15-22'!H182</f>
        <v>848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848</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848</v>
      </c>
      <c r="C1376" s="2" t="s">
        <v>573</v>
      </c>
      <c r="D1376" s="2" t="str">
        <f t="shared" si="20"/>
        <v>Error?</v>
      </c>
    </row>
    <row r="1377" spans="1:4" x14ac:dyDescent="0.2">
      <c r="A1377" s="5">
        <v>1316</v>
      </c>
      <c r="B1377" s="137">
        <f>'Expenditures 15-22'!K182</f>
        <v>944565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944565</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944565</v>
      </c>
      <c r="C1388" s="2" t="s">
        <v>573</v>
      </c>
      <c r="D1388" s="2" t="str">
        <f t="shared" si="20"/>
        <v>Error?</v>
      </c>
    </row>
    <row r="1389" spans="1:4" x14ac:dyDescent="0.2">
      <c r="A1389" s="5">
        <v>1328</v>
      </c>
      <c r="B1389" s="137">
        <f>'Expenditures 15-22'!K211</f>
        <v>-359208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1761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2335</v>
      </c>
      <c r="D1408" s="2" t="str">
        <f t="shared" si="21"/>
        <v>Error?</v>
      </c>
    </row>
    <row r="1409" spans="1:4" x14ac:dyDescent="0.2">
      <c r="A1409" s="5">
        <v>1348</v>
      </c>
      <c r="B1409" s="137">
        <f>'Expenditures 15-22'!D224</f>
        <v>1047</v>
      </c>
      <c r="D1409" s="2" t="str">
        <f t="shared" si="21"/>
        <v>Error?</v>
      </c>
    </row>
    <row r="1410" spans="1:4" x14ac:dyDescent="0.2">
      <c r="A1410" s="5">
        <v>1349</v>
      </c>
      <c r="B1410" s="137">
        <f>'Expenditures 15-22'!D229</f>
        <v>137048</v>
      </c>
      <c r="C1410" s="2" t="s">
        <v>573</v>
      </c>
      <c r="D1410" s="2" t="str">
        <f t="shared" si="21"/>
        <v>Error?</v>
      </c>
    </row>
    <row r="1411" spans="1:4" x14ac:dyDescent="0.2">
      <c r="A1411" s="5">
        <v>1350</v>
      </c>
      <c r="B1411" s="137">
        <f>'Expenditures 15-22'!D232</f>
        <v>2332</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4661</v>
      </c>
      <c r="D1413" s="2" t="str">
        <f t="shared" si="21"/>
        <v>Error?</v>
      </c>
    </row>
    <row r="1414" spans="1:4" x14ac:dyDescent="0.2">
      <c r="A1414" s="5">
        <v>1353</v>
      </c>
      <c r="B1414" s="137">
        <f>'Expenditures 15-22'!D235</f>
        <v>1151</v>
      </c>
      <c r="D1414" s="2" t="str">
        <f t="shared" si="21"/>
        <v>Error?</v>
      </c>
    </row>
    <row r="1415" spans="1:4" x14ac:dyDescent="0.2">
      <c r="A1415" s="5">
        <v>1354</v>
      </c>
      <c r="B1415" s="137">
        <f>'Expenditures 15-22'!D236</f>
        <v>3199</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11343</v>
      </c>
      <c r="C1417" s="2" t="s">
        <v>573</v>
      </c>
      <c r="D1417" s="2" t="str">
        <f t="shared" si="21"/>
        <v>Error?</v>
      </c>
    </row>
    <row r="1418" spans="1:4" x14ac:dyDescent="0.2">
      <c r="A1418" s="5">
        <v>1357</v>
      </c>
      <c r="B1418" s="137">
        <f>'Expenditures 15-22'!D240</f>
        <v>1139</v>
      </c>
      <c r="D1418" s="2" t="str">
        <f t="shared" si="21"/>
        <v>Error?</v>
      </c>
    </row>
    <row r="1419" spans="1:4" x14ac:dyDescent="0.2">
      <c r="A1419" s="5">
        <v>1358</v>
      </c>
      <c r="B1419" s="137">
        <f>'Expenditures 15-22'!D241</f>
        <v>10197</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11336</v>
      </c>
      <c r="C1421" s="2" t="s">
        <v>573</v>
      </c>
      <c r="D1421" s="2" t="str">
        <f t="shared" si="21"/>
        <v>Error?</v>
      </c>
    </row>
    <row r="1422" spans="1:4" x14ac:dyDescent="0.2">
      <c r="A1422" s="5">
        <v>1361</v>
      </c>
      <c r="B1422" s="137">
        <f>'Expenditures 15-22'!D245</f>
        <v>338</v>
      </c>
      <c r="D1422" s="2" t="str">
        <f t="shared" si="21"/>
        <v>Error?</v>
      </c>
    </row>
    <row r="1423" spans="1:4" x14ac:dyDescent="0.2">
      <c r="A1423" s="5">
        <v>1362</v>
      </c>
      <c r="B1423" s="137">
        <f>'Expenditures 15-22'!D246</f>
        <v>10378</v>
      </c>
      <c r="D1423" s="2" t="str">
        <f t="shared" si="21"/>
        <v>Error?</v>
      </c>
    </row>
    <row r="1424" spans="1:4" x14ac:dyDescent="0.2">
      <c r="A1424" s="5">
        <v>1363</v>
      </c>
      <c r="B1424" s="137">
        <f>'Expenditures 15-22'!D257</f>
        <v>12140</v>
      </c>
      <c r="C1424" s="2" t="s">
        <v>573</v>
      </c>
      <c r="D1424" s="2" t="str">
        <f t="shared" si="21"/>
        <v>Error?</v>
      </c>
    </row>
    <row r="1425" spans="1:4" x14ac:dyDescent="0.2">
      <c r="A1425" s="5">
        <v>1364</v>
      </c>
      <c r="B1425" s="137">
        <f>'Expenditures 15-22'!D259</f>
        <v>29964</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29964</v>
      </c>
      <c r="C1427" s="2" t="s">
        <v>573</v>
      </c>
      <c r="D1427" s="2" t="str">
        <f t="shared" si="21"/>
        <v>Error?</v>
      </c>
    </row>
    <row r="1428" spans="1:4" x14ac:dyDescent="0.2">
      <c r="A1428" s="5">
        <v>1367</v>
      </c>
      <c r="B1428" s="137">
        <f>'Expenditures 15-22'!D263</f>
        <v>1730</v>
      </c>
      <c r="D1428" s="2" t="str">
        <f t="shared" si="21"/>
        <v>Error?</v>
      </c>
    </row>
    <row r="1429" spans="1:4" x14ac:dyDescent="0.2">
      <c r="A1429" s="5">
        <v>1368</v>
      </c>
      <c r="B1429" s="137">
        <f>'Expenditures 15-22'!D264</f>
        <v>13207</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55915</v>
      </c>
      <c r="D1431" s="2" t="str">
        <f t="shared" si="21"/>
        <v>Error?</v>
      </c>
    </row>
    <row r="1432" spans="1:4" x14ac:dyDescent="0.2">
      <c r="A1432" s="5">
        <v>1371</v>
      </c>
      <c r="B1432" s="137">
        <f>'Expenditures 15-22'!D267</f>
        <v>52048</v>
      </c>
      <c r="D1432" s="2" t="str">
        <f t="shared" si="21"/>
        <v>Error?</v>
      </c>
    </row>
    <row r="1433" spans="1:4" x14ac:dyDescent="0.2">
      <c r="A1433" s="5">
        <v>1372</v>
      </c>
      <c r="B1433" s="137">
        <f>'Expenditures 15-22'!D268</f>
        <v>31886</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154786</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20189</v>
      </c>
      <c r="D1442" s="2" t="str">
        <f t="shared" si="21"/>
        <v>Error?</v>
      </c>
    </row>
    <row r="1443" spans="1:4" x14ac:dyDescent="0.2">
      <c r="A1443" s="10">
        <v>1382</v>
      </c>
      <c r="D1443" s="2" t="str">
        <f t="shared" si="21"/>
        <v>OK</v>
      </c>
    </row>
    <row r="1444" spans="1:4" x14ac:dyDescent="0.2">
      <c r="A1444" s="5">
        <v>1383</v>
      </c>
      <c r="B1444" s="137">
        <f>'Expenditures 15-22'!D277</f>
        <v>20189</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239758</v>
      </c>
      <c r="C1446" s="2" t="s">
        <v>573</v>
      </c>
      <c r="D1446" s="2" t="str">
        <f t="shared" si="21"/>
        <v>Error?</v>
      </c>
    </row>
    <row r="1447" spans="1:4" x14ac:dyDescent="0.2">
      <c r="A1447" s="5">
        <v>1386</v>
      </c>
      <c r="B1447" s="137">
        <f>'Expenditures 15-22'!D280</f>
        <v>128</v>
      </c>
      <c r="D1447" s="2" t="str">
        <f t="shared" si="21"/>
        <v>Error?</v>
      </c>
    </row>
    <row r="1448" spans="1:4" x14ac:dyDescent="0.2">
      <c r="A1448" s="5">
        <v>1387</v>
      </c>
      <c r="B1448" s="137">
        <f>'Expenditures 15-22'!D295</f>
        <v>376934</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1761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2335</v>
      </c>
      <c r="C1472" s="2" t="s">
        <v>573</v>
      </c>
      <c r="D1472" s="2" t="str">
        <f t="shared" si="22"/>
        <v>Error?</v>
      </c>
    </row>
    <row r="1473" spans="1:4" x14ac:dyDescent="0.2">
      <c r="A1473" s="5">
        <v>1412</v>
      </c>
      <c r="B1473" s="137">
        <f>'Expenditures 15-22'!K224</f>
        <v>1047</v>
      </c>
      <c r="C1473" s="2" t="s">
        <v>573</v>
      </c>
      <c r="D1473" s="2" t="str">
        <f t="shared" si="22"/>
        <v>Error?</v>
      </c>
    </row>
    <row r="1474" spans="1:4" x14ac:dyDescent="0.2">
      <c r="A1474" s="5">
        <v>1413</v>
      </c>
      <c r="B1474" s="137">
        <f>'Expenditures 15-22'!K229</f>
        <v>137048</v>
      </c>
      <c r="C1474" s="2" t="s">
        <v>573</v>
      </c>
      <c r="D1474" s="2" t="str">
        <f t="shared" si="22"/>
        <v>Error?</v>
      </c>
    </row>
    <row r="1475" spans="1:4" x14ac:dyDescent="0.2">
      <c r="A1475" s="5">
        <v>1414</v>
      </c>
      <c r="B1475" s="137">
        <f>'Expenditures 15-22'!K232</f>
        <v>2332</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4661</v>
      </c>
      <c r="C1477" s="2" t="s">
        <v>573</v>
      </c>
      <c r="D1477" s="2" t="str">
        <f t="shared" si="22"/>
        <v>Error?</v>
      </c>
    </row>
    <row r="1478" spans="1:4" x14ac:dyDescent="0.2">
      <c r="A1478" s="5">
        <v>1417</v>
      </c>
      <c r="B1478" s="137">
        <f>'Expenditures 15-22'!K235</f>
        <v>1151</v>
      </c>
      <c r="C1478" s="2" t="s">
        <v>573</v>
      </c>
      <c r="D1478" s="2" t="str">
        <f t="shared" si="22"/>
        <v>Error?</v>
      </c>
    </row>
    <row r="1479" spans="1:4" x14ac:dyDescent="0.2">
      <c r="A1479" s="5">
        <v>1418</v>
      </c>
      <c r="B1479" s="137">
        <f>'Expenditures 15-22'!K236</f>
        <v>3199</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11343</v>
      </c>
      <c r="C1481" s="2" t="s">
        <v>573</v>
      </c>
      <c r="D1481" s="2" t="str">
        <f t="shared" si="22"/>
        <v>Error?</v>
      </c>
    </row>
    <row r="1482" spans="1:4" x14ac:dyDescent="0.2">
      <c r="A1482" s="5">
        <v>1421</v>
      </c>
      <c r="B1482" s="137">
        <f>'Expenditures 15-22'!K240</f>
        <v>1139</v>
      </c>
      <c r="C1482" s="2" t="s">
        <v>573</v>
      </c>
      <c r="D1482" s="2" t="str">
        <f t="shared" si="22"/>
        <v>Error?</v>
      </c>
    </row>
    <row r="1483" spans="1:4" x14ac:dyDescent="0.2">
      <c r="A1483" s="5">
        <v>1422</v>
      </c>
      <c r="B1483" s="137">
        <f>'Expenditures 15-22'!K241</f>
        <v>10197</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11336</v>
      </c>
      <c r="C1485" s="2" t="s">
        <v>573</v>
      </c>
      <c r="D1485" s="2" t="str">
        <f t="shared" si="22"/>
        <v>Error?</v>
      </c>
    </row>
    <row r="1486" spans="1:4" x14ac:dyDescent="0.2">
      <c r="A1486" s="5">
        <v>1425</v>
      </c>
      <c r="B1486" s="137">
        <f>'Expenditures 15-22'!K245</f>
        <v>338</v>
      </c>
      <c r="C1486" s="2" t="s">
        <v>573</v>
      </c>
      <c r="D1486" s="2" t="str">
        <f t="shared" si="22"/>
        <v>Error?</v>
      </c>
    </row>
    <row r="1487" spans="1:4" x14ac:dyDescent="0.2">
      <c r="A1487" s="5">
        <v>1426</v>
      </c>
      <c r="B1487" s="137">
        <f>'Expenditures 15-22'!K246</f>
        <v>10378</v>
      </c>
      <c r="C1487" s="2" t="s">
        <v>573</v>
      </c>
      <c r="D1487" s="2" t="str">
        <f t="shared" si="22"/>
        <v>Error?</v>
      </c>
    </row>
    <row r="1488" spans="1:4" x14ac:dyDescent="0.2">
      <c r="A1488" s="5">
        <v>1427</v>
      </c>
      <c r="B1488" s="137">
        <f>'Expenditures 15-22'!K257</f>
        <v>12140</v>
      </c>
      <c r="C1488" s="2" t="s">
        <v>573</v>
      </c>
      <c r="D1488" s="2" t="str">
        <f t="shared" si="22"/>
        <v>Error?</v>
      </c>
    </row>
    <row r="1489" spans="1:4" x14ac:dyDescent="0.2">
      <c r="A1489" s="5">
        <v>1428</v>
      </c>
      <c r="B1489" s="137">
        <f>'Expenditures 15-22'!K259</f>
        <v>29964</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29964</v>
      </c>
      <c r="C1491" s="2" t="s">
        <v>573</v>
      </c>
      <c r="D1491" s="2" t="str">
        <f t="shared" si="22"/>
        <v>Error?</v>
      </c>
    </row>
    <row r="1492" spans="1:4" x14ac:dyDescent="0.2">
      <c r="A1492" s="5">
        <v>1431</v>
      </c>
      <c r="B1492" s="137">
        <f>'Expenditures 15-22'!K263</f>
        <v>1730</v>
      </c>
      <c r="C1492" s="2" t="s">
        <v>573</v>
      </c>
      <c r="D1492" s="2" t="str">
        <f t="shared" si="22"/>
        <v>Error?</v>
      </c>
    </row>
    <row r="1493" spans="1:4" x14ac:dyDescent="0.2">
      <c r="A1493" s="5">
        <v>1432</v>
      </c>
      <c r="B1493" s="137">
        <f>'Expenditures 15-22'!K264</f>
        <v>13207</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55915</v>
      </c>
      <c r="C1495" s="2" t="s">
        <v>573</v>
      </c>
      <c r="D1495" s="2" t="str">
        <f t="shared" si="22"/>
        <v>Error?</v>
      </c>
    </row>
    <row r="1496" spans="1:4" x14ac:dyDescent="0.2">
      <c r="A1496" s="5">
        <v>1435</v>
      </c>
      <c r="B1496" s="137">
        <f>'Expenditures 15-22'!K267</f>
        <v>52048</v>
      </c>
      <c r="C1496" s="2" t="s">
        <v>573</v>
      </c>
      <c r="D1496" s="2" t="str">
        <f t="shared" si="22"/>
        <v>Error?</v>
      </c>
    </row>
    <row r="1497" spans="1:4" x14ac:dyDescent="0.2">
      <c r="A1497" s="5">
        <v>1436</v>
      </c>
      <c r="B1497" s="137">
        <f>'Expenditures 15-22'!K268</f>
        <v>31886</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154786</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20189</v>
      </c>
      <c r="C1506" s="2" t="s">
        <v>573</v>
      </c>
      <c r="D1506" s="2" t="str">
        <f t="shared" si="22"/>
        <v>Error?</v>
      </c>
    </row>
    <row r="1507" spans="1:4" x14ac:dyDescent="0.2">
      <c r="A1507" s="10">
        <v>1446</v>
      </c>
      <c r="D1507" s="2" t="str">
        <f t="shared" si="22"/>
        <v>OK</v>
      </c>
    </row>
    <row r="1508" spans="1:4" x14ac:dyDescent="0.2">
      <c r="A1508" s="5">
        <v>1447</v>
      </c>
      <c r="B1508" s="137">
        <f>'Expenditures 15-22'!K277</f>
        <v>20189</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239758</v>
      </c>
      <c r="C1510" s="2" t="s">
        <v>573</v>
      </c>
      <c r="D1510" s="2" t="str">
        <f t="shared" si="22"/>
        <v>Error?</v>
      </c>
    </row>
    <row r="1511" spans="1:4" x14ac:dyDescent="0.2">
      <c r="A1511" s="5">
        <v>1450</v>
      </c>
      <c r="B1511" s="137">
        <f>'Expenditures 15-22'!K280</f>
        <v>128</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376934</v>
      </c>
      <c r="C1517" s="2" t="s">
        <v>573</v>
      </c>
      <c r="D1517" s="2" t="str">
        <f t="shared" si="22"/>
        <v>Error?</v>
      </c>
    </row>
    <row r="1518" spans="1:4" x14ac:dyDescent="0.2">
      <c r="A1518" s="5">
        <v>1457</v>
      </c>
      <c r="B1518" s="137">
        <f>'Expenditures 15-22'!K296</f>
        <v>34100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-2666508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-1079094</v>
      </c>
      <c r="C1630" s="2" t="s">
        <v>573</v>
      </c>
      <c r="D1630" s="2" t="str">
        <f t="shared" si="24"/>
        <v>Error?</v>
      </c>
    </row>
    <row r="1631" spans="1:4" x14ac:dyDescent="0.2">
      <c r="A1631" s="5">
        <v>1570</v>
      </c>
      <c r="B1631" s="137">
        <f>'Acct Summary 7-8'!D79</f>
        <v>253991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287740</v>
      </c>
      <c r="C1644" s="2" t="s">
        <v>573</v>
      </c>
      <c r="D1644" s="2" t="str">
        <f t="shared" si="24"/>
        <v>Error?</v>
      </c>
    </row>
    <row r="1645" spans="1:4" x14ac:dyDescent="0.2">
      <c r="A1645" s="5">
        <v>1584</v>
      </c>
      <c r="B1645" s="137">
        <f>'Acct Summary 7-8'!E79</f>
        <v>788183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720353</v>
      </c>
      <c r="C1658" s="2" t="s">
        <v>573</v>
      </c>
      <c r="D1658" s="2" t="str">
        <f t="shared" si="24"/>
        <v>Error?</v>
      </c>
    </row>
    <row r="1659" spans="1:4" x14ac:dyDescent="0.2">
      <c r="A1659" s="5">
        <v>1598</v>
      </c>
      <c r="B1659" s="137">
        <f>'Acct Summary 7-8'!F79</f>
        <v>94580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-52628</v>
      </c>
      <c r="C1672" s="2" t="s">
        <v>573</v>
      </c>
      <c r="D1672" s="2" t="str">
        <f t="shared" si="25"/>
        <v>Error?</v>
      </c>
    </row>
    <row r="1673" spans="1:4" x14ac:dyDescent="0.2">
      <c r="A1673" s="5">
        <v>1612</v>
      </c>
      <c r="B1673" s="137">
        <f>'Acct Summary 7-8'!G79</f>
        <v>-17177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16923</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4605519</v>
      </c>
      <c r="C1744" s="2" t="s">
        <v>573</v>
      </c>
      <c r="D1744" s="2" t="str">
        <f t="shared" si="26"/>
        <v>Error?</v>
      </c>
    </row>
    <row r="1745" spans="1:5" x14ac:dyDescent="0.2">
      <c r="A1745" s="5">
        <v>1684</v>
      </c>
      <c r="B1745" s="137">
        <f>'Tax Sched 23'!B5</f>
        <v>980762</v>
      </c>
      <c r="C1745" s="2" t="s">
        <v>573</v>
      </c>
      <c r="D1745" s="2" t="str">
        <f t="shared" si="26"/>
        <v>Error?</v>
      </c>
    </row>
    <row r="1746" spans="1:5" x14ac:dyDescent="0.2">
      <c r="A1746" s="5">
        <v>1685</v>
      </c>
      <c r="B1746" s="137">
        <f>'Tax Sched 23'!B6</f>
        <v>1664225</v>
      </c>
      <c r="C1746" s="2" t="s">
        <v>573</v>
      </c>
      <c r="D1746" s="2" t="str">
        <f t="shared" si="26"/>
        <v>Error?</v>
      </c>
    </row>
    <row r="1747" spans="1:5" x14ac:dyDescent="0.2">
      <c r="A1747" s="5">
        <v>1686</v>
      </c>
      <c r="B1747" s="137">
        <f>'Tax Sched 23'!B7</f>
        <v>250667</v>
      </c>
      <c r="C1747" s="2" t="s">
        <v>573</v>
      </c>
      <c r="D1747" s="2" t="str">
        <f t="shared" si="26"/>
        <v>Error?</v>
      </c>
    </row>
    <row r="1748" spans="1:5" x14ac:dyDescent="0.2">
      <c r="A1748" s="5">
        <v>1687</v>
      </c>
      <c r="B1748" s="137">
        <f>'Tax Sched 23'!B8</f>
        <v>243851</v>
      </c>
      <c r="C1748" s="2" t="s">
        <v>573</v>
      </c>
      <c r="D1748" s="2" t="str">
        <f t="shared" si="26"/>
        <v>Error?</v>
      </c>
    </row>
    <row r="1749" spans="1:5" x14ac:dyDescent="0.2">
      <c r="A1749" s="5">
        <v>1688</v>
      </c>
      <c r="B1749" s="137">
        <f>'Tax Sched 23'!B10</f>
        <v>92540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80694</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8068363</v>
      </c>
      <c r="C1759" s="2" t="s">
        <v>573</v>
      </c>
      <c r="D1759" s="2" t="str">
        <f t="shared" si="26"/>
        <v>Error?</v>
      </c>
    </row>
    <row r="1760" spans="1:5" x14ac:dyDescent="0.2">
      <c r="A1760" s="5">
        <v>1699</v>
      </c>
      <c r="B1760" s="137">
        <f>'Tax Sched 23'!D4</f>
        <v>2222734</v>
      </c>
      <c r="C1760" s="2" t="s">
        <v>573</v>
      </c>
      <c r="D1760" s="2" t="str">
        <f t="shared" si="26"/>
        <v>Error?</v>
      </c>
    </row>
    <row r="1761" spans="1:5" x14ac:dyDescent="0.2">
      <c r="A1761" s="5">
        <v>1700</v>
      </c>
      <c r="B1761" s="137">
        <f>'Tax Sched 23'!D5</f>
        <v>466284</v>
      </c>
      <c r="C1761" s="2" t="s">
        <v>573</v>
      </c>
      <c r="D1761" s="2" t="str">
        <f t="shared" si="26"/>
        <v>Error?</v>
      </c>
    </row>
    <row r="1762" spans="1:5" s="8" customFormat="1" x14ac:dyDescent="0.2">
      <c r="A1762" s="5">
        <v>1701</v>
      </c>
      <c r="B1762" s="137">
        <f>'Tax Sched 23'!D6</f>
        <v>787761</v>
      </c>
      <c r="C1762" s="2" t="s">
        <v>573</v>
      </c>
      <c r="D1762" s="2" t="str">
        <f t="shared" si="26"/>
        <v>Error?</v>
      </c>
      <c r="E1762" s="9"/>
    </row>
    <row r="1763" spans="1:5" x14ac:dyDescent="0.2">
      <c r="A1763" s="5">
        <v>1702</v>
      </c>
      <c r="B1763" s="137">
        <f>'Tax Sched 23'!D7</f>
        <v>115086</v>
      </c>
      <c r="C1763" s="2" t="s">
        <v>573</v>
      </c>
      <c r="D1763" s="2" t="str">
        <f t="shared" si="26"/>
        <v>Error?</v>
      </c>
    </row>
    <row r="1764" spans="1:5" x14ac:dyDescent="0.2">
      <c r="A1764" s="5">
        <v>1703</v>
      </c>
      <c r="B1764" s="137">
        <f>'Tax Sched 23'!D8</f>
        <v>74437</v>
      </c>
      <c r="C1764" s="2" t="s">
        <v>573</v>
      </c>
      <c r="D1764" s="2" t="str">
        <f t="shared" si="26"/>
        <v>Error?</v>
      </c>
    </row>
    <row r="1765" spans="1:5" x14ac:dyDescent="0.2">
      <c r="A1765" s="5">
        <v>1704</v>
      </c>
      <c r="B1765" s="137">
        <f>'Tax Sched 23'!D10</f>
        <v>42277</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38878</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3844404</v>
      </c>
      <c r="C1775" s="2" t="s">
        <v>573</v>
      </c>
      <c r="D1775" s="2" t="str">
        <f t="shared" si="26"/>
        <v>Error?</v>
      </c>
    </row>
    <row r="1776" spans="1:5" x14ac:dyDescent="0.2">
      <c r="A1776" s="5">
        <v>1715</v>
      </c>
      <c r="B1776" s="137">
        <f>'Tax Sched 23'!C4</f>
        <v>2382785</v>
      </c>
      <c r="D1776" s="2" t="str">
        <f t="shared" si="26"/>
        <v>Error?</v>
      </c>
    </row>
    <row r="1777" spans="1:4" x14ac:dyDescent="0.2">
      <c r="A1777" s="5">
        <v>1716</v>
      </c>
      <c r="B1777" s="137">
        <f>'Tax Sched 23'!C5</f>
        <v>514478</v>
      </c>
      <c r="D1777" s="2" t="str">
        <f t="shared" si="26"/>
        <v>Error?</v>
      </c>
    </row>
    <row r="1778" spans="1:4" x14ac:dyDescent="0.2">
      <c r="A1778" s="5">
        <v>1717</v>
      </c>
      <c r="B1778" s="137">
        <f>'Tax Sched 23'!C6</f>
        <v>876464</v>
      </c>
      <c r="D1778" s="2" t="str">
        <f t="shared" si="26"/>
        <v>Error?</v>
      </c>
    </row>
    <row r="1779" spans="1:4" x14ac:dyDescent="0.2">
      <c r="A1779" s="5">
        <v>1718</v>
      </c>
      <c r="B1779" s="137">
        <f>'Tax Sched 23'!C7</f>
        <v>135581</v>
      </c>
      <c r="D1779" s="2" t="str">
        <f t="shared" si="26"/>
        <v>Error?</v>
      </c>
    </row>
    <row r="1780" spans="1:4" x14ac:dyDescent="0.2">
      <c r="A1780" s="5">
        <v>1719</v>
      </c>
      <c r="B1780" s="137">
        <f>'Tax Sched 23'!C8</f>
        <v>169414</v>
      </c>
      <c r="D1780" s="2" t="str">
        <f t="shared" si="26"/>
        <v>Error?</v>
      </c>
    </row>
    <row r="1781" spans="1:4" x14ac:dyDescent="0.2">
      <c r="A1781" s="5">
        <v>1720</v>
      </c>
      <c r="B1781" s="137">
        <f>'Tax Sched 23'!C10</f>
        <v>50263</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41816</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4223959</v>
      </c>
      <c r="C1791" s="2" t="s">
        <v>573</v>
      </c>
      <c r="D1791" s="2" t="str">
        <f t="shared" ref="D1791:D1854" si="27">IF(ISBLANK(B1791),"OK",IF(A1791-B1791=0,"OK","Error?"))</f>
        <v>Error?</v>
      </c>
    </row>
    <row r="1792" spans="1:4" x14ac:dyDescent="0.2">
      <c r="A1792" s="5">
        <v>1731</v>
      </c>
      <c r="B1792" s="137">
        <f>'Tax Sched 23'!F4</f>
        <v>2431124</v>
      </c>
      <c r="C1792" s="2" t="s">
        <v>573</v>
      </c>
      <c r="D1792" s="2" t="str">
        <f t="shared" si="27"/>
        <v>Error?</v>
      </c>
    </row>
    <row r="1793" spans="1:4" x14ac:dyDescent="0.2">
      <c r="A1793" s="5">
        <v>1732</v>
      </c>
      <c r="B1793" s="137">
        <f>'Tax Sched 23'!F5</f>
        <v>524636</v>
      </c>
      <c r="C1793" s="2" t="s">
        <v>573</v>
      </c>
      <c r="D1793" s="2" t="str">
        <f t="shared" si="27"/>
        <v>Error?</v>
      </c>
    </row>
    <row r="1794" spans="1:4" x14ac:dyDescent="0.2">
      <c r="A1794" s="5">
        <v>1733</v>
      </c>
      <c r="B1794" s="137">
        <f>'Tax Sched 23'!F6</f>
        <v>893613</v>
      </c>
      <c r="C1794" s="2" t="s">
        <v>573</v>
      </c>
      <c r="D1794" s="2" t="str">
        <f t="shared" si="27"/>
        <v>Error?</v>
      </c>
    </row>
    <row r="1795" spans="1:4" x14ac:dyDescent="0.2">
      <c r="A1795" s="5">
        <v>1734</v>
      </c>
      <c r="B1795" s="137">
        <f>'Tax Sched 23'!F7</f>
        <v>138103</v>
      </c>
      <c r="C1795" s="2" t="s">
        <v>573</v>
      </c>
      <c r="D1795" s="2" t="str">
        <f t="shared" si="27"/>
        <v>Error?</v>
      </c>
    </row>
    <row r="1796" spans="1:4" x14ac:dyDescent="0.2">
      <c r="A1796" s="5">
        <v>1735</v>
      </c>
      <c r="B1796" s="137">
        <f>'Tax Sched 23'!F8</f>
        <v>99437</v>
      </c>
      <c r="C1796" s="2" t="s">
        <v>573</v>
      </c>
      <c r="D1796" s="2" t="str">
        <f t="shared" si="27"/>
        <v>Error?</v>
      </c>
    </row>
    <row r="1797" spans="1:4" x14ac:dyDescent="0.2">
      <c r="A1797" s="5">
        <v>1736</v>
      </c>
      <c r="B1797" s="137">
        <f>'Tax Sched 23'!F10</f>
        <v>51078</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42383</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4307775</v>
      </c>
      <c r="C1807" s="2" t="s">
        <v>573</v>
      </c>
      <c r="D1807" s="2" t="str">
        <f t="shared" si="27"/>
        <v>Error?</v>
      </c>
    </row>
    <row r="1808" spans="1:4" x14ac:dyDescent="0.2">
      <c r="A1808" s="5">
        <v>1747</v>
      </c>
      <c r="B1808" s="137">
        <f>'Tax Sched 23'!E4</f>
        <v>4813909</v>
      </c>
      <c r="D1808" s="2" t="str">
        <f t="shared" si="27"/>
        <v>Error?</v>
      </c>
    </row>
    <row r="1809" spans="1:4" x14ac:dyDescent="0.2">
      <c r="A1809" s="5">
        <v>1748</v>
      </c>
      <c r="B1809" s="137">
        <f>'Tax Sched 23'!E5</f>
        <v>1039114</v>
      </c>
      <c r="D1809" s="2" t="str">
        <f t="shared" si="27"/>
        <v>Error?</v>
      </c>
    </row>
    <row r="1810" spans="1:4" x14ac:dyDescent="0.2">
      <c r="A1810" s="5">
        <v>1749</v>
      </c>
      <c r="B1810" s="137">
        <f>'Tax Sched 23'!E6</f>
        <v>1770077</v>
      </c>
      <c r="D1810" s="2" t="str">
        <f t="shared" si="27"/>
        <v>Error?</v>
      </c>
    </row>
    <row r="1811" spans="1:4" x14ac:dyDescent="0.2">
      <c r="A1811" s="5">
        <v>1750</v>
      </c>
      <c r="B1811" s="137">
        <f>'Tax Sched 23'!E7</f>
        <v>273684</v>
      </c>
      <c r="D1811" s="2" t="str">
        <f t="shared" si="27"/>
        <v>Error?</v>
      </c>
    </row>
    <row r="1812" spans="1:4" x14ac:dyDescent="0.2">
      <c r="A1812" s="5">
        <v>1751</v>
      </c>
      <c r="B1812" s="137">
        <f>'Tax Sched 23'!E8</f>
        <v>268851</v>
      </c>
      <c r="D1812" s="2" t="str">
        <f t="shared" si="27"/>
        <v>Error?</v>
      </c>
    </row>
    <row r="1813" spans="1:4" x14ac:dyDescent="0.2">
      <c r="A1813" s="5">
        <v>1752</v>
      </c>
      <c r="B1813" s="137">
        <f>'Tax Sched 23'!E10</f>
        <v>101341</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84199</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8531734</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4494788</v>
      </c>
      <c r="C1939" s="2" t="s">
        <v>573</v>
      </c>
      <c r="D1939" s="2" t="str">
        <f t="shared" si="29"/>
        <v>Error?</v>
      </c>
    </row>
    <row r="1940" spans="1:5" x14ac:dyDescent="0.2">
      <c r="A1940" s="5">
        <v>1879</v>
      </c>
      <c r="B1940" s="137">
        <f>'Short-Term Long-Term Debt 24'!F49</f>
        <v>2560000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80694</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80694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80694</v>
      </c>
      <c r="D1980" s="2" t="str">
        <f t="shared" si="29"/>
        <v>Error?</v>
      </c>
    </row>
    <row r="1981" spans="1:5" x14ac:dyDescent="0.2">
      <c r="A1981" s="10">
        <v>1920</v>
      </c>
      <c r="D1981" s="2" t="str">
        <f t="shared" si="29"/>
        <v>OK</v>
      </c>
      <c r="E1981" s="2" t="s">
        <v>135</v>
      </c>
    </row>
    <row r="1982" spans="1:5" x14ac:dyDescent="0.2">
      <c r="A1982" s="5">
        <v>1921</v>
      </c>
      <c r="B1982" s="137">
        <f>'Rest Tax Levies-Tort Im 25'!H23</f>
        <v>80694</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57292</v>
      </c>
      <c r="D2008" s="2" t="str">
        <f t="shared" si="30"/>
        <v>Error?</v>
      </c>
    </row>
    <row r="2009" spans="1:4" x14ac:dyDescent="0.2">
      <c r="A2009" s="5">
        <v>1948</v>
      </c>
      <c r="B2009" s="137">
        <f>'Cap Outlay Deprec 26'!C8</f>
        <v>17379329</v>
      </c>
      <c r="D2009" s="2" t="str">
        <f t="shared" si="30"/>
        <v>Error?</v>
      </c>
    </row>
    <row r="2010" spans="1:4" x14ac:dyDescent="0.2">
      <c r="A2010" s="5">
        <v>1949</v>
      </c>
      <c r="B2010" s="137">
        <f>'Cap Outlay Deprec 26'!C10</f>
        <v>398913</v>
      </c>
      <c r="D2010" s="2" t="str">
        <f t="shared" si="30"/>
        <v>Error?</v>
      </c>
    </row>
    <row r="2011" spans="1:4" x14ac:dyDescent="0.2">
      <c r="A2011" s="5">
        <v>1950</v>
      </c>
      <c r="B2011" s="137">
        <f>'Cap Outlay Deprec 26'!C12</f>
        <v>1964760</v>
      </c>
      <c r="D2011" s="2" t="str">
        <f t="shared" si="30"/>
        <v>Error?</v>
      </c>
    </row>
    <row r="2012" spans="1:4" x14ac:dyDescent="0.2">
      <c r="A2012" s="5">
        <v>1951</v>
      </c>
      <c r="B2012" s="137">
        <f>'Cap Outlay Deprec 26'!C13</f>
        <v>996884</v>
      </c>
      <c r="D2012" s="2" t="str">
        <f t="shared" si="30"/>
        <v>Error?</v>
      </c>
    </row>
    <row r="2013" spans="1:4" x14ac:dyDescent="0.2">
      <c r="A2013" s="5">
        <v>1952</v>
      </c>
      <c r="B2013" s="137">
        <f>'Cap Outlay Deprec 26'!C16</f>
        <v>20797178</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10765</v>
      </c>
      <c r="D2016" s="2" t="str">
        <f t="shared" si="30"/>
        <v>Error?</v>
      </c>
    </row>
    <row r="2017" spans="1:4" x14ac:dyDescent="0.2">
      <c r="A2017" s="5">
        <v>1956</v>
      </c>
      <c r="B2017" s="137">
        <f>'Cap Outlay Deprec 26'!D12</f>
        <v>92130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123882</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57292</v>
      </c>
      <c r="C2026" s="2" t="s">
        <v>573</v>
      </c>
      <c r="D2026" s="2" t="str">
        <f t="shared" si="30"/>
        <v>Error?</v>
      </c>
    </row>
    <row r="2027" spans="1:4" x14ac:dyDescent="0.2">
      <c r="A2027" s="5">
        <v>1966</v>
      </c>
      <c r="B2027" s="137">
        <f>'Cap Outlay Deprec 26'!F8</f>
        <v>17379329</v>
      </c>
      <c r="C2027" s="2" t="s">
        <v>573</v>
      </c>
      <c r="D2027" s="2" t="str">
        <f t="shared" si="30"/>
        <v>Error?</v>
      </c>
    </row>
    <row r="2028" spans="1:4" x14ac:dyDescent="0.2">
      <c r="A2028" s="5">
        <v>1967</v>
      </c>
      <c r="B2028" s="137">
        <f>'Cap Outlay Deprec 26'!F10</f>
        <v>409678</v>
      </c>
      <c r="C2028" s="2" t="s">
        <v>573</v>
      </c>
      <c r="D2028" s="2" t="str">
        <f t="shared" si="30"/>
        <v>Error?</v>
      </c>
    </row>
    <row r="2029" spans="1:4" x14ac:dyDescent="0.2">
      <c r="A2029" s="5">
        <v>1968</v>
      </c>
      <c r="B2029" s="137">
        <f>'Cap Outlay Deprec 26'!F12</f>
        <v>2056890</v>
      </c>
      <c r="C2029" s="2" t="s">
        <v>573</v>
      </c>
      <c r="D2029" s="2" t="str">
        <f t="shared" si="30"/>
        <v>Error?</v>
      </c>
    </row>
    <row r="2030" spans="1:4" x14ac:dyDescent="0.2">
      <c r="A2030" s="5">
        <v>1969</v>
      </c>
      <c r="B2030" s="137">
        <f>'Cap Outlay Deprec 26'!F13</f>
        <v>996884</v>
      </c>
      <c r="C2030" s="2" t="s">
        <v>573</v>
      </c>
      <c r="D2030" s="2" t="str">
        <f t="shared" si="30"/>
        <v>Error?</v>
      </c>
    </row>
    <row r="2031" spans="1:4" x14ac:dyDescent="0.2">
      <c r="A2031" s="5">
        <v>1970</v>
      </c>
      <c r="B2031" s="137">
        <f>'Cap Outlay Deprec 26'!F16</f>
        <v>20921060</v>
      </c>
      <c r="C2031" s="2" t="s">
        <v>573</v>
      </c>
      <c r="D2031" s="2" t="str">
        <f t="shared" si="30"/>
        <v>Error?</v>
      </c>
    </row>
    <row r="2032" spans="1:4" x14ac:dyDescent="0.2">
      <c r="A2032" s="10">
        <v>1971</v>
      </c>
      <c r="D2032" s="2" t="str">
        <f t="shared" si="30"/>
        <v>OK</v>
      </c>
    </row>
    <row r="2033" spans="1:4" x14ac:dyDescent="0.2">
      <c r="A2033" s="5">
        <v>1972</v>
      </c>
      <c r="B2033" s="137">
        <f>'Cap Outlay Deprec 26'!H8</f>
        <v>8194369</v>
      </c>
      <c r="D2033" s="2" t="str">
        <f t="shared" si="30"/>
        <v>Error?</v>
      </c>
    </row>
    <row r="2034" spans="1:4" x14ac:dyDescent="0.2">
      <c r="A2034" s="5">
        <v>1973</v>
      </c>
      <c r="B2034" s="137">
        <f>'Cap Outlay Deprec 26'!H10</f>
        <v>356338</v>
      </c>
      <c r="D2034" s="2" t="str">
        <f t="shared" si="30"/>
        <v>Error?</v>
      </c>
    </row>
    <row r="2035" spans="1:4" x14ac:dyDescent="0.2">
      <c r="A2035" s="5">
        <v>1974</v>
      </c>
      <c r="B2035" s="137">
        <f>'Cap Outlay Deprec 26'!H12</f>
        <v>1560989</v>
      </c>
      <c r="D2035" s="2" t="str">
        <f t="shared" si="30"/>
        <v>Error?</v>
      </c>
    </row>
    <row r="2036" spans="1:4" x14ac:dyDescent="0.2">
      <c r="A2036" s="5">
        <v>1975</v>
      </c>
      <c r="B2036" s="137">
        <f>'Cap Outlay Deprec 26'!H13</f>
        <v>615683</v>
      </c>
      <c r="D2036" s="2" t="str">
        <f t="shared" si="30"/>
        <v>Error?</v>
      </c>
    </row>
    <row r="2037" spans="1:4" x14ac:dyDescent="0.2">
      <c r="A2037" s="5">
        <v>1976</v>
      </c>
      <c r="B2037" s="137">
        <f>'Cap Outlay Deprec 26'!H16</f>
        <v>10727379</v>
      </c>
      <c r="C2037" s="2" t="s">
        <v>573</v>
      </c>
      <c r="D2037" s="2" t="str">
        <f t="shared" si="30"/>
        <v>Error?</v>
      </c>
    </row>
    <row r="2038" spans="1:4" x14ac:dyDescent="0.2">
      <c r="A2038" s="10">
        <v>1977</v>
      </c>
      <c r="D2038" s="2" t="str">
        <f t="shared" si="30"/>
        <v>OK</v>
      </c>
    </row>
    <row r="2039" spans="1:4" x14ac:dyDescent="0.2">
      <c r="A2039" s="5">
        <v>1978</v>
      </c>
      <c r="B2039" s="137">
        <f>'Cap Outlay Deprec 26'!I8</f>
        <v>409472</v>
      </c>
      <c r="D2039" s="2" t="str">
        <f t="shared" si="30"/>
        <v>Error?</v>
      </c>
    </row>
    <row r="2040" spans="1:4" x14ac:dyDescent="0.2">
      <c r="A2040" s="5">
        <v>1979</v>
      </c>
      <c r="B2040" s="137">
        <f>'Cap Outlay Deprec 26'!I10</f>
        <v>8984</v>
      </c>
      <c r="D2040" s="2" t="str">
        <f t="shared" si="30"/>
        <v>Error?</v>
      </c>
    </row>
    <row r="2041" spans="1:4" x14ac:dyDescent="0.2">
      <c r="A2041" s="5">
        <v>1980</v>
      </c>
      <c r="B2041" s="137">
        <f>'Cap Outlay Deprec 26'!I12</f>
        <v>78424</v>
      </c>
      <c r="D2041" s="2" t="str">
        <f t="shared" si="30"/>
        <v>Error?</v>
      </c>
    </row>
    <row r="2042" spans="1:4" x14ac:dyDescent="0.2">
      <c r="A2042" s="5">
        <v>1981</v>
      </c>
      <c r="B2042" s="137">
        <f>'Cap Outlay Deprec 26'!I13</f>
        <v>59071</v>
      </c>
      <c r="D2042" s="2" t="str">
        <f t="shared" si="30"/>
        <v>Error?</v>
      </c>
    </row>
    <row r="2043" spans="1:4" x14ac:dyDescent="0.2">
      <c r="A2043" s="5">
        <v>1982</v>
      </c>
      <c r="B2043" s="137">
        <f>'Cap Outlay Deprec 26'!I16</f>
        <v>555951</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8603841</v>
      </c>
      <c r="C2051" s="2" t="s">
        <v>573</v>
      </c>
      <c r="D2051" s="2" t="str">
        <f t="shared" si="31"/>
        <v>Error?</v>
      </c>
    </row>
    <row r="2052" spans="1:4" x14ac:dyDescent="0.2">
      <c r="A2052" s="5">
        <v>1991</v>
      </c>
      <c r="B2052" s="137">
        <f>'Cap Outlay Deprec 26'!K10</f>
        <v>365322</v>
      </c>
      <c r="C2052" s="2" t="s">
        <v>573</v>
      </c>
      <c r="D2052" s="2" t="str">
        <f t="shared" si="31"/>
        <v>Error?</v>
      </c>
    </row>
    <row r="2053" spans="1:4" x14ac:dyDescent="0.2">
      <c r="A2053" s="5">
        <v>1992</v>
      </c>
      <c r="B2053" s="137">
        <f>'Cap Outlay Deprec 26'!K12</f>
        <v>1639413</v>
      </c>
      <c r="C2053" s="2" t="s">
        <v>573</v>
      </c>
      <c r="D2053" s="2" t="str">
        <f t="shared" si="31"/>
        <v>Error?</v>
      </c>
    </row>
    <row r="2054" spans="1:4" x14ac:dyDescent="0.2">
      <c r="A2054" s="5">
        <v>1993</v>
      </c>
      <c r="B2054" s="137">
        <f>'Cap Outlay Deprec 26'!K13</f>
        <v>674754</v>
      </c>
      <c r="C2054" s="2" t="s">
        <v>573</v>
      </c>
      <c r="D2054" s="2" t="str">
        <f t="shared" si="31"/>
        <v>Error?</v>
      </c>
    </row>
    <row r="2055" spans="1:4" x14ac:dyDescent="0.2">
      <c r="A2055" s="5">
        <v>1994</v>
      </c>
      <c r="B2055" s="137">
        <f>'Cap Outlay Deprec 26'!K16</f>
        <v>11283330</v>
      </c>
      <c r="C2055" s="2" t="s">
        <v>573</v>
      </c>
      <c r="D2055" s="2" t="str">
        <f t="shared" si="31"/>
        <v>Error?</v>
      </c>
    </row>
    <row r="2056" spans="1:4" x14ac:dyDescent="0.2">
      <c r="A2056" s="5">
        <v>1995</v>
      </c>
      <c r="B2056" s="137">
        <f>'Cap Outlay Deprec 26'!L5</f>
        <v>57292</v>
      </c>
      <c r="C2056" s="2" t="s">
        <v>573</v>
      </c>
      <c r="D2056" s="2" t="str">
        <f t="shared" si="31"/>
        <v>Error?</v>
      </c>
    </row>
    <row r="2057" spans="1:4" x14ac:dyDescent="0.2">
      <c r="A2057" s="5">
        <v>1996</v>
      </c>
      <c r="B2057" s="137">
        <f>'Cap Outlay Deprec 26'!L8</f>
        <v>8775488</v>
      </c>
      <c r="C2057" s="2" t="s">
        <v>573</v>
      </c>
      <c r="D2057" s="2" t="str">
        <f t="shared" si="31"/>
        <v>Error?</v>
      </c>
    </row>
    <row r="2058" spans="1:4" x14ac:dyDescent="0.2">
      <c r="A2058" s="5">
        <v>1997</v>
      </c>
      <c r="B2058" s="137">
        <f>'Cap Outlay Deprec 26'!L10</f>
        <v>44356</v>
      </c>
      <c r="C2058" s="2" t="s">
        <v>573</v>
      </c>
      <c r="D2058" s="2" t="str">
        <f t="shared" si="31"/>
        <v>Error?</v>
      </c>
    </row>
    <row r="2059" spans="1:4" x14ac:dyDescent="0.2">
      <c r="A2059" s="5">
        <v>1998</v>
      </c>
      <c r="B2059" s="137">
        <f>'Cap Outlay Deprec 26'!L12</f>
        <v>417477</v>
      </c>
      <c r="C2059" s="2" t="s">
        <v>573</v>
      </c>
      <c r="D2059" s="2" t="str">
        <f t="shared" si="31"/>
        <v>Error?</v>
      </c>
    </row>
    <row r="2060" spans="1:4" x14ac:dyDescent="0.2">
      <c r="A2060" s="5">
        <v>1999</v>
      </c>
      <c r="B2060" s="137">
        <f>'Cap Outlay Deprec 26'!L13</f>
        <v>322130</v>
      </c>
      <c r="C2060" s="2" t="s">
        <v>573</v>
      </c>
      <c r="D2060" s="2" t="str">
        <f t="shared" si="31"/>
        <v>Error?</v>
      </c>
    </row>
    <row r="2061" spans="1:4" x14ac:dyDescent="0.2">
      <c r="A2061" s="5">
        <v>2000</v>
      </c>
      <c r="B2061" s="137">
        <f>'Cap Outlay Deprec 26'!L16</f>
        <v>9637730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666929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667569</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2600000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5096432</v>
      </c>
      <c r="C2551" s="2" t="s">
        <v>573</v>
      </c>
      <c r="D2551" s="2" t="str">
        <f t="shared" si="38"/>
        <v>Error?</v>
      </c>
    </row>
    <row r="2552" spans="1:4" x14ac:dyDescent="0.2">
      <c r="A2552" s="10">
        <v>2491</v>
      </c>
      <c r="D2552" s="2" t="str">
        <f t="shared" si="38"/>
        <v>OK</v>
      </c>
    </row>
    <row r="2553" spans="1:4" x14ac:dyDescent="0.2">
      <c r="A2553" s="5">
        <v>2492</v>
      </c>
      <c r="B2553" s="137">
        <f>'Acct Summary 7-8'!C6</f>
        <v>1590497</v>
      </c>
      <c r="C2553" s="2" t="s">
        <v>573</v>
      </c>
      <c r="D2553" s="2" t="str">
        <f t="shared" si="38"/>
        <v>Error?</v>
      </c>
    </row>
    <row r="2554" spans="1:4" x14ac:dyDescent="0.2">
      <c r="A2554" s="5">
        <v>2493</v>
      </c>
      <c r="B2554" s="137">
        <f>'Acct Summary 7-8'!C7</f>
        <v>826776</v>
      </c>
      <c r="C2554" s="2" t="s">
        <v>573</v>
      </c>
      <c r="D2554" s="2" t="str">
        <f t="shared" si="38"/>
        <v>Error?</v>
      </c>
    </row>
    <row r="2555" spans="1:4" x14ac:dyDescent="0.2">
      <c r="A2555" s="5">
        <v>2494</v>
      </c>
      <c r="B2555" s="137">
        <f>'Acct Summary 7-8'!C8</f>
        <v>7513705</v>
      </c>
      <c r="C2555" s="2" t="s">
        <v>573</v>
      </c>
      <c r="D2555" s="2" t="str">
        <f t="shared" si="38"/>
        <v>Error?</v>
      </c>
    </row>
    <row r="2556" spans="1:4" x14ac:dyDescent="0.2">
      <c r="A2556" s="5">
        <v>2495</v>
      </c>
      <c r="B2556" s="137">
        <f>'Acct Summary 7-8'!C12</f>
        <v>4656397</v>
      </c>
      <c r="C2556" s="2" t="s">
        <v>573</v>
      </c>
      <c r="D2556" s="2" t="str">
        <f t="shared" si="38"/>
        <v>Error?</v>
      </c>
    </row>
    <row r="2557" spans="1:4" x14ac:dyDescent="0.2">
      <c r="A2557" s="5">
        <v>2496</v>
      </c>
      <c r="B2557" s="137">
        <f>'Acct Summary 7-8'!C13</f>
        <v>3197122</v>
      </c>
      <c r="C2557" s="2" t="s">
        <v>573</v>
      </c>
      <c r="D2557" s="2" t="str">
        <f t="shared" si="38"/>
        <v>Error?</v>
      </c>
    </row>
    <row r="2558" spans="1:4" x14ac:dyDescent="0.2">
      <c r="A2558" s="5">
        <v>2497</v>
      </c>
      <c r="B2558" s="137">
        <f>'Acct Summary 7-8'!C14</f>
        <v>5203</v>
      </c>
      <c r="C2558" s="2" t="s">
        <v>573</v>
      </c>
      <c r="D2558" s="2" t="str">
        <f t="shared" si="38"/>
        <v>Error?</v>
      </c>
    </row>
    <row r="2559" spans="1:4" x14ac:dyDescent="0.2">
      <c r="A2559" s="5">
        <v>2498</v>
      </c>
      <c r="B2559" s="137">
        <f>'Acct Summary 7-8'!C15</f>
        <v>667569</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8526291</v>
      </c>
      <c r="C2561" s="2" t="s">
        <v>573</v>
      </c>
      <c r="D2561" s="2" t="str">
        <f t="shared" si="39"/>
        <v>Error?</v>
      </c>
    </row>
    <row r="2562" spans="1:4" x14ac:dyDescent="0.2">
      <c r="A2562" s="5">
        <v>2501</v>
      </c>
      <c r="B2562" s="137">
        <f>'Acct Summary 7-8'!C20</f>
        <v>-1012586</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993419</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993419</v>
      </c>
      <c r="C2568" s="2" t="s">
        <v>573</v>
      </c>
      <c r="D2568" s="2" t="str">
        <f t="shared" si="39"/>
        <v>Error?</v>
      </c>
    </row>
    <row r="2569" spans="1:4" x14ac:dyDescent="0.2">
      <c r="A2569" s="5">
        <v>2508</v>
      </c>
      <c r="B2569" s="137">
        <f>'Acct Summary 7-8'!D13</f>
        <v>959670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959670</v>
      </c>
      <c r="C2573" s="2" t="s">
        <v>573</v>
      </c>
      <c r="D2573" s="2" t="str">
        <f t="shared" si="39"/>
        <v>Error?</v>
      </c>
    </row>
    <row r="2574" spans="1:4" x14ac:dyDescent="0.2">
      <c r="A2574" s="5">
        <v>2513</v>
      </c>
      <c r="B2574" s="137">
        <f>'Acct Summary 7-8'!D20</f>
        <v>33749</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259659</v>
      </c>
      <c r="C2591" s="2" t="s">
        <v>573</v>
      </c>
      <c r="D2591" s="2" t="str">
        <f t="shared" si="39"/>
        <v>Error?</v>
      </c>
    </row>
    <row r="2592" spans="1:4" x14ac:dyDescent="0.2">
      <c r="A2592" s="10">
        <v>2531</v>
      </c>
      <c r="D2592" s="2" t="str">
        <f t="shared" si="39"/>
        <v>OK</v>
      </c>
    </row>
    <row r="2593" spans="1:4" x14ac:dyDescent="0.2">
      <c r="A2593" s="5">
        <v>2532</v>
      </c>
      <c r="B2593" s="137">
        <f>'Acct Summary 7-8'!F6</f>
        <v>325698</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585357</v>
      </c>
      <c r="C2595" s="2" t="s">
        <v>573</v>
      </c>
      <c r="D2595" s="2" t="str">
        <f t="shared" si="39"/>
        <v>Error?</v>
      </c>
    </row>
    <row r="2596" spans="1:4" x14ac:dyDescent="0.2">
      <c r="A2596" s="5">
        <v>2535</v>
      </c>
      <c r="B2596" s="137">
        <f>'Acct Summary 7-8'!F13</f>
        <v>944565</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944565</v>
      </c>
      <c r="C2600" s="2" t="s">
        <v>573</v>
      </c>
      <c r="D2600" s="2" t="str">
        <f t="shared" si="39"/>
        <v>Error?</v>
      </c>
    </row>
    <row r="2601" spans="1:4" x14ac:dyDescent="0.2">
      <c r="A2601" s="5">
        <v>2540</v>
      </c>
      <c r="B2601" s="137">
        <f>'Acct Summary 7-8'!F20</f>
        <v>-359208</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411034</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411034</v>
      </c>
      <c r="C2606" s="2" t="s">
        <v>573</v>
      </c>
      <c r="D2606" s="2" t="str">
        <f t="shared" si="39"/>
        <v>Error?</v>
      </c>
    </row>
    <row r="2607" spans="1:4" x14ac:dyDescent="0.2">
      <c r="A2607" s="5">
        <v>2546</v>
      </c>
      <c r="B2607" s="137">
        <f>'Acct Summary 7-8'!G12</f>
        <v>137048</v>
      </c>
      <c r="C2607" s="2" t="s">
        <v>573</v>
      </c>
      <c r="D2607" s="2" t="str">
        <f t="shared" si="39"/>
        <v>Error?</v>
      </c>
    </row>
    <row r="2608" spans="1:4" x14ac:dyDescent="0.2">
      <c r="A2608" s="5">
        <v>2547</v>
      </c>
      <c r="B2608" s="137">
        <f>'Acct Summary 7-8'!G13</f>
        <v>239758</v>
      </c>
      <c r="C2608" s="2" t="s">
        <v>573</v>
      </c>
      <c r="D2608" s="2" t="str">
        <f t="shared" si="39"/>
        <v>Error?</v>
      </c>
    </row>
    <row r="2609" spans="1:4" x14ac:dyDescent="0.2">
      <c r="A2609" s="5">
        <v>2548</v>
      </c>
      <c r="B2609" s="137">
        <f>'Acct Summary 7-8'!G14</f>
        <v>128</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376934</v>
      </c>
      <c r="C2612" s="2" t="s">
        <v>573</v>
      </c>
      <c r="D2612" s="2" t="str">
        <f t="shared" si="39"/>
        <v>Error?</v>
      </c>
    </row>
    <row r="2613" spans="1:4" x14ac:dyDescent="0.2">
      <c r="A2613" s="5">
        <v>2552</v>
      </c>
      <c r="B2613" s="137">
        <f>'Acct Summary 7-8'!G20</f>
        <v>34100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1664225</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1664225</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1813486</v>
      </c>
      <c r="C2634" s="2" t="s">
        <v>573</v>
      </c>
      <c r="D2634" s="2" t="str">
        <f t="shared" si="40"/>
        <v>Error?</v>
      </c>
    </row>
    <row r="2635" spans="1:4" x14ac:dyDescent="0.2">
      <c r="A2635" s="5">
        <v>2574</v>
      </c>
      <c r="B2635" s="137">
        <f>'Acct Summary 7-8'!E17</f>
        <v>1813486</v>
      </c>
      <c r="C2635" s="2" t="s">
        <v>573</v>
      </c>
      <c r="D2635" s="2" t="str">
        <f t="shared" si="40"/>
        <v>Error?</v>
      </c>
    </row>
    <row r="2636" spans="1:4" x14ac:dyDescent="0.2">
      <c r="A2636" s="5">
        <v>2575</v>
      </c>
      <c r="B2636" s="137">
        <f>'Acct Summary 7-8'!E20</f>
        <v>-149261</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98216</v>
      </c>
      <c r="D2718" s="2" t="str">
        <f t="shared" si="41"/>
        <v>Error?</v>
      </c>
    </row>
    <row r="2719" spans="1:4" x14ac:dyDescent="0.2">
      <c r="A2719" s="5">
        <v>2658</v>
      </c>
      <c r="B2719" s="137">
        <f>'Expenditures 15-22'!D51</f>
        <v>15694</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113910</v>
      </c>
      <c r="C2724" s="2" t="s">
        <v>573</v>
      </c>
      <c r="D2724" s="2" t="str">
        <f t="shared" si="41"/>
        <v>Error?</v>
      </c>
    </row>
    <row r="2725" spans="1:4" x14ac:dyDescent="0.2">
      <c r="A2725" s="5">
        <v>2664</v>
      </c>
      <c r="B2725" s="137">
        <f>'Expenditures 15-22'!D247</f>
        <v>1424</v>
      </c>
      <c r="D2725" s="2" t="str">
        <f t="shared" si="41"/>
        <v>Error?</v>
      </c>
    </row>
    <row r="2726" spans="1:4" x14ac:dyDescent="0.2">
      <c r="A2726" s="5">
        <v>2665</v>
      </c>
      <c r="B2726" s="137">
        <f>'Expenditures 15-22'!K247</f>
        <v>1424</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640</v>
      </c>
      <c r="C2789" s="2" t="s">
        <v>573</v>
      </c>
      <c r="D2789" s="2" t="str">
        <f t="shared" si="42"/>
        <v>Error?</v>
      </c>
    </row>
    <row r="2790" spans="1:4" x14ac:dyDescent="0.2">
      <c r="A2790" s="5">
        <v>2729</v>
      </c>
      <c r="B2790" s="137">
        <f>'Expenditures 15-22'!E102</f>
        <v>640</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20987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3850894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47836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3850894</v>
      </c>
      <c r="D2912" s="2" t="str">
        <f t="shared" si="44"/>
        <v>Error?</v>
      </c>
    </row>
    <row r="2913" spans="1:4" x14ac:dyDescent="0.2">
      <c r="A2913" s="5">
        <v>2852</v>
      </c>
      <c r="B2913" s="137">
        <f>'Assets-Liab 5-6'!I41</f>
        <v>3850894</v>
      </c>
      <c r="C2913" s="2" t="s">
        <v>573</v>
      </c>
      <c r="D2913" s="2" t="str">
        <f t="shared" si="44"/>
        <v>Error?</v>
      </c>
    </row>
    <row r="2914" spans="1:4" x14ac:dyDescent="0.2">
      <c r="A2914" s="5">
        <v>2853</v>
      </c>
      <c r="B2914" s="137">
        <f>'Assets-Liab 5-6'!L33</f>
        <v>47836</v>
      </c>
      <c r="D2914" s="2" t="str">
        <f t="shared" si="44"/>
        <v>Error?</v>
      </c>
    </row>
    <row r="2915" spans="1:4" x14ac:dyDescent="0.2">
      <c r="A2915" s="10">
        <v>2854</v>
      </c>
      <c r="D2915" s="2" t="str">
        <f t="shared" si="44"/>
        <v>OK</v>
      </c>
    </row>
    <row r="2916" spans="1:4" x14ac:dyDescent="0.2">
      <c r="A2916" s="5">
        <v>2855</v>
      </c>
      <c r="B2916" s="137">
        <f>'Assets-Liab 5-6'!L34</f>
        <v>47836</v>
      </c>
      <c r="C2916" s="2" t="s">
        <v>573</v>
      </c>
      <c r="D2916" s="2" t="str">
        <f t="shared" si="44"/>
        <v>Error?</v>
      </c>
    </row>
    <row r="2917" spans="1:4" x14ac:dyDescent="0.2">
      <c r="A2917" s="5">
        <v>2856</v>
      </c>
      <c r="B2917" s="137">
        <f>'Assets-Liab 5-6'!L41</f>
        <v>47836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560</v>
      </c>
      <c r="D2949" s="2" t="str">
        <f t="shared" si="45"/>
        <v>Error?</v>
      </c>
    </row>
    <row r="2950" spans="1:4" x14ac:dyDescent="0.2">
      <c r="A2950" s="5">
        <v>2889</v>
      </c>
      <c r="B2950" s="137">
        <f>'Expenditures 15-22'!E79</f>
        <v>80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666929</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560</v>
      </c>
      <c r="C2973" s="2" t="s">
        <v>573</v>
      </c>
      <c r="D2973" s="2" t="str">
        <f t="shared" si="45"/>
        <v>Error?</v>
      </c>
    </row>
    <row r="2974" spans="1:4" x14ac:dyDescent="0.2">
      <c r="A2974" s="5">
        <v>2913</v>
      </c>
      <c r="B2974" s="137">
        <f>'Expenditures 15-22'!K79</f>
        <v>667009</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109650</v>
      </c>
      <c r="D3055" s="2" t="str">
        <f t="shared" si="46"/>
        <v>Error?</v>
      </c>
    </row>
    <row r="3056" spans="1:4" x14ac:dyDescent="0.2">
      <c r="A3056" s="5">
        <v>2995</v>
      </c>
      <c r="B3056" s="137">
        <f>'Expenditures 15-22'!D10</f>
        <v>24050</v>
      </c>
      <c r="D3056" s="2" t="str">
        <f t="shared" si="46"/>
        <v>Error?</v>
      </c>
    </row>
    <row r="3057" spans="1:4" x14ac:dyDescent="0.2">
      <c r="A3057" s="5">
        <v>2996</v>
      </c>
      <c r="B3057" s="137">
        <f>'Expenditures 15-22'!E10</f>
        <v>4888</v>
      </c>
      <c r="D3057" s="2" t="str">
        <f t="shared" si="46"/>
        <v>Error?</v>
      </c>
    </row>
    <row r="3058" spans="1:4" x14ac:dyDescent="0.2">
      <c r="A3058" s="5">
        <v>2997</v>
      </c>
      <c r="B3058" s="137">
        <f>'Expenditures 15-22'!F10</f>
        <v>44040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182628</v>
      </c>
      <c r="C3062" s="2" t="s">
        <v>573</v>
      </c>
      <c r="D3062" s="2" t="str">
        <f t="shared" si="46"/>
        <v>Error?</v>
      </c>
    </row>
    <row r="3063" spans="1:4" x14ac:dyDescent="0.2">
      <c r="A3063" s="10">
        <v>3002</v>
      </c>
      <c r="D3063" s="2" t="str">
        <f t="shared" si="46"/>
        <v>OK</v>
      </c>
    </row>
    <row r="3064" spans="1:4" x14ac:dyDescent="0.2">
      <c r="A3064" s="5">
        <v>3003</v>
      </c>
      <c r="B3064" s="137">
        <f>'Expenditures 15-22'!D219</f>
        <v>5386</v>
      </c>
      <c r="D3064" s="2" t="str">
        <f t="shared" si="46"/>
        <v>Error?</v>
      </c>
    </row>
    <row r="3065" spans="1:4" x14ac:dyDescent="0.2">
      <c r="A3065" s="5">
        <v>3004</v>
      </c>
      <c r="B3065" s="137">
        <f>'Expenditures 15-22'!K219</f>
        <v>5386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306049</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158348</v>
      </c>
      <c r="C3225" s="2" t="s">
        <v>573</v>
      </c>
      <c r="D3225" s="2" t="str">
        <f t="shared" si="49"/>
        <v>Error?</v>
      </c>
    </row>
    <row r="3226" spans="1:4" x14ac:dyDescent="0.2">
      <c r="A3226" s="5">
        <v>3165</v>
      </c>
      <c r="B3226" s="137">
        <f>'Acct Summary 7-8'!I8</f>
        <v>158348</v>
      </c>
      <c r="C3226" s="2" t="s">
        <v>573</v>
      </c>
      <c r="D3226" s="2" t="str">
        <f t="shared" si="49"/>
        <v>Error?</v>
      </c>
    </row>
    <row r="3227" spans="1:4" x14ac:dyDescent="0.2">
      <c r="A3227" s="5">
        <v>3166</v>
      </c>
      <c r="B3227" s="137">
        <f>'Acct Summary 7-8'!I20</f>
        <v>158348</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2600000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2600000</v>
      </c>
      <c r="C3232" s="2" t="s">
        <v>573</v>
      </c>
      <c r="D3232" s="2" t="str">
        <f t="shared" si="49"/>
        <v>Error?</v>
      </c>
    </row>
    <row r="3233" spans="1:4" x14ac:dyDescent="0.2">
      <c r="A3233" s="5">
        <v>3172</v>
      </c>
      <c r="B3233" s="137">
        <f>'Acct Summary 7-8'!C78</f>
        <v>1587414</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33749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212000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212000</v>
      </c>
      <c r="C3255" s="2" t="s">
        <v>573</v>
      </c>
      <c r="D3255" s="2" t="str">
        <f t="shared" si="49"/>
        <v>Error?</v>
      </c>
    </row>
    <row r="3256" spans="1:4" x14ac:dyDescent="0.2">
      <c r="A3256" s="5">
        <v>3195</v>
      </c>
      <c r="B3256" s="137">
        <f>'Acct Summary 7-8'!F78</f>
        <v>-147208</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34100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306049</v>
      </c>
      <c r="C3274" s="2" t="s">
        <v>573</v>
      </c>
      <c r="D3274" s="2" t="str">
        <f t="shared" si="50"/>
        <v>Error?</v>
      </c>
    </row>
    <row r="3275" spans="1:4" x14ac:dyDescent="0.2">
      <c r="A3275" s="5">
        <v>3214</v>
      </c>
      <c r="B3275" s="137">
        <f>'Acct Summary 7-8'!E75</f>
        <v>224618</v>
      </c>
      <c r="D3275" s="2" t="str">
        <f t="shared" si="50"/>
        <v>Error?</v>
      </c>
    </row>
    <row r="3276" spans="1:4" x14ac:dyDescent="0.2">
      <c r="A3276" s="5">
        <v>3215</v>
      </c>
      <c r="B3276" s="137">
        <f>'Acct Summary 7-8'!E76</f>
        <v>224618</v>
      </c>
      <c r="C3276" s="2" t="s">
        <v>573</v>
      </c>
      <c r="D3276" s="2" t="str">
        <f t="shared" si="50"/>
        <v>Error?</v>
      </c>
    </row>
    <row r="3277" spans="1:4" x14ac:dyDescent="0.2">
      <c r="A3277" s="5">
        <v>3216</v>
      </c>
      <c r="B3277" s="137">
        <f>'Acct Summary 7-8'!E77</f>
        <v>81431</v>
      </c>
      <c r="C3277" s="2" t="s">
        <v>573</v>
      </c>
      <c r="D3277" s="2" t="str">
        <f t="shared" si="50"/>
        <v>Error?</v>
      </c>
    </row>
    <row r="3278" spans="1:4" x14ac:dyDescent="0.2">
      <c r="A3278" s="5">
        <v>3217</v>
      </c>
      <c r="B3278" s="137">
        <f>'Acct Summary 7-8'!E78</f>
        <v>-67830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2253951</v>
      </c>
      <c r="C3317" s="2" t="s">
        <v>573</v>
      </c>
      <c r="D3317" s="2" t="str">
        <f t="shared" si="50"/>
        <v>Error?</v>
      </c>
    </row>
    <row r="3318" spans="1:4" x14ac:dyDescent="0.2">
      <c r="A3318" s="5">
        <v>3257</v>
      </c>
      <c r="B3318" s="137">
        <f>'Acct Summary 7-8'!I76</f>
        <v>2600000</v>
      </c>
      <c r="C3318" s="2" t="s">
        <v>573</v>
      </c>
      <c r="D3318" s="2" t="str">
        <f t="shared" si="50"/>
        <v>Error?</v>
      </c>
    </row>
    <row r="3319" spans="1:4" x14ac:dyDescent="0.2">
      <c r="A3319" s="5">
        <v>3258</v>
      </c>
      <c r="B3319" s="137">
        <f>'Acct Summary 7-8'!I77</f>
        <v>-346049</v>
      </c>
      <c r="C3319" s="2" t="s">
        <v>573</v>
      </c>
      <c r="D3319" s="2" t="str">
        <f t="shared" si="50"/>
        <v>Error?</v>
      </c>
    </row>
    <row r="3320" spans="1:4" x14ac:dyDescent="0.2">
      <c r="A3320" s="5">
        <v>3259</v>
      </c>
      <c r="B3320" s="137">
        <f>'Acct Summary 7-8'!I78</f>
        <v>-187701</v>
      </c>
      <c r="C3320" s="2" t="s">
        <v>573</v>
      </c>
      <c r="D3320" s="2" t="str">
        <f t="shared" si="50"/>
        <v>Error?</v>
      </c>
    </row>
    <row r="3321" spans="1:4" x14ac:dyDescent="0.2">
      <c r="A3321" s="5">
        <v>3260</v>
      </c>
      <c r="B3321" s="137">
        <f>'Acct Summary 7-8'!I79</f>
        <v>4038595</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3850894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593307</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72029</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1591</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15658</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682585</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48207</v>
      </c>
      <c r="D3387" s="2" t="str">
        <f t="shared" si="51"/>
        <v>Error?</v>
      </c>
    </row>
    <row r="3388" spans="1:4" x14ac:dyDescent="0.2">
      <c r="A3388" s="5">
        <v>3327</v>
      </c>
      <c r="B3388" s="137">
        <f>'Expenditures 15-22'!D217</f>
        <v>28200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48207</v>
      </c>
      <c r="C3390" s="2" t="s">
        <v>573</v>
      </c>
      <c r="D3390" s="2" t="str">
        <f t="shared" si="51"/>
        <v>Error?</v>
      </c>
    </row>
    <row r="3391" spans="1:4" x14ac:dyDescent="0.2">
      <c r="A3391" s="5">
        <v>3330</v>
      </c>
      <c r="B3391" s="137">
        <f>'Expenditures 15-22'!K217</f>
        <v>28200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972259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434877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765578</v>
      </c>
      <c r="D3417" s="2" t="str">
        <f t="shared" si="52"/>
        <v>Error?</v>
      </c>
    </row>
    <row r="3418" spans="1:4" x14ac:dyDescent="0.2">
      <c r="A3418" s="10">
        <v>3357</v>
      </c>
      <c r="D3418" s="2" t="str">
        <f t="shared" si="52"/>
        <v>OK</v>
      </c>
    </row>
    <row r="3419" spans="1:4" x14ac:dyDescent="0.2">
      <c r="A3419" s="5">
        <v>3358</v>
      </c>
      <c r="B3419" s="137">
        <f>'Assets-Liab 5-6'!F4</f>
        <v>47967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139286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1593080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47836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150105</v>
      </c>
      <c r="C3446" s="2" t="s">
        <v>573</v>
      </c>
      <c r="D3446" s="2" t="str">
        <f t="shared" si="52"/>
        <v>Error?</v>
      </c>
    </row>
    <row r="3447" spans="1:4" x14ac:dyDescent="0.2">
      <c r="A3447" s="5">
        <v>3386</v>
      </c>
      <c r="B3447" s="137">
        <f>'Tax Sched 23'!D16</f>
        <v>96947</v>
      </c>
      <c r="C3447" s="2" t="s">
        <v>573</v>
      </c>
      <c r="D3447" s="2" t="str">
        <f t="shared" si="52"/>
        <v>Error?</v>
      </c>
    </row>
    <row r="3448" spans="1:4" x14ac:dyDescent="0.2">
      <c r="A3448" s="5">
        <v>3387</v>
      </c>
      <c r="B3448" s="137">
        <f>'Tax Sched 23'!C16</f>
        <v>53158</v>
      </c>
      <c r="D3448" s="2" t="str">
        <f t="shared" si="52"/>
        <v>Error?</v>
      </c>
    </row>
    <row r="3449" spans="1:4" x14ac:dyDescent="0.2">
      <c r="A3449" s="5">
        <v>3388</v>
      </c>
      <c r="B3449" s="137">
        <f>'Tax Sched 23'!F16</f>
        <v>127401</v>
      </c>
      <c r="C3449" s="2" t="s">
        <v>573</v>
      </c>
      <c r="D3449" s="2" t="str">
        <f t="shared" si="52"/>
        <v>Error?</v>
      </c>
    </row>
    <row r="3450" spans="1:4" x14ac:dyDescent="0.2">
      <c r="A3450" s="5">
        <v>3389</v>
      </c>
      <c r="B3450" s="137">
        <f>'Tax Sched 23'!E16</f>
        <v>180559</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20987</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20987</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20987</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212000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2954828</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10468533</v>
      </c>
      <c r="C4122" s="2" t="s">
        <v>573</v>
      </c>
      <c r="D4122" s="2" t="str">
        <f t="shared" si="63"/>
        <v>Error?</v>
      </c>
    </row>
    <row r="4123" spans="1:4" x14ac:dyDescent="0.2">
      <c r="A4123" s="5">
        <v>4062</v>
      </c>
      <c r="B4123" s="137">
        <f>'Acct Summary 7-8'!D10</f>
        <v>993419</v>
      </c>
      <c r="C4123" s="2" t="s">
        <v>573</v>
      </c>
      <c r="D4123" s="2" t="str">
        <f t="shared" si="63"/>
        <v>Error?</v>
      </c>
    </row>
    <row r="4124" spans="1:4" x14ac:dyDescent="0.2">
      <c r="A4124" s="5">
        <v>4063</v>
      </c>
      <c r="B4124" s="137">
        <f>'Acct Summary 7-8'!E10</f>
        <v>1664225</v>
      </c>
      <c r="C4124" s="2" t="s">
        <v>573</v>
      </c>
      <c r="D4124" s="2" t="str">
        <f t="shared" si="63"/>
        <v>Error?</v>
      </c>
    </row>
    <row r="4125" spans="1:4" x14ac:dyDescent="0.2">
      <c r="A4125" s="5">
        <v>4064</v>
      </c>
      <c r="B4125" s="137">
        <f>'Acct Summary 7-8'!F10</f>
        <v>585357</v>
      </c>
      <c r="C4125" s="2" t="s">
        <v>573</v>
      </c>
      <c r="D4125" s="2" t="str">
        <f t="shared" si="63"/>
        <v>Error?</v>
      </c>
    </row>
    <row r="4126" spans="1:4" x14ac:dyDescent="0.2">
      <c r="A4126" s="5">
        <v>4065</v>
      </c>
      <c r="B4126" s="137">
        <f>'Acct Summary 7-8'!G10</f>
        <v>411034</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158348</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2954828</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11481119</v>
      </c>
      <c r="C4136" s="2" t="s">
        <v>573</v>
      </c>
      <c r="D4136" s="2" t="str">
        <f t="shared" si="63"/>
        <v>Error?</v>
      </c>
    </row>
    <row r="4137" spans="1:4" x14ac:dyDescent="0.2">
      <c r="A4137" s="5">
        <v>4076</v>
      </c>
      <c r="B4137" s="137">
        <f>'Acct Summary 7-8'!D19</f>
        <v>959670</v>
      </c>
      <c r="C4137" s="2" t="s">
        <v>573</v>
      </c>
      <c r="D4137" s="2" t="str">
        <f t="shared" si="63"/>
        <v>Error?</v>
      </c>
    </row>
    <row r="4138" spans="1:4" x14ac:dyDescent="0.2">
      <c r="A4138" s="5">
        <v>4077</v>
      </c>
      <c r="B4138" s="137">
        <f>'Acct Summary 7-8'!E19</f>
        <v>1813486</v>
      </c>
      <c r="C4138" s="2" t="s">
        <v>573</v>
      </c>
      <c r="D4138" s="2" t="str">
        <f t="shared" si="63"/>
        <v>Error?</v>
      </c>
    </row>
    <row r="4139" spans="1:4" x14ac:dyDescent="0.2">
      <c r="A4139" s="5">
        <v>4078</v>
      </c>
      <c r="B4139" s="137">
        <f>'Acct Summary 7-8'!F19</f>
        <v>944565</v>
      </c>
      <c r="C4139" s="2" t="s">
        <v>573</v>
      </c>
      <c r="D4139" s="2" t="str">
        <f t="shared" si="63"/>
        <v>Error?</v>
      </c>
    </row>
    <row r="4140" spans="1:4" x14ac:dyDescent="0.2">
      <c r="A4140" s="5">
        <v>4079</v>
      </c>
      <c r="B4140" s="137">
        <f>'Acct Summary 7-8'!G19</f>
        <v>376934</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5537862</v>
      </c>
      <c r="C4171" s="2" t="s">
        <v>573</v>
      </c>
      <c r="D4171" s="2" t="str">
        <f t="shared" si="64"/>
        <v>Error?</v>
      </c>
    </row>
    <row r="4172" spans="1:4" x14ac:dyDescent="0.2">
      <c r="A4172" s="5">
        <v>4111</v>
      </c>
      <c r="B4172" s="137">
        <f>'Short-Term Long-Term Debt 24'!J49</f>
        <v>4817509</v>
      </c>
      <c r="C4172" s="2" t="s">
        <v>573</v>
      </c>
      <c r="D4172" s="2" t="str">
        <f t="shared" si="64"/>
        <v>Error?</v>
      </c>
    </row>
    <row r="4173" spans="1:4" x14ac:dyDescent="0.2">
      <c r="A4173" s="5">
        <v>4112</v>
      </c>
      <c r="B4173" s="137">
        <f>'Short-Term Long-Term Debt 24'!H49</f>
        <v>1432045</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-84881</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2170.6959999999999</v>
      </c>
      <c r="C4265" s="2" t="s">
        <v>573</v>
      </c>
      <c r="D4265" s="2" t="str">
        <f t="shared" si="65"/>
        <v>Error?</v>
      </c>
      <c r="E4265" s="127"/>
    </row>
    <row r="4266" spans="1:5" x14ac:dyDescent="0.2">
      <c r="A4266" s="12">
        <v>4205</v>
      </c>
      <c r="B4266" s="137">
        <f>('FP Info 3'!F10)*100000</f>
        <v>468.55899999999997</v>
      </c>
      <c r="C4266" s="2" t="s">
        <v>573</v>
      </c>
      <c r="D4266" s="2" t="str">
        <f t="shared" si="65"/>
        <v>Error?</v>
      </c>
      <c r="E4266" s="127"/>
    </row>
    <row r="4267" spans="1:5" x14ac:dyDescent="0.2">
      <c r="A4267" s="12">
        <v>4206</v>
      </c>
      <c r="B4267" s="137">
        <f>('FP Info 3'!H10)*100000</f>
        <v>123.41</v>
      </c>
      <c r="C4267" s="2" t="s">
        <v>573</v>
      </c>
      <c r="D4267" s="2" t="str">
        <f t="shared" si="65"/>
        <v>Error?</v>
      </c>
      <c r="E4267" s="127"/>
    </row>
    <row r="4268" spans="1:5" x14ac:dyDescent="0.2">
      <c r="A4268" s="12">
        <v>4207</v>
      </c>
      <c r="B4268" s="137">
        <f>('FP Info 3'!J10)*100000</f>
        <v>2763</v>
      </c>
      <c r="C4268" s="2" t="s">
        <v>573</v>
      </c>
      <c r="D4268" s="2" t="str">
        <f t="shared" si="65"/>
        <v>Error?</v>
      </c>
    </row>
    <row r="4269" spans="1:5" x14ac:dyDescent="0.2">
      <c r="A4269" s="12">
        <v>4208</v>
      </c>
      <c r="B4269" s="137">
        <f>'FP Info 3'!J16</f>
        <v>3006912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22774</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82472</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10000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1190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31131</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45.697000000000003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150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221767990</v>
      </c>
      <c r="D4995" s="2" t="str">
        <f t="shared" si="77"/>
        <v>Error?</v>
      </c>
    </row>
    <row r="4996" spans="1:4" x14ac:dyDescent="0.2">
      <c r="A4996" s="12">
        <v>4935</v>
      </c>
      <c r="B4996" s="137">
        <f>'FP Info 3'!H31</f>
        <v>15301991.310000001</v>
      </c>
      <c r="D4996" s="2" t="str">
        <f t="shared" si="77"/>
        <v>Error?</v>
      </c>
    </row>
    <row r="4997" spans="1:4" x14ac:dyDescent="0.2">
      <c r="A4997" s="12">
        <v>4936</v>
      </c>
      <c r="B4997" s="137">
        <f>'FP Info 3'!H37</f>
        <v>5537862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4605519</v>
      </c>
      <c r="D5061" s="2" t="str">
        <f t="shared" si="78"/>
        <v>Error?</v>
      </c>
    </row>
    <row r="5062" spans="1:4" x14ac:dyDescent="0.2">
      <c r="A5062" s="10">
        <v>5001</v>
      </c>
      <c r="D5062" s="2" t="str">
        <f t="shared" si="78"/>
        <v>OK</v>
      </c>
    </row>
    <row r="5063" spans="1:4" x14ac:dyDescent="0.2">
      <c r="A5063" s="5">
        <v>5002</v>
      </c>
      <c r="B5063" s="137">
        <f>'Revenues 9-14'!C7</f>
        <v>80694</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4686213</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81412</v>
      </c>
      <c r="D5069" s="2" t="str">
        <f t="shared" si="78"/>
        <v>Error?</v>
      </c>
    </row>
    <row r="5070" spans="1:4" x14ac:dyDescent="0.2">
      <c r="A5070" s="5">
        <v>5009</v>
      </c>
      <c r="B5070" s="137">
        <f>'Revenues 9-14'!C17</f>
        <v>0</v>
      </c>
      <c r="D5070" s="2" t="str">
        <f t="shared" si="78"/>
        <v>Error?</v>
      </c>
    </row>
    <row r="5071" spans="1:4" x14ac:dyDescent="0.2">
      <c r="A5071" s="5">
        <v>5010</v>
      </c>
      <c r="B5071" s="137">
        <f>'Revenues 9-14'!C18</f>
        <v>81412</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880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880</v>
      </c>
      <c r="C5087" s="2" t="s">
        <v>573</v>
      </c>
      <c r="D5087" s="2" t="str">
        <f t="shared" si="78"/>
        <v>Error?</v>
      </c>
    </row>
    <row r="5088" spans="1:4" x14ac:dyDescent="0.2">
      <c r="A5088" s="5">
        <v>5027</v>
      </c>
      <c r="B5088" s="137">
        <f>'Revenues 9-14'!C65</f>
        <v>8</v>
      </c>
      <c r="D5088" s="2" t="str">
        <f t="shared" si="78"/>
        <v>Error?</v>
      </c>
    </row>
    <row r="5089" spans="1:4" x14ac:dyDescent="0.2">
      <c r="A5089" s="5">
        <v>5028</v>
      </c>
      <c r="B5089" s="137">
        <f>'Revenues 9-14'!C66</f>
        <v>0</v>
      </c>
      <c r="D5089" s="2" t="str">
        <f t="shared" si="78"/>
        <v>Error?</v>
      </c>
    </row>
    <row r="5090" spans="1:4" x14ac:dyDescent="0.2">
      <c r="A5090" s="5">
        <v>5029</v>
      </c>
      <c r="B5090" s="137">
        <f>'Revenues 9-14'!C67</f>
        <v>8</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15</v>
      </c>
      <c r="D5095" s="2" t="str">
        <f t="shared" si="78"/>
        <v>Error?</v>
      </c>
    </row>
    <row r="5096" spans="1:4" x14ac:dyDescent="0.2">
      <c r="A5096" s="5">
        <v>5035</v>
      </c>
      <c r="B5096" s="137">
        <f>'Revenues 9-14'!C75</f>
        <v>83266</v>
      </c>
      <c r="C5096" s="2" t="s">
        <v>573</v>
      </c>
      <c r="D5096" s="2" t="str">
        <f t="shared" si="78"/>
        <v>Error?</v>
      </c>
    </row>
    <row r="5097" spans="1:4" x14ac:dyDescent="0.2">
      <c r="A5097" s="5">
        <v>5036</v>
      </c>
      <c r="B5097" s="137">
        <f>'Revenues 9-14'!C77</f>
        <v>6876</v>
      </c>
      <c r="D5097" s="2" t="str">
        <f t="shared" si="78"/>
        <v>Error?</v>
      </c>
    </row>
    <row r="5098" spans="1:4" x14ac:dyDescent="0.2">
      <c r="A5098" s="5">
        <v>5037</v>
      </c>
      <c r="B5098" s="137">
        <f>'Revenues 9-14'!C78</f>
        <v>0</v>
      </c>
      <c r="D5098" s="2" t="str">
        <f t="shared" si="78"/>
        <v>Error?</v>
      </c>
    </row>
    <row r="5099" spans="1:4" x14ac:dyDescent="0.2">
      <c r="A5099" s="5">
        <v>5038</v>
      </c>
      <c r="B5099" s="137">
        <f>'Revenues 9-14'!C79</f>
        <v>36173</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43049</v>
      </c>
      <c r="C5102" s="2" t="s">
        <v>573</v>
      </c>
      <c r="D5102" s="2" t="str">
        <f t="shared" si="78"/>
        <v>Error?</v>
      </c>
    </row>
    <row r="5103" spans="1:4" x14ac:dyDescent="0.2">
      <c r="A5103" s="5">
        <v>5042</v>
      </c>
      <c r="B5103" s="137">
        <f>'Revenues 9-14'!C84</f>
        <v>6566</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6566</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25247</v>
      </c>
      <c r="D5114" s="2" t="str">
        <f t="shared" si="78"/>
        <v>Error?</v>
      </c>
    </row>
    <row r="5115" spans="1:4" x14ac:dyDescent="0.2">
      <c r="A5115" s="5">
        <v>5054</v>
      </c>
      <c r="B5115" s="137">
        <f>'Revenues 9-14'!C98</f>
        <v>109324</v>
      </c>
      <c r="D5115" s="2" t="str">
        <f t="shared" si="78"/>
        <v>Error?</v>
      </c>
    </row>
    <row r="5116" spans="1:4" x14ac:dyDescent="0.2">
      <c r="A5116" s="5">
        <v>5055</v>
      </c>
      <c r="B5116" s="137">
        <f>'Revenues 9-14'!C99</f>
        <v>28871</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31596</v>
      </c>
      <c r="D5119" s="2" t="str">
        <f t="shared" ref="D5119:D5182" si="79">IF(ISBLANK(B5119),"OK",IF(A5119-B5119=0,"OK","Error?"))</f>
        <v>Error?</v>
      </c>
    </row>
    <row r="5120" spans="1:4" x14ac:dyDescent="0.2">
      <c r="A5120" s="5">
        <v>5059</v>
      </c>
      <c r="B5120" s="137">
        <f>'Revenues 9-14'!C108</f>
        <v>195038</v>
      </c>
      <c r="C5120" s="2" t="s">
        <v>573</v>
      </c>
      <c r="D5120" s="2" t="str">
        <f t="shared" si="79"/>
        <v>Error?</v>
      </c>
    </row>
    <row r="5121" spans="1:4" x14ac:dyDescent="0.2">
      <c r="A5121" s="5">
        <v>5060</v>
      </c>
      <c r="B5121" s="137">
        <f>'Revenues 9-14'!C109</f>
        <v>5096432</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1182827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1182827</v>
      </c>
      <c r="C5132" s="2" t="s">
        <v>573</v>
      </c>
      <c r="D5132" s="2" t="str">
        <f t="shared" si="79"/>
        <v>Error?</v>
      </c>
    </row>
    <row r="5133" spans="1:4" x14ac:dyDescent="0.2">
      <c r="A5133" s="5">
        <v>5072</v>
      </c>
      <c r="B5133" s="137">
        <f>'Revenues 9-14'!C125</f>
        <v>104154</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104154</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4231</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299135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407670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1590497</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181046</v>
      </c>
      <c r="D5239" s="2" t="str">
        <f t="shared" si="80"/>
        <v>Error?</v>
      </c>
    </row>
    <row r="5240" spans="1:4" x14ac:dyDescent="0.2">
      <c r="A5240" s="5">
        <v>5179</v>
      </c>
      <c r="B5240" s="137">
        <f>'Revenues 9-14'!C192</f>
        <v>405</v>
      </c>
      <c r="D5240" s="2" t="str">
        <f t="shared" si="80"/>
        <v>Error?</v>
      </c>
    </row>
    <row r="5241" spans="1:4" x14ac:dyDescent="0.2">
      <c r="A5241" s="5">
        <v>5180</v>
      </c>
      <c r="B5241" s="137">
        <f>'Revenues 9-14'!C193</f>
        <v>54089</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235540</v>
      </c>
      <c r="C5246" s="2" t="s">
        <v>573</v>
      </c>
      <c r="D5246" s="2" t="str">
        <f t="shared" si="80"/>
        <v>Error?</v>
      </c>
    </row>
    <row r="5247" spans="1:4" x14ac:dyDescent="0.2">
      <c r="A5247" s="5">
        <v>5186</v>
      </c>
      <c r="B5247" s="137">
        <f>'Revenues 9-14'!C200</f>
        <v>147844</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7">
        <f>'Revenues 9-14'!C202</f>
        <v>0</v>
      </c>
      <c r="D5255" s="2" t="str">
        <f t="shared" si="81"/>
        <v>Error?</v>
      </c>
    </row>
    <row r="5256" spans="1:5" x14ac:dyDescent="0.2">
      <c r="A5256" s="5">
        <v>5195</v>
      </c>
      <c r="B5256" s="137">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147844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4350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94494</v>
      </c>
      <c r="D5278" s="2" t="str">
        <f t="shared" si="81"/>
        <v>Error?</v>
      </c>
    </row>
    <row r="5279" spans="1:4" x14ac:dyDescent="0.2">
      <c r="A5279" s="5">
        <v>5218</v>
      </c>
      <c r="B5279" s="137">
        <f>'Revenues 9-14'!C214</f>
        <v>196981</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295825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826776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826776</v>
      </c>
      <c r="C5326" s="2" t="s">
        <v>573</v>
      </c>
      <c r="D5326" s="2" t="str">
        <f t="shared" si="82"/>
        <v>Error?</v>
      </c>
    </row>
    <row r="5327" spans="1:5" x14ac:dyDescent="0.2">
      <c r="A5327" s="5">
        <v>5266</v>
      </c>
      <c r="B5327" s="137">
        <f>'Revenues 9-14'!C268</f>
        <v>7513705</v>
      </c>
      <c r="C5327" s="2" t="s">
        <v>573</v>
      </c>
      <c r="D5327" s="2" t="str">
        <f t="shared" si="82"/>
        <v>Error?</v>
      </c>
    </row>
    <row r="5328" spans="1:5" x14ac:dyDescent="0.2">
      <c r="A5328" s="5">
        <v>5267</v>
      </c>
      <c r="B5328" s="137">
        <f>'Revenues 9-14'!D5</f>
        <v>980762</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980762</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341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341</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5500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4491</v>
      </c>
      <c r="D5354" s="2" t="str">
        <f t="shared" si="82"/>
        <v>Error?</v>
      </c>
    </row>
    <row r="5355" spans="1:4" x14ac:dyDescent="0.2">
      <c r="A5355" s="5">
        <v>5294</v>
      </c>
      <c r="B5355" s="137">
        <f>'Revenues 9-14'!D108</f>
        <v>12316</v>
      </c>
      <c r="C5355" s="2" t="s">
        <v>573</v>
      </c>
      <c r="D5355" s="2" t="str">
        <f t="shared" si="82"/>
        <v>Error?</v>
      </c>
    </row>
    <row r="5356" spans="1:4" x14ac:dyDescent="0.2">
      <c r="A5356" s="5">
        <v>5295</v>
      </c>
      <c r="B5356" s="137">
        <f>'Revenues 9-14'!D109</f>
        <v>993419</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993419</v>
      </c>
      <c r="C5508" s="2" t="s">
        <v>573</v>
      </c>
      <c r="D5508" s="2" t="str">
        <f t="shared" si="85"/>
        <v>Error?</v>
      </c>
    </row>
    <row r="5509" spans="1:4" x14ac:dyDescent="0.2">
      <c r="A5509" s="5">
        <v>5448</v>
      </c>
      <c r="B5509" s="137">
        <f>'Revenues 9-14'!E5</f>
        <v>1664225</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1664225</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1664225</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1664225</v>
      </c>
      <c r="C5552" s="2" t="s">
        <v>573</v>
      </c>
      <c r="D5552" s="2" t="str">
        <f t="shared" si="85"/>
        <v>Error?</v>
      </c>
    </row>
    <row r="5553" spans="1:4" x14ac:dyDescent="0.2">
      <c r="A5553" s="5">
        <v>5492</v>
      </c>
      <c r="B5553" s="137">
        <f>'Revenues 9-14'!F5</f>
        <v>250667</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250667</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59</v>
      </c>
      <c r="D5580" s="2" t="str">
        <f t="shared" si="86"/>
        <v>Error?</v>
      </c>
    </row>
    <row r="5581" spans="1:4" x14ac:dyDescent="0.2">
      <c r="A5581" s="5">
        <v>5520</v>
      </c>
      <c r="B5581" s="137">
        <f>'Revenues 9-14'!F66</f>
        <v>0</v>
      </c>
      <c r="D5581" s="2" t="str">
        <f t="shared" si="86"/>
        <v>Error?</v>
      </c>
    </row>
    <row r="5582" spans="1:4" x14ac:dyDescent="0.2">
      <c r="A5582" s="5">
        <v>5521</v>
      </c>
      <c r="B5582" s="137">
        <f>'Revenues 9-14'!F67</f>
        <v>59</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7848</v>
      </c>
      <c r="D5584" s="2" t="str">
        <f t="shared" si="86"/>
        <v>Error?</v>
      </c>
    </row>
    <row r="5585" spans="1:4" x14ac:dyDescent="0.2">
      <c r="A5585" s="5">
        <v>5524</v>
      </c>
      <c r="B5585" s="137">
        <f>'Revenues 9-14'!F99</f>
        <v>728</v>
      </c>
      <c r="D5585" s="2" t="str">
        <f t="shared" si="86"/>
        <v>Error?</v>
      </c>
    </row>
    <row r="5586" spans="1:4" x14ac:dyDescent="0.2">
      <c r="A5586" s="5">
        <v>5525</v>
      </c>
      <c r="B5586" s="137">
        <f>'Revenues 9-14'!F107</f>
        <v>357</v>
      </c>
      <c r="D5586" s="2" t="str">
        <f t="shared" si="86"/>
        <v>Error?</v>
      </c>
    </row>
    <row r="5587" spans="1:4" x14ac:dyDescent="0.2">
      <c r="A5587" s="5">
        <v>5526</v>
      </c>
      <c r="B5587" s="137">
        <f>'Revenues 9-14'!F108</f>
        <v>8933</v>
      </c>
      <c r="C5587" s="2" t="s">
        <v>573</v>
      </c>
      <c r="D5587" s="2" t="str">
        <f t="shared" si="86"/>
        <v>Error?</v>
      </c>
    </row>
    <row r="5588" spans="1:4" x14ac:dyDescent="0.2">
      <c r="A5588" s="5">
        <v>5527</v>
      </c>
      <c r="B5588" s="137">
        <f>'Revenues 9-14'!F109</f>
        <v>259659</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75491</v>
      </c>
      <c r="D5615" s="2" t="str">
        <f t="shared" si="86"/>
        <v>Error?</v>
      </c>
    </row>
    <row r="5616" spans="1:4" x14ac:dyDescent="0.2">
      <c r="A5616" s="10">
        <v>5555</v>
      </c>
      <c r="D5616" s="2" t="str">
        <f t="shared" si="86"/>
        <v>OK</v>
      </c>
    </row>
    <row r="5617" spans="1:5" x14ac:dyDescent="0.2">
      <c r="A5617" s="5">
        <v>5556</v>
      </c>
      <c r="B5617" s="137">
        <f>'Revenues 9-14'!F153</f>
        <v>250207</v>
      </c>
      <c r="D5617" s="2" t="str">
        <f t="shared" si="86"/>
        <v>Error?</v>
      </c>
    </row>
    <row r="5618" spans="1:5" x14ac:dyDescent="0.2">
      <c r="A5618" s="5">
        <v>5557</v>
      </c>
      <c r="B5618" s="137">
        <f>'Revenues 9-14'!F155</f>
        <v>325698</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325698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325698</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585357</v>
      </c>
      <c r="C5720" s="2" t="s">
        <v>573</v>
      </c>
      <c r="D5720" s="2" t="str">
        <f t="shared" si="88"/>
        <v>Error?</v>
      </c>
    </row>
    <row r="5721" spans="1:4" x14ac:dyDescent="0.2">
      <c r="A5721" s="5">
        <v>5660</v>
      </c>
      <c r="B5721" s="137">
        <f>'Revenues 9-14'!G5</f>
        <v>243851</v>
      </c>
      <c r="D5721" s="2" t="str">
        <f t="shared" si="88"/>
        <v>Error?</v>
      </c>
    </row>
    <row r="5722" spans="1:4" x14ac:dyDescent="0.2">
      <c r="A5722" s="5">
        <v>5661</v>
      </c>
      <c r="B5722" s="137">
        <f>'Revenues 9-14'!G7</f>
        <v>0</v>
      </c>
      <c r="D5722" s="2" t="str">
        <f t="shared" si="88"/>
        <v>Error?</v>
      </c>
    </row>
    <row r="5723" spans="1:4" x14ac:dyDescent="0.2">
      <c r="A5723" s="5">
        <v>5662</v>
      </c>
      <c r="B5723" s="137">
        <f>'Revenues 9-14'!G8</f>
        <v>150105</v>
      </c>
      <c r="D5723" s="2" t="str">
        <f t="shared" si="88"/>
        <v>Error?</v>
      </c>
    </row>
    <row r="5724" spans="1:4" x14ac:dyDescent="0.2">
      <c r="A5724" s="5">
        <v>5663</v>
      </c>
      <c r="B5724" s="137">
        <f>'Revenues 9-14'!G11</f>
        <v>0</v>
      </c>
      <c r="D5724" s="2" t="str">
        <f t="shared" si="88"/>
        <v>Error?</v>
      </c>
    </row>
    <row r="5725" spans="1:4" x14ac:dyDescent="0.2">
      <c r="A5725" s="5">
        <v>5664</v>
      </c>
      <c r="B5725" s="137">
        <f>'Revenues 9-14'!G12</f>
        <v>393956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17078</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17078</v>
      </c>
      <c r="C5730" s="2" t="s">
        <v>573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411034</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92540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92540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65808</v>
      </c>
      <c r="D5924" s="2" t="str">
        <f t="shared" si="91"/>
        <v>Error?</v>
      </c>
    </row>
    <row r="5925" spans="1:4" x14ac:dyDescent="0.2">
      <c r="A5925" s="5">
        <v>5864</v>
      </c>
      <c r="B5925" s="137">
        <f>'Revenues 9-14'!I66</f>
        <v>0</v>
      </c>
      <c r="D5925" s="2" t="str">
        <f t="shared" si="91"/>
        <v>Error?</v>
      </c>
    </row>
    <row r="5926" spans="1:4" x14ac:dyDescent="0.2">
      <c r="A5926" s="5">
        <v>5865</v>
      </c>
      <c r="B5926" s="137">
        <f>'Revenues 9-14'!I67</f>
        <v>65808</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158348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411034</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158348</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83251</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29914</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624.79999999999995</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2257814</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1859117</v>
      </c>
      <c r="D6125" s="2" t="str">
        <f t="shared" si="94"/>
        <v>Error?</v>
      </c>
      <c r="E6125" s="2" t="s">
        <v>190</v>
      </c>
    </row>
    <row r="6126" spans="1:5" x14ac:dyDescent="0.2">
      <c r="A6126">
        <v>6065</v>
      </c>
      <c r="B6126" s="137">
        <f>'Assets-Liab 5-6'!D25</f>
        <v>140606</v>
      </c>
      <c r="D6126" s="2" t="str">
        <f t="shared" si="94"/>
        <v>Error?</v>
      </c>
      <c r="E6126" s="2" t="s">
        <v>190</v>
      </c>
    </row>
    <row r="6127" spans="1:5" x14ac:dyDescent="0.2">
      <c r="A6127">
        <v>6066</v>
      </c>
      <c r="B6127" s="137">
        <f>'Assets-Liab 5-6'!E25</f>
        <v>45225</v>
      </c>
      <c r="D6127" s="2" t="str">
        <f t="shared" si="94"/>
        <v>Error?</v>
      </c>
      <c r="E6127" s="2" t="s">
        <v>190</v>
      </c>
    </row>
    <row r="6128" spans="1:5" x14ac:dyDescent="0.2">
      <c r="A6128">
        <v>6067</v>
      </c>
      <c r="B6128" s="137">
        <f>'Assets-Liab 5-6'!F25</f>
        <v>90503</v>
      </c>
      <c r="D6128" s="2" t="str">
        <f t="shared" si="94"/>
        <v>Error?</v>
      </c>
      <c r="E6128" s="2" t="s">
        <v>190</v>
      </c>
    </row>
    <row r="6129" spans="1:5" x14ac:dyDescent="0.2">
      <c r="A6129">
        <v>6068</v>
      </c>
      <c r="B6129" s="137">
        <f>'Assets-Liab 5-6'!G25</f>
        <v>122363</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192236</v>
      </c>
      <c r="D6142" s="2" t="str">
        <f t="shared" si="94"/>
        <v>Error?</v>
      </c>
      <c r="E6142" s="2" t="s">
        <v>190</v>
      </c>
    </row>
    <row r="6143" spans="1:5" x14ac:dyDescent="0.2">
      <c r="A6143">
        <v>6082</v>
      </c>
      <c r="B6143" s="137">
        <f>'Assets-Liab 5-6'!D27</f>
        <v>6531</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10092</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1587414</v>
      </c>
      <c r="D6267" s="2" t="str">
        <f t="shared" si="96"/>
        <v>Error?</v>
      </c>
      <c r="E6267" s="2" t="s">
        <v>190</v>
      </c>
    </row>
    <row r="6268" spans="1:5" x14ac:dyDescent="0.2">
      <c r="A6268">
        <v>6207</v>
      </c>
      <c r="B6268" s="137">
        <f>'Acct Summary 7-8'!D82</f>
        <v>33749</v>
      </c>
      <c r="D6268" s="2" t="str">
        <f t="shared" si="96"/>
        <v>Error?</v>
      </c>
      <c r="E6268" s="2" t="s">
        <v>190</v>
      </c>
    </row>
    <row r="6269" spans="1:5" x14ac:dyDescent="0.2">
      <c r="A6269">
        <v>6208</v>
      </c>
      <c r="B6269" s="137">
        <f>'Acct Summary 7-8'!E82</f>
        <v>-67830</v>
      </c>
      <c r="D6269" s="2" t="str">
        <f t="shared" si="96"/>
        <v>Error?</v>
      </c>
      <c r="E6269" s="2" t="s">
        <v>190</v>
      </c>
    </row>
    <row r="6270" spans="1:5" x14ac:dyDescent="0.2">
      <c r="A6270">
        <v>6209</v>
      </c>
      <c r="B6270" s="137">
        <f>'Acct Summary 7-8'!F82</f>
        <v>-147208</v>
      </c>
      <c r="D6270" s="2" t="str">
        <f t="shared" si="96"/>
        <v>Error?</v>
      </c>
      <c r="E6270" s="2" t="s">
        <v>190</v>
      </c>
    </row>
    <row r="6271" spans="1:5" x14ac:dyDescent="0.2">
      <c r="A6271">
        <v>6210</v>
      </c>
      <c r="B6271" s="137">
        <f>'Acct Summary 7-8'!G82</f>
        <v>34100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-187701</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-1.4710618352062008</v>
      </c>
      <c r="D6276" s="2" t="str">
        <f t="shared" si="97"/>
        <v>Error?</v>
      </c>
      <c r="E6276" s="2" t="s">
        <v>190</v>
      </c>
    </row>
    <row r="6277" spans="1:5" x14ac:dyDescent="0.2">
      <c r="A6277">
        <v>6216</v>
      </c>
      <c r="B6277" s="137">
        <f>'Acct Summary 7-8'!D83</f>
        <v>0.11728991450615138</v>
      </c>
      <c r="D6277" s="2" t="str">
        <f t="shared" si="97"/>
        <v>Error?</v>
      </c>
      <c r="E6277" s="2" t="s">
        <v>190</v>
      </c>
    </row>
    <row r="6278" spans="1:5" x14ac:dyDescent="0.2">
      <c r="A6278">
        <v>6217</v>
      </c>
      <c r="B6278" s="137">
        <f>'Acct Summary 7-8'!E83</f>
        <v>-9.416216771499529E-2</v>
      </c>
      <c r="D6278" s="2" t="str">
        <f t="shared" si="97"/>
        <v>Error?</v>
      </c>
      <c r="E6278" s="2" t="s">
        <v>190</v>
      </c>
    </row>
    <row r="6279" spans="1:5" x14ac:dyDescent="0.2">
      <c r="A6279">
        <v>6218</v>
      </c>
      <c r="B6279" s="137">
        <f>'Acct Summary 7-8'!F83</f>
        <v>2.7971422056699855</v>
      </c>
      <c r="D6279" s="2" t="str">
        <f t="shared" si="97"/>
        <v>Error?</v>
      </c>
      <c r="E6279" s="2" t="s">
        <v>190</v>
      </c>
    </row>
    <row r="6280" spans="1:5" x14ac:dyDescent="0.2">
      <c r="A6280">
        <v>6219</v>
      </c>
      <c r="B6280" s="137">
        <f>'Acct Summary 7-8'!G83</f>
        <v>2.0150091591325414</v>
      </c>
      <c r="D6280" s="2" t="str">
        <f t="shared" si="97"/>
        <v>Error?</v>
      </c>
      <c r="E6280" s="2" t="s">
        <v>190</v>
      </c>
    </row>
    <row r="6281" spans="1:5" x14ac:dyDescent="0.2">
      <c r="A6281">
        <v>6220</v>
      </c>
      <c r="B6281" s="137" t="e">
        <f>'Acct Summary 7-8'!H83</f>
        <v>#DIV/0!</v>
      </c>
      <c r="D6281" s="2" t="e">
        <f t="shared" si="97"/>
        <v>#DIV/0!</v>
      </c>
      <c r="E6281" s="2" t="s">
        <v>190</v>
      </c>
    </row>
    <row r="6282" spans="1:5" x14ac:dyDescent="0.2">
      <c r="A6282">
        <v>6221</v>
      </c>
      <c r="B6282" s="137">
        <f>'Acct Summary 7-8'!I83</f>
        <v>-4.8742188177602397E-2</v>
      </c>
      <c r="D6282" s="2" t="str">
        <f t="shared" si="97"/>
        <v>Error?</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2325</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1935</v>
      </c>
    </row>
    <row r="6383" spans="1:6" x14ac:dyDescent="0.2">
      <c r="A6383" s="128">
        <v>6322</v>
      </c>
      <c r="D6383" s="2" t="str">
        <f t="shared" si="98"/>
        <v>OK</v>
      </c>
      <c r="E6383" s="2" t="s">
        <v>190</v>
      </c>
      <c r="F6383" s="1" t="s">
        <v>1935</v>
      </c>
    </row>
    <row r="6384" spans="1:6" x14ac:dyDescent="0.2">
      <c r="A6384" s="128">
        <v>6323</v>
      </c>
      <c r="D6384" s="2" t="str">
        <f t="shared" si="98"/>
        <v>OK</v>
      </c>
      <c r="E6384" s="2" t="s">
        <v>190</v>
      </c>
      <c r="F6384" s="1" t="s">
        <v>1935</v>
      </c>
    </row>
    <row r="6385" spans="1:6" x14ac:dyDescent="0.2">
      <c r="A6385" s="128">
        <v>6324</v>
      </c>
      <c r="D6385" s="2" t="str">
        <f t="shared" si="98"/>
        <v>OK</v>
      </c>
      <c r="E6385" s="2" t="s">
        <v>190</v>
      </c>
      <c r="F6385" s="1" t="s">
        <v>1935</v>
      </c>
    </row>
    <row r="6386" spans="1:6" x14ac:dyDescent="0.2">
      <c r="A6386" s="128">
        <v>6325</v>
      </c>
      <c r="D6386" s="2" t="str">
        <f t="shared" si="98"/>
        <v>OK</v>
      </c>
      <c r="E6386" s="2" t="s">
        <v>190</v>
      </c>
      <c r="F6386" s="1" t="s">
        <v>1935</v>
      </c>
    </row>
    <row r="6387" spans="1:6" x14ac:dyDescent="0.2">
      <c r="A6387" s="128">
        <v>6326</v>
      </c>
      <c r="D6387" s="2" t="str">
        <f t="shared" si="98"/>
        <v>OK</v>
      </c>
      <c r="E6387" s="2" t="s">
        <v>190</v>
      </c>
      <c r="F6387" s="1" t="s">
        <v>1935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1935</v>
      </c>
    </row>
    <row r="6411" spans="1:6" x14ac:dyDescent="0.2">
      <c r="A6411" s="128">
        <v>6350</v>
      </c>
      <c r="D6411" s="2" t="str">
        <f t="shared" si="99"/>
        <v>OK</v>
      </c>
      <c r="E6411" s="2" t="s">
        <v>190</v>
      </c>
      <c r="F6411" s="1" t="s">
        <v>1935</v>
      </c>
    </row>
    <row r="6412" spans="1:6" x14ac:dyDescent="0.2">
      <c r="A6412" s="128">
        <v>6351</v>
      </c>
      <c r="D6412" s="2" t="str">
        <f t="shared" si="99"/>
        <v>OK</v>
      </c>
      <c r="E6412" s="2" t="s">
        <v>190</v>
      </c>
      <c r="F6412" s="1" t="s">
        <v>1935</v>
      </c>
    </row>
    <row r="6413" spans="1:6" x14ac:dyDescent="0.2">
      <c r="A6413" s="128">
        <v>6352</v>
      </c>
      <c r="D6413" s="2" t="str">
        <f t="shared" si="99"/>
        <v>OK</v>
      </c>
      <c r="E6413" s="2" t="s">
        <v>190</v>
      </c>
      <c r="F6413" s="1" t="s">
        <v>1935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217107</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1935</v>
      </c>
    </row>
    <row r="6842" spans="1:5" x14ac:dyDescent="0.2">
      <c r="A6842" s="128">
        <v>6781</v>
      </c>
      <c r="D6842" s="2" t="str">
        <f t="shared" si="105"/>
        <v>OK</v>
      </c>
      <c r="E6842" s="1" t="s">
        <v>1935</v>
      </c>
    </row>
    <row r="6843" spans="1:5" x14ac:dyDescent="0.2">
      <c r="A6843" s="128">
        <v>6782</v>
      </c>
      <c r="D6843" s="2" t="str">
        <f t="shared" si="105"/>
        <v>OK</v>
      </c>
      <c r="E6843" s="1" t="s">
        <v>1935</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278872</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21048</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50112</v>
      </c>
      <c r="D7073" s="2" t="str">
        <f t="shared" si="109"/>
        <v>Error?</v>
      </c>
    </row>
    <row r="7074" spans="1:4" x14ac:dyDescent="0.2">
      <c r="A7074">
        <v>7013</v>
      </c>
      <c r="B7074" s="137">
        <f>'Expenditures 15-22'!K216</f>
        <v>50112</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40715</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21050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14905</v>
      </c>
      <c r="D7251" s="2" t="str">
        <f t="shared" si="112"/>
        <v>Error?</v>
      </c>
    </row>
    <row r="7252" spans="1:4" x14ac:dyDescent="0.2">
      <c r="A7252">
        <f t="shared" si="113"/>
        <v>7191</v>
      </c>
      <c r="B7252" s="137">
        <f>'Expenditures 15-22'!D9</f>
        <v>5640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503</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555951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2600000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1851</v>
      </c>
    </row>
    <row r="7775" spans="1:5" x14ac:dyDescent="0.2">
      <c r="A7775">
        <v>7714</v>
      </c>
      <c r="B7775" s="137">
        <f>'Expenditures 15-22'!H133</f>
        <v>0</v>
      </c>
      <c r="D7775" s="2" t="str">
        <f t="shared" si="127"/>
        <v>Error?</v>
      </c>
      <c r="E7775" s="4" t="s">
        <v>1851</v>
      </c>
    </row>
    <row r="7776" spans="1:5" x14ac:dyDescent="0.2">
      <c r="A7776">
        <v>7715</v>
      </c>
      <c r="B7776" s="137">
        <f>'Expenditures 15-22'!K133</f>
        <v>0</v>
      </c>
      <c r="D7776" s="2" t="str">
        <f t="shared" si="127"/>
        <v>Error?</v>
      </c>
      <c r="E7776" s="4" t="s">
        <v>1851</v>
      </c>
    </row>
    <row r="7777" spans="1:5" x14ac:dyDescent="0.2">
      <c r="A7777">
        <v>7716</v>
      </c>
      <c r="B7777" s="137">
        <f>'Expenditures 15-22'!H157</f>
        <v>0</v>
      </c>
      <c r="D7777" s="2" t="str">
        <f t="shared" si="127"/>
        <v>Error?</v>
      </c>
      <c r="E7777" s="4" t="s">
        <v>1851</v>
      </c>
    </row>
    <row r="7778" spans="1:5" x14ac:dyDescent="0.2">
      <c r="A7778">
        <v>7717</v>
      </c>
      <c r="B7778" s="137">
        <f>'Expenditures 15-22'!K157</f>
        <v>0</v>
      </c>
      <c r="D7778" s="2" t="str">
        <f t="shared" si="127"/>
        <v>Error?</v>
      </c>
      <c r="E7778" s="4" t="s">
        <v>1851</v>
      </c>
    </row>
    <row r="7779" spans="1:5" x14ac:dyDescent="0.2">
      <c r="A7779">
        <v>7718</v>
      </c>
      <c r="B7779" s="137">
        <f>'Expenditures 15-22'!H158</f>
        <v>0</v>
      </c>
      <c r="D7779" s="2" t="str">
        <f t="shared" si="127"/>
        <v>Error?</v>
      </c>
      <c r="E7779" s="4" t="s">
        <v>1851</v>
      </c>
    </row>
    <row r="7780" spans="1:5" x14ac:dyDescent="0.2">
      <c r="A7780">
        <v>7719</v>
      </c>
      <c r="B7780" s="137">
        <f>'Expenditures 15-22'!K158</f>
        <v>0</v>
      </c>
      <c r="D7780" s="2" t="str">
        <f t="shared" si="127"/>
        <v>Error?</v>
      </c>
      <c r="E7780" s="4" t="s">
        <v>1851</v>
      </c>
    </row>
    <row r="7781" spans="1:5" x14ac:dyDescent="0.2">
      <c r="A7781">
        <v>7720</v>
      </c>
      <c r="B7781" s="137">
        <f>'Expenditures 15-22'!H159</f>
        <v>0</v>
      </c>
      <c r="D7781" s="2" t="str">
        <f t="shared" si="127"/>
        <v>Error?</v>
      </c>
      <c r="E7781" s="4" t="s">
        <v>1851</v>
      </c>
    </row>
    <row r="7782" spans="1:5" x14ac:dyDescent="0.2">
      <c r="A7782">
        <v>7721</v>
      </c>
      <c r="B7782" s="137">
        <f>'Expenditures 15-22'!K159</f>
        <v>0</v>
      </c>
      <c r="D7782" s="2" t="str">
        <f t="shared" si="127"/>
        <v>Error?</v>
      </c>
      <c r="E7782" s="4" t="s">
        <v>1851</v>
      </c>
    </row>
    <row r="7783" spans="1:5" x14ac:dyDescent="0.2">
      <c r="A7783">
        <v>7722</v>
      </c>
      <c r="B7783" s="137">
        <f>'Expenditures 15-22'!D282</f>
        <v>0</v>
      </c>
      <c r="D7783" s="2" t="str">
        <f t="shared" si="127"/>
        <v>Error?</v>
      </c>
      <c r="E7783" s="4" t="s">
        <v>1851</v>
      </c>
    </row>
    <row r="7784" spans="1:5" x14ac:dyDescent="0.2">
      <c r="A7784">
        <v>7723</v>
      </c>
      <c r="B7784" s="137">
        <f>'Expenditures 15-22'!K282</f>
        <v>0</v>
      </c>
      <c r="D7784" s="2" t="str">
        <f t="shared" si="127"/>
        <v>Error?</v>
      </c>
      <c r="E7784" s="4" t="s">
        <v>1851</v>
      </c>
    </row>
    <row r="7785" spans="1:5" x14ac:dyDescent="0.2">
      <c r="A7785">
        <v>7724</v>
      </c>
      <c r="B7785" s="137">
        <f>'Expenditures 15-22'!H332</f>
        <v>0</v>
      </c>
      <c r="D7785" s="2" t="str">
        <f t="shared" si="127"/>
        <v>Error?</v>
      </c>
      <c r="E7785" s="4" t="s">
        <v>1851</v>
      </c>
    </row>
    <row r="7786" spans="1:5" x14ac:dyDescent="0.2">
      <c r="A7786">
        <v>7725</v>
      </c>
      <c r="B7786" s="137">
        <f>'Expenditures 15-22'!K332</f>
        <v>0</v>
      </c>
      <c r="D7786" s="2" t="str">
        <f t="shared" si="127"/>
        <v>Error?</v>
      </c>
      <c r="E7786" s="4" t="s">
        <v>1851</v>
      </c>
    </row>
    <row r="7787" spans="1:5" x14ac:dyDescent="0.2">
      <c r="A7787">
        <v>7726</v>
      </c>
      <c r="B7787" s="137">
        <f>'Expenditures 15-22'!H333</f>
        <v>0</v>
      </c>
      <c r="D7787" s="2" t="str">
        <f t="shared" si="127"/>
        <v>Error?</v>
      </c>
      <c r="E7787" s="4" t="s">
        <v>1851</v>
      </c>
    </row>
    <row r="7788" spans="1:5" x14ac:dyDescent="0.2">
      <c r="A7788">
        <v>7727</v>
      </c>
      <c r="B7788" s="137">
        <f>'Expenditures 15-22'!K333</f>
        <v>0</v>
      </c>
      <c r="D7788" s="2" t="str">
        <f t="shared" si="127"/>
        <v>Error?</v>
      </c>
      <c r="E7788" s="4" t="s">
        <v>1851</v>
      </c>
    </row>
    <row r="7789" spans="1:5" x14ac:dyDescent="0.2">
      <c r="A7789">
        <v>7728</v>
      </c>
      <c r="B7789" s="137">
        <f>'Expenditures 15-22'!H334</f>
        <v>0</v>
      </c>
      <c r="D7789" s="2" t="str">
        <f t="shared" si="127"/>
        <v>Error?</v>
      </c>
      <c r="E7789" s="4" t="s">
        <v>1851</v>
      </c>
    </row>
    <row r="7790" spans="1:5" x14ac:dyDescent="0.2">
      <c r="A7790">
        <v>7729</v>
      </c>
      <c r="B7790" s="137">
        <f>'Expenditures 15-22'!K334</f>
        <v>0</v>
      </c>
      <c r="D7790" s="2" t="str">
        <f t="shared" si="127"/>
        <v>Error?</v>
      </c>
      <c r="E7790" s="4" t="s">
        <v>1851</v>
      </c>
    </row>
    <row r="7791" spans="1:5" x14ac:dyDescent="0.2">
      <c r="A7791">
        <v>7730</v>
      </c>
      <c r="B7791" s="137">
        <f>'Expenditures 15-22'!H354</f>
        <v>0</v>
      </c>
      <c r="D7791" s="2" t="str">
        <f t="shared" si="127"/>
        <v>Error?</v>
      </c>
      <c r="E7791" s="4" t="s">
        <v>1851</v>
      </c>
    </row>
    <row r="7792" spans="1:5" x14ac:dyDescent="0.2">
      <c r="A7792">
        <v>7731</v>
      </c>
      <c r="B7792" s="137">
        <f>'Expenditures 15-22'!K354</f>
        <v>0</v>
      </c>
      <c r="D7792" s="2" t="str">
        <f t="shared" si="127"/>
        <v>Error?</v>
      </c>
      <c r="E7792" s="4" t="s">
        <v>1851</v>
      </c>
    </row>
    <row r="7793" spans="1:5" x14ac:dyDescent="0.2">
      <c r="A7793">
        <v>7732</v>
      </c>
      <c r="B7793" s="137">
        <f>'Expenditures 15-22'!H355</f>
        <v>0</v>
      </c>
      <c r="D7793" s="2" t="str">
        <f t="shared" si="127"/>
        <v>Error?</v>
      </c>
      <c r="E7793" s="4" t="s">
        <v>1851</v>
      </c>
    </row>
    <row r="7794" spans="1:5" x14ac:dyDescent="0.2">
      <c r="A7794">
        <v>7733</v>
      </c>
      <c r="B7794" s="137">
        <f>'Expenditures 15-22'!K355</f>
        <v>0</v>
      </c>
      <c r="D7794" s="2" t="str">
        <f t="shared" si="127"/>
        <v>Error?</v>
      </c>
      <c r="E7794" s="4" t="s">
        <v>1851</v>
      </c>
    </row>
    <row r="7795" spans="1:5" x14ac:dyDescent="0.2">
      <c r="A7795">
        <v>7734</v>
      </c>
      <c r="B7795" s="137">
        <f>'Expenditures 15-22'!E138</f>
        <v>0</v>
      </c>
      <c r="D7795" s="2" t="str">
        <f t="shared" si="127"/>
        <v>Error?</v>
      </c>
      <c r="E7795" s="4" t="s">
        <v>1851</v>
      </c>
    </row>
    <row r="7796" spans="1:5" x14ac:dyDescent="0.2">
      <c r="A7796">
        <v>7735</v>
      </c>
      <c r="B7796" s="137">
        <f>'Acct Summary 7-8'!J15</f>
        <v>0</v>
      </c>
      <c r="D7796" s="2" t="str">
        <f t="shared" si="127"/>
        <v>Error?</v>
      </c>
      <c r="E7796" s="4" t="s">
        <v>1851</v>
      </c>
    </row>
    <row r="7797" spans="1:5" x14ac:dyDescent="0.2">
      <c r="A7797">
        <v>7736</v>
      </c>
      <c r="B7797" s="137">
        <f>'Contracts Paid in CY 29'!D141</f>
        <v>304885</v>
      </c>
      <c r="D7797" s="2" t="str">
        <f t="shared" si="127"/>
        <v>Error?</v>
      </c>
      <c r="E7797" s="4" t="s">
        <v>1900</v>
      </c>
    </row>
    <row r="7798" spans="1:5" x14ac:dyDescent="0.2">
      <c r="A7798">
        <v>7737</v>
      </c>
      <c r="B7798" s="137">
        <f>'Contracts Paid in CY 29'!F141</f>
        <v>100000</v>
      </c>
      <c r="D7798" s="2" t="str">
        <f t="shared" si="127"/>
        <v>Error?</v>
      </c>
      <c r="E7798" s="4" t="s">
        <v>1900</v>
      </c>
    </row>
    <row r="7799" spans="1:5" x14ac:dyDescent="0.2">
      <c r="A7799">
        <v>7738</v>
      </c>
      <c r="B7799" s="137">
        <f>'Contracts Paid in CY 29'!G141</f>
        <v>204885</v>
      </c>
      <c r="D7799" s="2" t="str">
        <f t="shared" si="127"/>
        <v>Error?</v>
      </c>
      <c r="E7799" s="4" t="s">
        <v>1900</v>
      </c>
    </row>
    <row r="7800" spans="1:5" x14ac:dyDescent="0.2">
      <c r="A7800">
        <v>7739</v>
      </c>
      <c r="D7800" s="2" t="str">
        <f t="shared" si="127"/>
        <v>OK</v>
      </c>
    </row>
    <row r="7801" spans="1:5" x14ac:dyDescent="0.2">
      <c r="A7801">
        <v>7740</v>
      </c>
      <c r="B7801" s="137">
        <f>'Revenues 9-14'!C120</f>
        <v>0</v>
      </c>
      <c r="D7801" s="2" t="str">
        <f t="shared" si="127"/>
        <v>Error?</v>
      </c>
      <c r="E7801" s="4" t="s">
        <v>1937</v>
      </c>
    </row>
    <row r="7802" spans="1:5" x14ac:dyDescent="0.2">
      <c r="A7802">
        <v>7741</v>
      </c>
      <c r="B7802" s="137">
        <f>'Revenues 9-14'!D120</f>
        <v>0</v>
      </c>
      <c r="D7802" s="2" t="str">
        <f t="shared" si="127"/>
        <v>Error?</v>
      </c>
      <c r="E7802" s="4" t="s">
        <v>1937</v>
      </c>
    </row>
    <row r="7803" spans="1:5" x14ac:dyDescent="0.2">
      <c r="A7803">
        <v>7742</v>
      </c>
      <c r="B7803" s="137">
        <f>'Revenues 9-14'!E120</f>
        <v>0</v>
      </c>
      <c r="D7803" s="2" t="str">
        <f t="shared" si="127"/>
        <v>Error?</v>
      </c>
      <c r="E7803" s="4" t="s">
        <v>1937</v>
      </c>
    </row>
    <row r="7804" spans="1:5" x14ac:dyDescent="0.2">
      <c r="A7804">
        <v>7743</v>
      </c>
      <c r="B7804" s="137">
        <f>'Revenues 9-14'!F120</f>
        <v>0</v>
      </c>
      <c r="D7804" s="2" t="str">
        <f t="shared" si="127"/>
        <v>Error?</v>
      </c>
      <c r="E7804" s="4" t="s">
        <v>1937</v>
      </c>
    </row>
    <row r="7805" spans="1:5" x14ac:dyDescent="0.2">
      <c r="A7805">
        <v>7744</v>
      </c>
      <c r="B7805" s="137">
        <f>'Revenues 9-14'!G120</f>
        <v>0</v>
      </c>
      <c r="D7805" s="2" t="str">
        <f t="shared" si="127"/>
        <v>Error?</v>
      </c>
      <c r="E7805" s="4" t="s">
        <v>1937</v>
      </c>
    </row>
    <row r="7806" spans="1:5" x14ac:dyDescent="0.2">
      <c r="A7806">
        <v>7745</v>
      </c>
      <c r="B7806" s="137">
        <f>'Revenues 9-14'!H120</f>
        <v>0</v>
      </c>
      <c r="D7806" s="2" t="str">
        <f t="shared" si="127"/>
        <v>Error?</v>
      </c>
      <c r="E7806" s="4" t="s">
        <v>1937</v>
      </c>
    </row>
    <row r="7807" spans="1:5" x14ac:dyDescent="0.2">
      <c r="A7807">
        <v>7746</v>
      </c>
      <c r="B7807" s="137">
        <f>'Revenues 9-14'!J120</f>
        <v>0</v>
      </c>
      <c r="D7807" s="2" t="str">
        <f t="shared" ref="D7807:D7816" si="128">IF(ISBLANK(B7807),"OK",IF(A7807-B7807=0,"OK","Error?"))</f>
        <v>Error?</v>
      </c>
      <c r="E7807" s="4" t="s">
        <v>1937</v>
      </c>
    </row>
    <row r="7808" spans="1:5" x14ac:dyDescent="0.2">
      <c r="A7808">
        <v>7747</v>
      </c>
      <c r="B7808" s="137">
        <f>'Revenues 9-14'!K120</f>
        <v>0</v>
      </c>
      <c r="D7808" s="2" t="str">
        <f t="shared" si="128"/>
        <v>Error?</v>
      </c>
      <c r="E7808" s="4" t="s">
        <v>1937</v>
      </c>
    </row>
    <row r="7809" spans="1:5" x14ac:dyDescent="0.2">
      <c r="A7809">
        <v>7748</v>
      </c>
      <c r="B7809" s="137">
        <f>'Revenues 9-14'!C261</f>
        <v>0</v>
      </c>
      <c r="D7809" s="2" t="str">
        <f t="shared" si="128"/>
        <v>Error?</v>
      </c>
      <c r="E7809" s="4" t="s">
        <v>1938</v>
      </c>
    </row>
    <row r="7810" spans="1:5" x14ac:dyDescent="0.2">
      <c r="A7810">
        <v>7749</v>
      </c>
      <c r="B7810" s="137">
        <f>'Revenues 9-14'!D261</f>
        <v>0</v>
      </c>
      <c r="D7810" s="2" t="str">
        <f t="shared" si="128"/>
        <v>Error?</v>
      </c>
      <c r="E7810" s="4" t="s">
        <v>1938</v>
      </c>
    </row>
    <row r="7811" spans="1:5" x14ac:dyDescent="0.2">
      <c r="A7811">
        <v>7750</v>
      </c>
      <c r="B7811" s="137">
        <f>'Revenues 9-14'!F261</f>
        <v>0</v>
      </c>
      <c r="D7811" s="2" t="str">
        <f t="shared" si="128"/>
        <v>Error?</v>
      </c>
      <c r="E7811" s="4" t="s">
        <v>1938</v>
      </c>
    </row>
    <row r="7812" spans="1:5" x14ac:dyDescent="0.2">
      <c r="A7812">
        <v>7751</v>
      </c>
      <c r="B7812" s="137">
        <f>'Revenues 9-14'!G261</f>
        <v>0</v>
      </c>
      <c r="D7812" s="2" t="str">
        <f t="shared" si="128"/>
        <v>Error?</v>
      </c>
      <c r="E7812" s="4" t="s">
        <v>1938</v>
      </c>
    </row>
    <row r="7813" spans="1:5" x14ac:dyDescent="0.2">
      <c r="A7813">
        <v>7752</v>
      </c>
      <c r="B7813" s="137">
        <f>'Revenues 9-14'!C262</f>
        <v>0</v>
      </c>
      <c r="D7813" s="2" t="str">
        <f t="shared" si="128"/>
        <v>Error?</v>
      </c>
      <c r="E7813" s="4" t="s">
        <v>1939</v>
      </c>
    </row>
    <row r="7814" spans="1:5" x14ac:dyDescent="0.2">
      <c r="A7814">
        <v>7753</v>
      </c>
      <c r="B7814" s="137">
        <f>'Revenues 9-14'!D262</f>
        <v>0</v>
      </c>
      <c r="D7814" s="2" t="str">
        <f t="shared" si="128"/>
        <v>Error?</v>
      </c>
      <c r="E7814" s="4" t="s">
        <v>1939</v>
      </c>
    </row>
    <row r="7815" spans="1:5" x14ac:dyDescent="0.2">
      <c r="A7815">
        <v>7754</v>
      </c>
      <c r="B7815" s="137">
        <f>'Revenues 9-14'!F262</f>
        <v>0</v>
      </c>
      <c r="D7815" s="2" t="str">
        <f t="shared" si="128"/>
        <v>Error?</v>
      </c>
      <c r="E7815" s="4" t="s">
        <v>1939</v>
      </c>
    </row>
    <row r="7816" spans="1:5" x14ac:dyDescent="0.2">
      <c r="A7816">
        <v>7755</v>
      </c>
      <c r="B7816" s="137">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N23" sqref="N23"/>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72" t="s">
        <v>1191</v>
      </c>
      <c r="B2" s="2472"/>
      <c r="C2" s="2472"/>
      <c r="D2" s="2472"/>
      <c r="E2" s="2472"/>
      <c r="F2" s="2472"/>
      <c r="G2" s="2472"/>
      <c r="H2" s="2472"/>
      <c r="I2" s="2472"/>
      <c r="J2" s="2472"/>
      <c r="K2" s="2472"/>
      <c r="L2" s="2472"/>
    </row>
    <row r="3" spans="1:29" ht="13.5" customHeight="1" x14ac:dyDescent="0.2">
      <c r="A3" s="2503" t="s">
        <v>1190</v>
      </c>
      <c r="B3" s="2503"/>
      <c r="C3" s="2503"/>
      <c r="D3" s="2503"/>
      <c r="E3" s="2503"/>
      <c r="F3" s="2503"/>
      <c r="G3" s="2503"/>
      <c r="H3" s="2503"/>
      <c r="I3" s="2503"/>
      <c r="J3" s="2503"/>
      <c r="K3" s="2503"/>
      <c r="L3" s="2503"/>
    </row>
    <row r="4" spans="1:29" ht="13.5" customHeight="1" x14ac:dyDescent="0.2">
      <c r="A4" s="2472" t="s">
        <v>1985</v>
      </c>
      <c r="B4" s="2493"/>
      <c r="C4" s="2493"/>
      <c r="D4" s="2493"/>
      <c r="E4" s="2493"/>
      <c r="F4" s="2493"/>
      <c r="G4" s="2493"/>
      <c r="H4" s="2493"/>
      <c r="I4" s="2493"/>
      <c r="J4" s="2493"/>
      <c r="K4" s="2493"/>
      <c r="L4" s="249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94" t="str">
        <f>COVER!A17</f>
        <v>Fox Lake GSD 114</v>
      </c>
      <c r="B7" s="2495"/>
      <c r="C7" s="2495"/>
      <c r="D7" s="2496"/>
      <c r="E7" s="2497">
        <f>COVER!A13</f>
        <v>34049114002</v>
      </c>
      <c r="F7" s="2498"/>
      <c r="G7" s="2504" t="str">
        <f>COVER!T23</f>
        <v>066-005340</v>
      </c>
      <c r="H7" s="2505"/>
      <c r="I7" s="2505"/>
      <c r="J7" s="2505"/>
      <c r="K7" s="2505"/>
      <c r="L7" s="250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507"/>
      <c r="B9" s="2508"/>
      <c r="C9" s="2508"/>
      <c r="D9" s="2508"/>
      <c r="E9" s="2508"/>
      <c r="F9" s="2509"/>
      <c r="G9" s="2478" t="str">
        <f>COVER!T13</f>
        <v>EVANS, MARSHALL &amp; PEASE, P.C.</v>
      </c>
      <c r="H9" s="2510"/>
      <c r="I9" s="2510"/>
      <c r="J9" s="2510"/>
      <c r="K9" s="2510"/>
      <c r="L9" s="2511"/>
    </row>
    <row r="10" spans="1:29" ht="13.5" customHeight="1" x14ac:dyDescent="0.2">
      <c r="A10" s="2484">
        <f>COVER!A38</f>
        <v>0</v>
      </c>
      <c r="B10" s="2485"/>
      <c r="C10" s="2485"/>
      <c r="D10" s="2485"/>
      <c r="E10" s="2485"/>
      <c r="F10" s="2486"/>
      <c r="G10" s="2478" t="str">
        <f>COVER!T17</f>
        <v>1875 HICKS ROAD</v>
      </c>
      <c r="H10" s="2479"/>
      <c r="I10" s="2479"/>
      <c r="J10" s="2479"/>
      <c r="K10" s="2479"/>
      <c r="L10" s="2480"/>
    </row>
    <row r="11" spans="1:29" ht="13.5" customHeight="1" x14ac:dyDescent="0.2">
      <c r="A11" s="1183" t="s">
        <v>1519</v>
      </c>
      <c r="B11" s="1184"/>
      <c r="C11" s="1185"/>
      <c r="D11" s="1190"/>
      <c r="E11" s="1185"/>
      <c r="F11" s="1189"/>
      <c r="G11" s="2478" t="str">
        <f>COVER!T19</f>
        <v>ROLLING MEADOWS</v>
      </c>
      <c r="H11" s="2479"/>
      <c r="I11" s="2479"/>
      <c r="J11" s="2479"/>
      <c r="K11" s="2479"/>
      <c r="L11" s="2480"/>
    </row>
    <row r="12" spans="1:29" ht="13.5" customHeight="1" x14ac:dyDescent="0.2">
      <c r="A12" s="2487" t="s">
        <v>1518</v>
      </c>
      <c r="B12" s="2488"/>
      <c r="C12" s="2488"/>
      <c r="D12" s="2488"/>
      <c r="E12" s="2488"/>
      <c r="F12" s="2489"/>
      <c r="G12" s="2481"/>
      <c r="H12" s="2482"/>
      <c r="I12" s="2482"/>
      <c r="J12" s="2482"/>
      <c r="K12" s="2482"/>
      <c r="L12" s="2483"/>
    </row>
    <row r="13" spans="1:29" ht="13.5" customHeight="1" x14ac:dyDescent="0.2">
      <c r="A13" s="2478"/>
      <c r="B13" s="2479"/>
      <c r="C13" s="2479"/>
      <c r="D13" s="2479"/>
      <c r="E13" s="2479"/>
      <c r="F13" s="2480"/>
      <c r="G13" s="2473" t="s">
        <v>1520</v>
      </c>
      <c r="H13" s="2474"/>
      <c r="I13" s="2490" t="str">
        <f>COVER!T25</f>
        <v>JEFF@EMPCPA.COM</v>
      </c>
      <c r="J13" s="2491"/>
      <c r="K13" s="2491"/>
      <c r="L13" s="2492"/>
    </row>
    <row r="14" spans="1:29" ht="13.5" customHeight="1" x14ac:dyDescent="0.2">
      <c r="A14" s="2478" t="str">
        <f>COVER!A19</f>
        <v xml:space="preserve">29067 WEST GRASS LAKE ROAD </v>
      </c>
      <c r="B14" s="2479"/>
      <c r="C14" s="2479"/>
      <c r="D14" s="2479"/>
      <c r="E14" s="2479"/>
      <c r="F14" s="2480"/>
      <c r="G14" s="1194" t="s">
        <v>1185</v>
      </c>
      <c r="H14" s="1192"/>
      <c r="I14" s="1192"/>
      <c r="J14" s="1192"/>
      <c r="K14" s="1192"/>
      <c r="L14" s="1193"/>
    </row>
    <row r="15" spans="1:29" ht="13.5" customHeight="1" x14ac:dyDescent="0.2">
      <c r="A15" s="2478" t="str">
        <f>COVER!A21</f>
        <v>SPRING GROVE</v>
      </c>
      <c r="B15" s="2479"/>
      <c r="C15" s="2479"/>
      <c r="D15" s="2479"/>
      <c r="E15" s="2479"/>
      <c r="F15" s="2480"/>
      <c r="G15" s="2475" t="str">
        <f>COVER!T15</f>
        <v>JEFFERY M. ROLLEFSON</v>
      </c>
      <c r="H15" s="2476"/>
      <c r="I15" s="2476"/>
      <c r="J15" s="2476"/>
      <c r="K15" s="2476"/>
      <c r="L15" s="2477"/>
    </row>
    <row r="16" spans="1:29" ht="12.2" customHeight="1" x14ac:dyDescent="0.2">
      <c r="A16" s="2500">
        <f>COVER!A25</f>
        <v>60081</v>
      </c>
      <c r="B16" s="2501"/>
      <c r="C16" s="2501"/>
      <c r="D16" s="2501"/>
      <c r="E16" s="2501"/>
      <c r="F16" s="2502"/>
      <c r="G16" s="2512"/>
      <c r="H16" s="2513"/>
      <c r="I16" s="2513"/>
      <c r="J16" s="2513"/>
      <c r="K16" s="2513"/>
      <c r="L16" s="2514"/>
    </row>
    <row r="17" spans="1:13" ht="12.2" customHeight="1" x14ac:dyDescent="0.2">
      <c r="A17" s="2515"/>
      <c r="B17" s="2501"/>
      <c r="C17" s="2501"/>
      <c r="D17" s="2501"/>
      <c r="E17" s="2501"/>
      <c r="F17" s="2502"/>
      <c r="G17" s="1194" t="s">
        <v>1184</v>
      </c>
      <c r="H17" s="1192"/>
      <c r="I17" s="1192"/>
      <c r="J17" s="1192"/>
      <c r="K17" s="1196" t="s">
        <v>1183</v>
      </c>
      <c r="L17" s="1189"/>
      <c r="M17" s="1182"/>
    </row>
    <row r="18" spans="1:13" ht="12.2" customHeight="1" x14ac:dyDescent="0.2">
      <c r="A18" s="2484"/>
      <c r="B18" s="2485"/>
      <c r="C18" s="2485"/>
      <c r="D18" s="2485"/>
      <c r="E18" s="2485"/>
      <c r="F18" s="2486"/>
      <c r="G18" s="2494" t="str">
        <f>COVER!T21</f>
        <v>847-221-5700</v>
      </c>
      <c r="H18" s="2495"/>
      <c r="I18" s="2495"/>
      <c r="J18" s="2495"/>
      <c r="K18" s="2494" t="str">
        <f>COVER!X21</f>
        <v>847-221-5701</v>
      </c>
      <c r="L18" s="249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85" zoomScaleNormal="8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516" t="str">
        <f>'Single Audit Cover'!A7</f>
        <v>Fox Lake GSD 114</v>
      </c>
      <c r="B1" s="2493"/>
      <c r="C1" s="2493"/>
      <c r="D1" s="2493"/>
    </row>
    <row r="2" spans="1:11" s="1211" customFormat="1" ht="12.75" x14ac:dyDescent="0.2">
      <c r="A2" s="2517">
        <f>'Single Audit Cover'!E7</f>
        <v>34049114002</v>
      </c>
      <c r="B2" s="2518"/>
      <c r="C2" s="2518"/>
      <c r="D2" s="2518"/>
    </row>
    <row r="3" spans="1:11" s="1211" customFormat="1" ht="12.75" x14ac:dyDescent="0.2">
      <c r="A3" s="2516" t="s">
        <v>1513</v>
      </c>
      <c r="B3" s="2493"/>
      <c r="C3" s="2493"/>
      <c r="D3" s="249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1834</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9" sqref="D39"/>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520" t="str">
        <f>'Single Audit Cover'!A7</f>
        <v>Fox Lake GSD 114</v>
      </c>
      <c r="B1" s="2520"/>
      <c r="C1" s="2520"/>
      <c r="D1" s="2520"/>
      <c r="E1" s="2520"/>
    </row>
    <row r="2" spans="1:5" x14ac:dyDescent="0.2">
      <c r="A2" s="2521">
        <f>'Single Audit Cover'!E7</f>
        <v>34049114002</v>
      </c>
      <c r="B2" s="2521"/>
      <c r="C2" s="2521"/>
      <c r="D2" s="2521"/>
      <c r="E2" s="2521"/>
    </row>
    <row r="3" spans="1:5" ht="4.5" customHeight="1" x14ac:dyDescent="0.2"/>
    <row r="4" spans="1:5" x14ac:dyDescent="0.2">
      <c r="A4" s="2520" t="s">
        <v>1245</v>
      </c>
      <c r="B4" s="2520"/>
      <c r="C4" s="2520"/>
      <c r="D4" s="2520"/>
      <c r="E4" s="2520"/>
    </row>
    <row r="5" spans="1:5" x14ac:dyDescent="0.2">
      <c r="A5" s="2523" t="str">
        <f>'Single Audit Cover'!A4</f>
        <v>Year Ending June 30, 2019</v>
      </c>
      <c r="B5" s="2523"/>
      <c r="C5" s="2523"/>
      <c r="D5" s="2523"/>
      <c r="E5" s="2523"/>
    </row>
    <row r="6" spans="1:5" x14ac:dyDescent="0.2">
      <c r="A6" s="2520" t="s">
        <v>1244</v>
      </c>
      <c r="B6" s="2520"/>
      <c r="C6" s="2520"/>
      <c r="D6" s="2520"/>
      <c r="E6" s="2520"/>
    </row>
    <row r="8" spans="1:5" x14ac:dyDescent="0.2">
      <c r="A8" s="1256" t="s">
        <v>1243</v>
      </c>
    </row>
    <row r="10" spans="1:5" x14ac:dyDescent="0.2">
      <c r="A10" s="1257" t="s">
        <v>1242</v>
      </c>
      <c r="B10" s="1258" t="s">
        <v>1241</v>
      </c>
      <c r="C10" s="1258"/>
      <c r="D10" s="1259">
        <f>SUM('Acct Summary 7-8'!C7:K7)</f>
        <v>826776</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29914</v>
      </c>
    </row>
    <row r="15" spans="1:5" x14ac:dyDescent="0.2">
      <c r="A15" s="1257"/>
      <c r="B15" s="1258"/>
      <c r="C15" s="1258"/>
    </row>
    <row r="16" spans="1:5" x14ac:dyDescent="0.2">
      <c r="A16" s="1257" t="s">
        <v>1840</v>
      </c>
      <c r="B16" s="1258"/>
      <c r="C16" s="1258"/>
    </row>
    <row r="17" spans="1:4" x14ac:dyDescent="0.2">
      <c r="A17" s="1257" t="s">
        <v>2056</v>
      </c>
      <c r="B17" s="1258" t="s">
        <v>1236</v>
      </c>
      <c r="C17" s="1258"/>
      <c r="D17" s="1260">
        <f>-SUM('Revenues 9-14'!C264:D264,'Revenues 9-14'!F264:G264)</f>
        <v>-82472</v>
      </c>
    </row>
    <row r="19" spans="1:4" ht="13.5" thickBot="1" x14ac:dyDescent="0.25">
      <c r="A19" s="1261" t="s">
        <v>1235</v>
      </c>
      <c r="D19" s="1262">
        <f>SUM(D10:D17)</f>
        <v>774218</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522"/>
      <c r="B24" s="2522"/>
      <c r="D24" s="1264"/>
    </row>
    <row r="25" spans="1:4" x14ac:dyDescent="0.2">
      <c r="A25" s="2519"/>
      <c r="B25" s="2519"/>
      <c r="D25" s="1264"/>
    </row>
    <row r="26" spans="1:4" x14ac:dyDescent="0.2">
      <c r="A26" s="2519"/>
      <c r="B26" s="2519"/>
      <c r="D26" s="1264"/>
    </row>
    <row r="27" spans="1:4" x14ac:dyDescent="0.2">
      <c r="A27" s="2519"/>
      <c r="B27" s="2519"/>
      <c r="D27" s="1264"/>
    </row>
    <row r="28" spans="1:4" x14ac:dyDescent="0.2">
      <c r="A28" s="2519"/>
      <c r="B28" s="2519"/>
      <c r="D28" s="1264"/>
    </row>
    <row r="29" spans="1:4" x14ac:dyDescent="0.2">
      <c r="A29" s="2519"/>
      <c r="B29" s="2519"/>
      <c r="D29" s="1264"/>
    </row>
    <row r="30" spans="1:4" x14ac:dyDescent="0.2">
      <c r="A30" s="2519"/>
      <c r="B30" s="2519"/>
      <c r="D30" s="1264"/>
    </row>
    <row r="32" spans="1:4" x14ac:dyDescent="0.2">
      <c r="A32" s="1256" t="s">
        <v>1233</v>
      </c>
      <c r="D32" s="1259">
        <f>SUM(D19)</f>
        <v>774218</v>
      </c>
    </row>
    <row r="33" spans="1:4" x14ac:dyDescent="0.2">
      <c r="D33" s="1265"/>
    </row>
    <row r="34" spans="1:4" x14ac:dyDescent="0.2">
      <c r="A34" s="316" t="s">
        <v>1232</v>
      </c>
    </row>
    <row r="35" spans="1:4" x14ac:dyDescent="0.2">
      <c r="A35" s="316" t="s">
        <v>1231</v>
      </c>
      <c r="B35" s="1254" t="s">
        <v>1230</v>
      </c>
      <c r="D35" s="1266">
        <v>774219</v>
      </c>
    </row>
    <row r="37" spans="1:4" x14ac:dyDescent="0.2">
      <c r="A37" s="1256" t="s">
        <v>1229</v>
      </c>
    </row>
    <row r="39" spans="1:4" ht="13.35" customHeight="1" x14ac:dyDescent="0.2">
      <c r="A39" s="1263" t="s">
        <v>1228</v>
      </c>
    </row>
    <row r="40" spans="1:4" x14ac:dyDescent="0.2">
      <c r="A40" s="2519" t="s">
        <v>2141</v>
      </c>
      <c r="B40" s="2519"/>
      <c r="D40" s="1264">
        <v>-1</v>
      </c>
    </row>
    <row r="41" spans="1:4" x14ac:dyDescent="0.2">
      <c r="A41" s="2519"/>
      <c r="B41" s="2519"/>
      <c r="D41" s="1267"/>
    </row>
    <row r="42" spans="1:4" x14ac:dyDescent="0.2">
      <c r="A42" s="2519"/>
      <c r="B42" s="2519"/>
      <c r="D42" s="1267"/>
    </row>
    <row r="43" spans="1:4" x14ac:dyDescent="0.2">
      <c r="A43" s="2519"/>
      <c r="B43" s="2519"/>
      <c r="D43" s="1267"/>
    </row>
    <row r="44" spans="1:4" x14ac:dyDescent="0.2">
      <c r="A44" s="2519"/>
      <c r="B44" s="2519"/>
      <c r="D44" s="1267"/>
    </row>
    <row r="45" spans="1:4" x14ac:dyDescent="0.2">
      <c r="A45" s="2519"/>
      <c r="B45" s="2519"/>
      <c r="D45" s="1267"/>
    </row>
    <row r="47" spans="1:4" x14ac:dyDescent="0.2">
      <c r="B47" s="1268" t="s">
        <v>1227</v>
      </c>
      <c r="C47" s="1268"/>
      <c r="D47" s="1269">
        <f>SUM(D35:D45)</f>
        <v>774218</v>
      </c>
    </row>
    <row r="49" spans="2:4" x14ac:dyDescent="0.2">
      <c r="B49" s="1268" t="s">
        <v>1226</v>
      </c>
      <c r="C49" s="1268"/>
      <c r="D49" s="126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7" zoomScaleNormal="100" workbookViewId="0">
      <selection activeCell="N23" sqref="N23"/>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503" t="str">
        <f>'Single Audit Cover'!A7</f>
        <v>Fox Lake GSD 114</v>
      </c>
      <c r="C1" s="2524"/>
      <c r="D1" s="2524"/>
      <c r="E1" s="2524"/>
      <c r="F1" s="2524"/>
      <c r="G1" s="2524"/>
      <c r="H1" s="2524"/>
      <c r="I1" s="2524"/>
      <c r="J1" s="2524"/>
      <c r="K1" s="2524"/>
      <c r="L1" s="2524"/>
      <c r="M1" s="2524"/>
    </row>
    <row r="2" spans="2:14" ht="15" x14ac:dyDescent="0.2">
      <c r="B2" s="2525">
        <f>'Single Audit Cover'!E7</f>
        <v>34049114002</v>
      </c>
      <c r="C2" s="2525"/>
      <c r="D2" s="2525"/>
      <c r="E2" s="2525"/>
      <c r="F2" s="2525"/>
      <c r="G2" s="2525"/>
      <c r="H2" s="2525"/>
      <c r="I2" s="2525"/>
      <c r="J2" s="2525"/>
      <c r="K2" s="2525"/>
      <c r="L2" s="2525"/>
      <c r="M2" s="2525"/>
      <c r="N2" s="1298"/>
    </row>
    <row r="3" spans="2:14" ht="15" x14ac:dyDescent="0.2">
      <c r="B3" s="2526" t="s">
        <v>1219</v>
      </c>
      <c r="C3" s="2526"/>
      <c r="D3" s="2526"/>
      <c r="E3" s="2526"/>
      <c r="F3" s="2526"/>
      <c r="G3" s="2526"/>
      <c r="H3" s="2526"/>
      <c r="I3" s="2526"/>
      <c r="J3" s="2526"/>
      <c r="K3" s="2526"/>
      <c r="L3" s="2526"/>
      <c r="M3" s="2526"/>
      <c r="N3" s="1298"/>
    </row>
    <row r="4" spans="2:14" ht="15" x14ac:dyDescent="0.2">
      <c r="B4" s="2527" t="str">
        <f>'Single Audit Cover'!A4</f>
        <v>Year Ending June 30, 2019</v>
      </c>
      <c r="C4" s="2527"/>
      <c r="D4" s="2527"/>
      <c r="E4" s="2527"/>
      <c r="F4" s="2527"/>
      <c r="G4" s="2527"/>
      <c r="H4" s="2527"/>
      <c r="I4" s="2527"/>
      <c r="J4" s="2527"/>
      <c r="K4" s="2527"/>
      <c r="L4" s="2527"/>
      <c r="M4" s="2527"/>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1986</v>
      </c>
      <c r="K8" s="1315" t="s">
        <v>1261</v>
      </c>
      <c r="L8" s="1316" t="s">
        <v>1257</v>
      </c>
      <c r="M8" s="1317" t="s">
        <v>30</v>
      </c>
    </row>
    <row r="9" spans="2:14" ht="14.25" x14ac:dyDescent="0.2">
      <c r="B9" s="1321" t="s">
        <v>1259</v>
      </c>
      <c r="C9" s="1309" t="s">
        <v>1732</v>
      </c>
      <c r="D9" s="1310" t="s">
        <v>1733</v>
      </c>
      <c r="E9" s="1318" t="s">
        <v>1836</v>
      </c>
      <c r="F9" s="1319" t="s">
        <v>1986</v>
      </c>
      <c r="G9" s="1320" t="s">
        <v>1836</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38" t="s">
        <v>2094</v>
      </c>
      <c r="C11" s="1334"/>
      <c r="D11" s="1335"/>
      <c r="E11" s="1336"/>
      <c r="F11" s="1336"/>
      <c r="G11" s="1336"/>
      <c r="H11" s="1336"/>
      <c r="I11" s="1336"/>
      <c r="J11" s="1336"/>
      <c r="K11" s="1336"/>
      <c r="L11" s="1336"/>
      <c r="M11" s="1336"/>
    </row>
    <row r="12" spans="2:14" ht="20.100000000000001" customHeight="1" x14ac:dyDescent="0.2">
      <c r="B12" s="1939" t="s">
        <v>2095</v>
      </c>
      <c r="C12" s="1337"/>
      <c r="D12" s="1338"/>
      <c r="E12" s="1339"/>
      <c r="F12" s="1339"/>
      <c r="G12" s="1339"/>
      <c r="H12" s="1339"/>
      <c r="I12" s="1339"/>
      <c r="J12" s="1339"/>
      <c r="K12" s="1339"/>
      <c r="L12" s="1336"/>
      <c r="M12" s="1339"/>
    </row>
    <row r="13" spans="2:14" ht="20.100000000000001" customHeight="1" x14ac:dyDescent="0.2">
      <c r="B13" s="1333" t="s">
        <v>2096</v>
      </c>
      <c r="C13" s="1337">
        <v>84.01</v>
      </c>
      <c r="D13" s="1338" t="s">
        <v>2097</v>
      </c>
      <c r="E13" s="1339">
        <v>123174</v>
      </c>
      <c r="F13" s="2031">
        <v>43873</v>
      </c>
      <c r="G13" s="1339">
        <v>167047</v>
      </c>
      <c r="H13" s="1339"/>
      <c r="I13" s="1339"/>
      <c r="J13" s="1339"/>
      <c r="K13" s="1339"/>
      <c r="L13" s="1336">
        <f t="shared" ref="L13:L27" si="0">+G13+I13+K13</f>
        <v>167047</v>
      </c>
      <c r="M13" s="1339">
        <v>145380</v>
      </c>
    </row>
    <row r="14" spans="2:14" ht="20.100000000000001" customHeight="1" x14ac:dyDescent="0.2">
      <c r="B14" s="1333" t="s">
        <v>2096</v>
      </c>
      <c r="C14" s="1337">
        <v>84.01</v>
      </c>
      <c r="D14" s="1338" t="s">
        <v>2098</v>
      </c>
      <c r="E14" s="1339"/>
      <c r="F14" s="2031">
        <v>103971</v>
      </c>
      <c r="G14" s="1339"/>
      <c r="H14" s="1339"/>
      <c r="I14" s="1339">
        <v>143545</v>
      </c>
      <c r="J14" s="1339"/>
      <c r="K14" s="1339"/>
      <c r="L14" s="1336">
        <f t="shared" si="0"/>
        <v>143545</v>
      </c>
      <c r="M14" s="1339">
        <v>167047</v>
      </c>
    </row>
    <row r="15" spans="2:14" ht="20.100000000000001" customHeight="1" x14ac:dyDescent="0.2">
      <c r="B15" s="1333" t="s">
        <v>2099</v>
      </c>
      <c r="C15" s="1337">
        <v>84.424000000000007</v>
      </c>
      <c r="D15" s="1338" t="s">
        <v>2100</v>
      </c>
      <c r="E15" s="1339"/>
      <c r="F15" s="2031">
        <v>10000</v>
      </c>
      <c r="G15" s="1339"/>
      <c r="H15" s="1339"/>
      <c r="I15" s="1339">
        <v>10000</v>
      </c>
      <c r="J15" s="1339"/>
      <c r="K15" s="1339"/>
      <c r="L15" s="1336">
        <f t="shared" si="0"/>
        <v>10000</v>
      </c>
      <c r="M15" s="1339">
        <v>10000</v>
      </c>
    </row>
    <row r="16" spans="2:14" ht="20.100000000000001" customHeight="1" x14ac:dyDescent="0.2">
      <c r="B16" s="1333" t="s">
        <v>2101</v>
      </c>
      <c r="C16" s="1337">
        <v>84.364999999999995</v>
      </c>
      <c r="D16" s="1338" t="s">
        <v>2102</v>
      </c>
      <c r="E16" s="1339"/>
      <c r="F16" s="2031">
        <v>1190</v>
      </c>
      <c r="G16" s="1339"/>
      <c r="H16" s="1339"/>
      <c r="I16" s="1339">
        <v>5326</v>
      </c>
      <c r="J16" s="1339"/>
      <c r="K16" s="1339"/>
      <c r="L16" s="1336" t="s">
        <v>2103</v>
      </c>
      <c r="M16" s="1339">
        <v>12400</v>
      </c>
    </row>
    <row r="17" spans="2:14" ht="20.100000000000001" customHeight="1" x14ac:dyDescent="0.2">
      <c r="B17" s="1333" t="s">
        <v>2105</v>
      </c>
      <c r="C17" s="1337">
        <v>84.367000000000004</v>
      </c>
      <c r="D17" s="1338" t="s">
        <v>2106</v>
      </c>
      <c r="E17" s="1339">
        <v>12496</v>
      </c>
      <c r="F17" s="2031">
        <v>3608</v>
      </c>
      <c r="G17" s="1339">
        <v>16104</v>
      </c>
      <c r="H17" s="1339"/>
      <c r="I17" s="1339"/>
      <c r="J17" s="1339"/>
      <c r="K17" s="1339"/>
      <c r="L17" s="1336">
        <f t="shared" si="0"/>
        <v>16104</v>
      </c>
      <c r="M17" s="1339">
        <v>41282</v>
      </c>
    </row>
    <row r="18" spans="2:14" ht="20.100000000000001" customHeight="1" x14ac:dyDescent="0.2">
      <c r="B18" s="1333" t="s">
        <v>2105</v>
      </c>
      <c r="C18" s="1337">
        <v>84.367000000000004</v>
      </c>
      <c r="D18" s="1338" t="s">
        <v>2107</v>
      </c>
      <c r="E18" s="1339"/>
      <c r="F18" s="2031">
        <v>27523</v>
      </c>
      <c r="G18" s="1339"/>
      <c r="H18" s="1339"/>
      <c r="I18" s="1339">
        <v>40849</v>
      </c>
      <c r="J18" s="1339"/>
      <c r="K18" s="1339"/>
      <c r="L18" s="1336">
        <f t="shared" si="0"/>
        <v>40849</v>
      </c>
      <c r="M18" s="1339">
        <v>60320</v>
      </c>
    </row>
    <row r="19" spans="2:14" ht="20.100000000000001" customHeight="1" x14ac:dyDescent="0.2">
      <c r="B19" s="1333" t="s">
        <v>2108</v>
      </c>
      <c r="C19" s="1337">
        <v>84.027000000000001</v>
      </c>
      <c r="D19" s="1338" t="s">
        <v>2109</v>
      </c>
      <c r="E19" s="1339">
        <v>72373</v>
      </c>
      <c r="F19" s="2031">
        <v>69552</v>
      </c>
      <c r="G19" s="1339">
        <v>72373</v>
      </c>
      <c r="H19" s="1339"/>
      <c r="I19" s="1339">
        <v>69552</v>
      </c>
      <c r="J19" s="1339"/>
      <c r="K19" s="1339"/>
      <c r="L19" s="1336">
        <f t="shared" si="0"/>
        <v>141925</v>
      </c>
      <c r="M19" s="1339" t="s">
        <v>2104</v>
      </c>
    </row>
    <row r="20" spans="2:14" ht="20.100000000000001" customHeight="1" x14ac:dyDescent="0.2">
      <c r="B20" s="1333" t="s">
        <v>2108</v>
      </c>
      <c r="C20" s="1337">
        <v>84.027000000000001</v>
      </c>
      <c r="D20" s="1338" t="s">
        <v>2110</v>
      </c>
      <c r="E20" s="1339"/>
      <c r="F20" s="2031">
        <v>104430</v>
      </c>
      <c r="G20" s="1339"/>
      <c r="H20" s="1339"/>
      <c r="I20" s="1339">
        <v>104430</v>
      </c>
      <c r="J20" s="1339"/>
      <c r="K20" s="1339"/>
      <c r="L20" s="1336" t="s">
        <v>2103</v>
      </c>
      <c r="M20" s="1339" t="s">
        <v>2104</v>
      </c>
    </row>
    <row r="21" spans="2:14" ht="20.100000000000001" customHeight="1" x14ac:dyDescent="0.2">
      <c r="B21" s="1333" t="s">
        <v>2108</v>
      </c>
      <c r="C21" s="1337">
        <v>84.027000000000001</v>
      </c>
      <c r="D21" s="1338" t="s">
        <v>2111</v>
      </c>
      <c r="E21" s="1339"/>
      <c r="F21" s="2031">
        <v>22999</v>
      </c>
      <c r="G21" s="1339"/>
      <c r="H21" s="1339"/>
      <c r="I21" s="1339">
        <v>22999</v>
      </c>
      <c r="J21" s="1339"/>
      <c r="K21" s="1339"/>
      <c r="L21" s="1336">
        <f t="shared" si="0"/>
        <v>22999</v>
      </c>
      <c r="M21" s="1339" t="s">
        <v>2104</v>
      </c>
    </row>
    <row r="22" spans="2:14" ht="20.100000000000001" customHeight="1" x14ac:dyDescent="0.2">
      <c r="B22" s="1333"/>
      <c r="C22" s="1337"/>
      <c r="D22" s="1338"/>
      <c r="E22" s="1339"/>
      <c r="F22" s="2031"/>
      <c r="G22" s="1339"/>
      <c r="H22" s="1339"/>
      <c r="I22" s="1339"/>
      <c r="J22" s="1339"/>
      <c r="K22" s="1339"/>
      <c r="L22" s="1336"/>
      <c r="M22" s="1339"/>
    </row>
    <row r="23" spans="2:14" ht="20.100000000000001" customHeight="1" x14ac:dyDescent="0.2">
      <c r="B23" s="1939" t="s">
        <v>2112</v>
      </c>
      <c r="C23" s="1337"/>
      <c r="D23" s="1338"/>
      <c r="E23" s="1339"/>
      <c r="F23" s="2031"/>
      <c r="G23" s="1339"/>
      <c r="H23" s="1339"/>
      <c r="I23" s="1339"/>
      <c r="J23" s="1339"/>
      <c r="K23" s="1339"/>
      <c r="L23" s="1336"/>
      <c r="M23" s="1339"/>
    </row>
    <row r="24" spans="2:14" ht="20.100000000000001" customHeight="1" x14ac:dyDescent="0.2">
      <c r="B24" s="1333" t="s">
        <v>2113</v>
      </c>
      <c r="C24" s="1337">
        <v>84.173000000000002</v>
      </c>
      <c r="D24" s="1337" t="s">
        <v>2114</v>
      </c>
      <c r="E24" s="1339">
        <v>10392</v>
      </c>
      <c r="F24" s="2031"/>
      <c r="G24" s="1339">
        <v>10392</v>
      </c>
      <c r="H24" s="1339"/>
      <c r="I24" s="1339"/>
      <c r="J24" s="1339"/>
      <c r="K24" s="1339"/>
      <c r="L24" s="1336">
        <f t="shared" si="0"/>
        <v>10392</v>
      </c>
      <c r="M24" s="1339" t="s">
        <v>2104</v>
      </c>
    </row>
    <row r="25" spans="2:14" ht="20.100000000000001" customHeight="1" x14ac:dyDescent="0.2">
      <c r="B25" s="1333" t="s">
        <v>2113</v>
      </c>
      <c r="C25" s="1337">
        <v>84.173000000000002</v>
      </c>
      <c r="D25" s="1337" t="s">
        <v>2115</v>
      </c>
      <c r="E25" s="1339"/>
      <c r="F25" s="2031">
        <v>4350</v>
      </c>
      <c r="G25" s="1339"/>
      <c r="H25" s="1339"/>
      <c r="I25" s="1339">
        <v>4841</v>
      </c>
      <c r="J25" s="1339"/>
      <c r="K25" s="1339"/>
      <c r="L25" s="1336">
        <f t="shared" si="0"/>
        <v>4841</v>
      </c>
      <c r="M25" s="1339" t="s">
        <v>2104</v>
      </c>
    </row>
    <row r="26" spans="2:14" ht="20.100000000000001" customHeight="1" x14ac:dyDescent="0.2">
      <c r="B26" s="1333" t="s">
        <v>2116</v>
      </c>
      <c r="C26" s="1337">
        <v>84.027000000000001</v>
      </c>
      <c r="D26" s="1338" t="s">
        <v>2117</v>
      </c>
      <c r="E26" s="1339">
        <v>103867</v>
      </c>
      <c r="F26" s="2031">
        <v>33601</v>
      </c>
      <c r="G26" s="1339">
        <v>137468</v>
      </c>
      <c r="H26" s="1339"/>
      <c r="I26" s="1339"/>
      <c r="J26" s="1339"/>
      <c r="K26" s="1339"/>
      <c r="L26" s="1336">
        <f t="shared" si="0"/>
        <v>137468</v>
      </c>
      <c r="M26" s="1339" t="s">
        <v>2104</v>
      </c>
    </row>
    <row r="27" spans="2:14" ht="20.100000000000001" customHeight="1" x14ac:dyDescent="0.2">
      <c r="B27" s="1333" t="s">
        <v>2116</v>
      </c>
      <c r="C27" s="1337">
        <v>84.027000000000001</v>
      </c>
      <c r="D27" s="1338" t="s">
        <v>2118</v>
      </c>
      <c r="E27" s="1339"/>
      <c r="F27" s="2031">
        <v>60893</v>
      </c>
      <c r="G27" s="1339"/>
      <c r="H27" s="1339"/>
      <c r="I27" s="1339">
        <v>129517</v>
      </c>
      <c r="J27" s="1339"/>
      <c r="K27" s="1339"/>
      <c r="L27" s="1336">
        <f t="shared" si="0"/>
        <v>129517</v>
      </c>
      <c r="M27" s="1339" t="s">
        <v>2104</v>
      </c>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L15 L17:L19 L21 L24: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N23" sqref="N23"/>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503" t="str">
        <f>'Single Audit Cover'!A7</f>
        <v>Fox Lake GSD 114</v>
      </c>
      <c r="C1" s="2524"/>
      <c r="D1" s="2524"/>
      <c r="E1" s="2524"/>
      <c r="F1" s="2524"/>
      <c r="G1" s="2524"/>
      <c r="H1" s="2524"/>
      <c r="I1" s="2524"/>
      <c r="J1" s="2524"/>
      <c r="K1" s="2524"/>
      <c r="L1" s="2524"/>
      <c r="M1" s="2524"/>
    </row>
    <row r="2" spans="2:14" ht="15" x14ac:dyDescent="0.2">
      <c r="B2" s="2525">
        <f>'Single Audit Cover'!E7</f>
        <v>34049114002</v>
      </c>
      <c r="C2" s="2525"/>
      <c r="D2" s="2525"/>
      <c r="E2" s="2525"/>
      <c r="F2" s="2525"/>
      <c r="G2" s="2525"/>
      <c r="H2" s="2525"/>
      <c r="I2" s="2525"/>
      <c r="J2" s="2525"/>
      <c r="K2" s="2525"/>
      <c r="L2" s="2525"/>
      <c r="M2" s="2525"/>
      <c r="N2" s="1298"/>
    </row>
    <row r="3" spans="2:14" ht="15" x14ac:dyDescent="0.2">
      <c r="B3" s="2526" t="s">
        <v>1219</v>
      </c>
      <c r="C3" s="2526"/>
      <c r="D3" s="2526"/>
      <c r="E3" s="2526"/>
      <c r="F3" s="2526"/>
      <c r="G3" s="2526"/>
      <c r="H3" s="2526"/>
      <c r="I3" s="2526"/>
      <c r="J3" s="2526"/>
      <c r="K3" s="2526"/>
      <c r="L3" s="2526"/>
      <c r="M3" s="2526"/>
      <c r="N3" s="1298"/>
    </row>
    <row r="4" spans="2:14" ht="15" x14ac:dyDescent="0.2">
      <c r="B4" s="2527" t="str">
        <f>'Single Audit Cover'!A4</f>
        <v>Year Ending June 30, 2019</v>
      </c>
      <c r="C4" s="2527"/>
      <c r="D4" s="2527"/>
      <c r="E4" s="2527"/>
      <c r="F4" s="2527"/>
      <c r="G4" s="2527"/>
      <c r="H4" s="2527"/>
      <c r="I4" s="2527"/>
      <c r="J4" s="2527"/>
      <c r="K4" s="2527"/>
      <c r="L4" s="2527"/>
      <c r="M4" s="2527"/>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1986</v>
      </c>
      <c r="K8" s="1315" t="s">
        <v>1261</v>
      </c>
      <c r="L8" s="1316" t="s">
        <v>1257</v>
      </c>
      <c r="M8" s="1317" t="s">
        <v>30</v>
      </c>
    </row>
    <row r="9" spans="2:14" ht="14.25" x14ac:dyDescent="0.2">
      <c r="B9" s="1321" t="s">
        <v>1259</v>
      </c>
      <c r="C9" s="1309" t="s">
        <v>1732</v>
      </c>
      <c r="D9" s="1310" t="s">
        <v>1733</v>
      </c>
      <c r="E9" s="1318" t="s">
        <v>1836</v>
      </c>
      <c r="F9" s="1319" t="s">
        <v>1986</v>
      </c>
      <c r="G9" s="1320" t="s">
        <v>1836</v>
      </c>
      <c r="H9" s="1313" t="s">
        <v>1582</v>
      </c>
      <c r="I9" s="1315" t="s">
        <v>1986</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940" t="s">
        <v>2119</v>
      </c>
      <c r="C11" s="1334"/>
      <c r="D11" s="1335"/>
      <c r="E11" s="1336"/>
      <c r="F11" s="1941">
        <f>SUM(' SEFA'!F13:F27)</f>
        <v>485990</v>
      </c>
      <c r="G11" s="1336"/>
      <c r="H11" s="1336"/>
      <c r="I11" s="1941">
        <f>SUM(' SEFA'!I13:I27)</f>
        <v>531059</v>
      </c>
      <c r="J11" s="1336"/>
      <c r="K11" s="1336"/>
      <c r="L11" s="1336"/>
      <c r="M11" s="1336"/>
    </row>
    <row r="12" spans="2:14" ht="20.100000000000001" customHeight="1" x14ac:dyDescent="0.2">
      <c r="B12" s="1333"/>
      <c r="C12" s="1337"/>
      <c r="D12" s="1338"/>
      <c r="E12" s="1339"/>
      <c r="F12" s="1339"/>
      <c r="G12" s="1339"/>
      <c r="H12" s="1339"/>
      <c r="I12" s="1339"/>
      <c r="J12" s="1339"/>
      <c r="K12" s="1339"/>
      <c r="L12" s="1336"/>
      <c r="M12" s="1339"/>
    </row>
    <row r="13" spans="2:14" ht="20.100000000000001" customHeight="1" x14ac:dyDescent="0.2">
      <c r="B13" s="1938" t="s">
        <v>2120</v>
      </c>
      <c r="C13" s="1337"/>
      <c r="D13" s="1338"/>
      <c r="E13" s="1339"/>
      <c r="F13" s="1339"/>
      <c r="G13" s="1339"/>
      <c r="H13" s="1339"/>
      <c r="I13" s="1339"/>
      <c r="J13" s="1339"/>
      <c r="K13" s="1339"/>
      <c r="L13" s="1336"/>
      <c r="M13" s="1339"/>
    </row>
    <row r="14" spans="2:14" ht="20.100000000000001" customHeight="1" x14ac:dyDescent="0.2">
      <c r="B14" s="1939" t="s">
        <v>2095</v>
      </c>
      <c r="C14" s="1337"/>
      <c r="D14" s="1338"/>
      <c r="E14" s="1339"/>
      <c r="F14" s="1339"/>
      <c r="G14" s="1339"/>
      <c r="H14" s="1339"/>
      <c r="I14" s="1339"/>
      <c r="J14" s="1339"/>
      <c r="K14" s="1339"/>
      <c r="L14" s="1336"/>
      <c r="M14" s="1339"/>
    </row>
    <row r="15" spans="2:14" ht="20.100000000000001" customHeight="1" x14ac:dyDescent="0.2">
      <c r="B15" s="1333" t="s">
        <v>2121</v>
      </c>
      <c r="C15" s="1337">
        <v>10.555</v>
      </c>
      <c r="D15" s="1338" t="s">
        <v>2122</v>
      </c>
      <c r="E15" s="1339">
        <v>154143</v>
      </c>
      <c r="F15" s="2031">
        <v>34315</v>
      </c>
      <c r="G15" s="1339">
        <v>154143</v>
      </c>
      <c r="H15" s="1339"/>
      <c r="I15" s="1339">
        <v>34315</v>
      </c>
      <c r="J15" s="1339"/>
      <c r="K15" s="1339"/>
      <c r="L15" s="1336">
        <f t="shared" ref="L15:L22" si="0">+G15+I15+K15</f>
        <v>188458</v>
      </c>
      <c r="M15" s="1339" t="s">
        <v>2104</v>
      </c>
    </row>
    <row r="16" spans="2:14" ht="20.100000000000001" customHeight="1" x14ac:dyDescent="0.2">
      <c r="B16" s="1333" t="s">
        <v>2121</v>
      </c>
      <c r="C16" s="1337">
        <v>10.555</v>
      </c>
      <c r="D16" s="1338" t="s">
        <v>2123</v>
      </c>
      <c r="E16" s="1339"/>
      <c r="F16" s="2031">
        <v>146731</v>
      </c>
      <c r="G16" s="1339"/>
      <c r="H16" s="1339"/>
      <c r="I16" s="1339">
        <v>146731</v>
      </c>
      <c r="J16" s="1339"/>
      <c r="K16" s="1339"/>
      <c r="L16" s="1336">
        <f t="shared" si="0"/>
        <v>146731</v>
      </c>
      <c r="M16" s="1339" t="s">
        <v>2104</v>
      </c>
    </row>
    <row r="17" spans="2:14" ht="20.100000000000001" customHeight="1" x14ac:dyDescent="0.2">
      <c r="B17" s="1333" t="s">
        <v>2124</v>
      </c>
      <c r="C17" s="1337">
        <v>10.555999999999999</v>
      </c>
      <c r="D17" s="1338" t="s">
        <v>2125</v>
      </c>
      <c r="E17" s="1339">
        <v>675</v>
      </c>
      <c r="F17" s="2031">
        <v>78</v>
      </c>
      <c r="G17" s="1339">
        <v>675</v>
      </c>
      <c r="H17" s="1339"/>
      <c r="I17" s="1339">
        <v>78</v>
      </c>
      <c r="J17" s="1339"/>
      <c r="K17" s="1339"/>
      <c r="L17" s="1336">
        <f t="shared" si="0"/>
        <v>753</v>
      </c>
      <c r="M17" s="1339" t="s">
        <v>2104</v>
      </c>
    </row>
    <row r="18" spans="2:14" ht="20.100000000000001" customHeight="1" x14ac:dyDescent="0.2">
      <c r="B18" s="1333" t="s">
        <v>2124</v>
      </c>
      <c r="C18" s="1337">
        <v>10.555999999999999</v>
      </c>
      <c r="D18" s="1338" t="s">
        <v>2126</v>
      </c>
      <c r="E18" s="1339"/>
      <c r="F18" s="2031">
        <v>327</v>
      </c>
      <c r="G18" s="1339"/>
      <c r="H18" s="1339"/>
      <c r="I18" s="1339">
        <v>327</v>
      </c>
      <c r="J18" s="1339"/>
      <c r="K18" s="1339"/>
      <c r="L18" s="1336">
        <f t="shared" si="0"/>
        <v>327</v>
      </c>
      <c r="M18" s="1339" t="s">
        <v>2104</v>
      </c>
    </row>
    <row r="19" spans="2:14" ht="20.100000000000001" customHeight="1" x14ac:dyDescent="0.2">
      <c r="B19" s="1333" t="s">
        <v>2127</v>
      </c>
      <c r="C19" s="1337">
        <v>10.553000000000001</v>
      </c>
      <c r="D19" s="1338" t="s">
        <v>2128</v>
      </c>
      <c r="E19" s="1339">
        <v>41808</v>
      </c>
      <c r="F19" s="2031">
        <v>10767</v>
      </c>
      <c r="G19" s="1339">
        <v>41808</v>
      </c>
      <c r="H19" s="1339"/>
      <c r="I19" s="1339">
        <v>10767</v>
      </c>
      <c r="J19" s="1339"/>
      <c r="K19" s="1339"/>
      <c r="L19" s="1336">
        <f t="shared" si="0"/>
        <v>52575</v>
      </c>
      <c r="M19" s="1339" t="s">
        <v>2104</v>
      </c>
    </row>
    <row r="20" spans="2:14" ht="20.100000000000001" customHeight="1" x14ac:dyDescent="0.2">
      <c r="B20" s="1333" t="s">
        <v>2127</v>
      </c>
      <c r="C20" s="1337">
        <v>10.553000000000001</v>
      </c>
      <c r="D20" s="1338" t="s">
        <v>2129</v>
      </c>
      <c r="E20" s="1339"/>
      <c r="F20" s="2031">
        <v>43322</v>
      </c>
      <c r="G20" s="1339"/>
      <c r="H20" s="1339"/>
      <c r="I20" s="1339">
        <v>43322</v>
      </c>
      <c r="J20" s="1339"/>
      <c r="K20" s="1339"/>
      <c r="L20" s="1336">
        <f t="shared" si="0"/>
        <v>43322</v>
      </c>
      <c r="M20" s="1339" t="s">
        <v>2104</v>
      </c>
    </row>
    <row r="21" spans="2:14" ht="20.100000000000001" customHeight="1" x14ac:dyDescent="0.2">
      <c r="B21" s="1987" t="s">
        <v>2130</v>
      </c>
      <c r="C21" s="1990">
        <v>10.555</v>
      </c>
      <c r="D21" s="1991" t="s">
        <v>2131</v>
      </c>
      <c r="E21" s="1339"/>
      <c r="F21" s="2031">
        <v>15672</v>
      </c>
      <c r="G21" s="1339"/>
      <c r="H21" s="1339"/>
      <c r="I21" s="1339">
        <v>15672</v>
      </c>
      <c r="J21" s="1339"/>
      <c r="K21" s="1339"/>
      <c r="L21" s="1336">
        <f t="shared" si="0"/>
        <v>15672</v>
      </c>
      <c r="M21" s="1339" t="s">
        <v>2104</v>
      </c>
    </row>
    <row r="22" spans="2:14" ht="20.100000000000001" customHeight="1" x14ac:dyDescent="0.2">
      <c r="B22" s="1987" t="s">
        <v>2132</v>
      </c>
      <c r="C22" s="1990">
        <v>10.555</v>
      </c>
      <c r="D22" s="1991" t="s">
        <v>2131</v>
      </c>
      <c r="E22" s="1339"/>
      <c r="F22" s="2031">
        <v>14242</v>
      </c>
      <c r="G22" s="1339"/>
      <c r="H22" s="1339"/>
      <c r="I22" s="1339">
        <v>14242</v>
      </c>
      <c r="J22" s="1339"/>
      <c r="K22" s="1339"/>
      <c r="L22" s="1336">
        <f t="shared" si="0"/>
        <v>14242</v>
      </c>
      <c r="M22" s="1339" t="s">
        <v>2104</v>
      </c>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2027" t="s">
        <v>2133</v>
      </c>
      <c r="C24" s="1337"/>
      <c r="D24" s="1338"/>
      <c r="E24" s="1339"/>
      <c r="F24" s="2026">
        <f>SUM(F15:F23)</f>
        <v>265454</v>
      </c>
      <c r="G24" s="1339"/>
      <c r="H24" s="1339"/>
      <c r="I24" s="2026">
        <f>SUM(I15:I23)</f>
        <v>265454</v>
      </c>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2024"/>
      <c r="C26" s="1337"/>
      <c r="D26" s="1338"/>
      <c r="E26" s="1339"/>
      <c r="F26" s="1339"/>
      <c r="G26" s="1339"/>
      <c r="H26" s="1339"/>
      <c r="I26" s="1339"/>
      <c r="J26" s="1339"/>
      <c r="K26" s="1339"/>
      <c r="L26" s="1336"/>
      <c r="M26" s="1339"/>
    </row>
    <row r="27" spans="2:14" ht="20.100000000000001" customHeight="1" x14ac:dyDescent="0.2">
      <c r="B27" s="2025"/>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F11 I11 L15:L22 F24 I2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B57" sqref="B57:J67"/>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145" t="s">
        <v>1168</v>
      </c>
      <c r="B2" s="2145"/>
      <c r="C2" s="2145"/>
      <c r="D2" s="2145"/>
      <c r="E2" s="2145"/>
      <c r="F2" s="2145"/>
      <c r="G2" s="2145"/>
      <c r="H2" s="2145"/>
      <c r="I2" s="2145"/>
      <c r="J2" s="2145"/>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1942</v>
      </c>
    </row>
    <row r="32" spans="1:4" s="180" customFormat="1" x14ac:dyDescent="0.2">
      <c r="A32" s="218"/>
      <c r="B32" s="235"/>
      <c r="C32" s="226"/>
      <c r="D32" s="236" t="s">
        <v>1790</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159" t="s">
        <v>1633</v>
      </c>
      <c r="B35" s="2160"/>
      <c r="C35" s="2160"/>
      <c r="D35" s="2160"/>
      <c r="E35" s="2161"/>
      <c r="F35" s="2161"/>
      <c r="G35" s="2161"/>
      <c r="H35" s="2161"/>
      <c r="I35" s="2161"/>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159" t="s">
        <v>313</v>
      </c>
      <c r="B47" s="2162"/>
      <c r="C47" s="2162"/>
      <c r="D47" s="2162"/>
      <c r="E47" s="2163"/>
      <c r="F47" s="2163"/>
      <c r="G47" s="2163"/>
      <c r="H47" s="2163"/>
      <c r="I47" s="2163"/>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2060</v>
      </c>
      <c r="C53" s="178">
        <v>22</v>
      </c>
      <c r="D53" s="246" t="s">
        <v>1462</v>
      </c>
      <c r="E53" s="247"/>
      <c r="F53" s="248"/>
      <c r="G53" s="248" t="s">
        <v>1461</v>
      </c>
      <c r="H53" s="249">
        <v>33512</v>
      </c>
      <c r="I53" s="236" t="s">
        <v>1483</v>
      </c>
    </row>
    <row r="54" spans="1:10" s="180" customFormat="1" x14ac:dyDescent="0.2">
      <c r="A54" s="218"/>
      <c r="B54" s="219" t="s">
        <v>2060</v>
      </c>
      <c r="C54" s="178">
        <v>23</v>
      </c>
      <c r="D54" s="242" t="s">
        <v>1362</v>
      </c>
      <c r="E54" s="247"/>
      <c r="F54" s="248"/>
    </row>
    <row r="55" spans="1:10" s="180" customFormat="1" x14ac:dyDescent="0.2">
      <c r="A55" s="213"/>
      <c r="B55" s="250"/>
      <c r="C55" s="250"/>
      <c r="D55" s="230" t="s">
        <v>1789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166" t="s">
        <v>2150</v>
      </c>
      <c r="C57" s="2167"/>
      <c r="D57" s="2167"/>
      <c r="E57" s="2167"/>
      <c r="F57" s="2167"/>
      <c r="G57" s="2167"/>
      <c r="H57" s="2167"/>
      <c r="I57" s="2167"/>
      <c r="J57" s="2168"/>
    </row>
    <row r="58" spans="1:10" s="180" customFormat="1" x14ac:dyDescent="0.2">
      <c r="A58" s="252"/>
      <c r="B58" s="2169"/>
      <c r="C58" s="2170"/>
      <c r="D58" s="2170"/>
      <c r="E58" s="2170"/>
      <c r="F58" s="2170"/>
      <c r="G58" s="2170"/>
      <c r="H58" s="2170"/>
      <c r="I58" s="2170"/>
      <c r="J58" s="2171"/>
    </row>
    <row r="59" spans="1:10" s="180" customFormat="1" x14ac:dyDescent="0.2">
      <c r="A59" s="252"/>
      <c r="B59" s="2169"/>
      <c r="C59" s="2170"/>
      <c r="D59" s="2170"/>
      <c r="E59" s="2170"/>
      <c r="F59" s="2170"/>
      <c r="G59" s="2170"/>
      <c r="H59" s="2170"/>
      <c r="I59" s="2170"/>
      <c r="J59" s="2171"/>
    </row>
    <row r="60" spans="1:10" s="180" customFormat="1" x14ac:dyDescent="0.2">
      <c r="A60" s="252"/>
      <c r="B60" s="2169"/>
      <c r="C60" s="2170"/>
      <c r="D60" s="2170"/>
      <c r="E60" s="2170"/>
      <c r="F60" s="2170"/>
      <c r="G60" s="2170"/>
      <c r="H60" s="2170"/>
      <c r="I60" s="2170"/>
      <c r="J60" s="2171"/>
    </row>
    <row r="61" spans="1:10" s="180" customFormat="1" x14ac:dyDescent="0.2">
      <c r="A61" s="252"/>
      <c r="B61" s="2169"/>
      <c r="C61" s="2170"/>
      <c r="D61" s="2170"/>
      <c r="E61" s="2170"/>
      <c r="F61" s="2170"/>
      <c r="G61" s="2170"/>
      <c r="H61" s="2170"/>
      <c r="I61" s="2170"/>
      <c r="J61" s="2171"/>
    </row>
    <row r="62" spans="1:10" s="180" customFormat="1" x14ac:dyDescent="0.2">
      <c r="A62" s="252"/>
      <c r="B62" s="2169"/>
      <c r="C62" s="2170"/>
      <c r="D62" s="2170"/>
      <c r="E62" s="2170"/>
      <c r="F62" s="2170"/>
      <c r="G62" s="2170"/>
      <c r="H62" s="2170"/>
      <c r="I62" s="2170"/>
      <c r="J62" s="2171"/>
    </row>
    <row r="63" spans="1:10" s="180" customFormat="1" x14ac:dyDescent="0.2">
      <c r="A63" s="252"/>
      <c r="B63" s="2169"/>
      <c r="C63" s="2170"/>
      <c r="D63" s="2170"/>
      <c r="E63" s="2170"/>
      <c r="F63" s="2170"/>
      <c r="G63" s="2170"/>
      <c r="H63" s="2170"/>
      <c r="I63" s="2170"/>
      <c r="J63" s="2171"/>
    </row>
    <row r="64" spans="1:10" s="180" customFormat="1" x14ac:dyDescent="0.2">
      <c r="A64" s="252"/>
      <c r="B64" s="2169"/>
      <c r="C64" s="2170"/>
      <c r="D64" s="2170"/>
      <c r="E64" s="2170"/>
      <c r="F64" s="2170"/>
      <c r="G64" s="2170"/>
      <c r="H64" s="2170"/>
      <c r="I64" s="2170"/>
      <c r="J64" s="2171"/>
    </row>
    <row r="65" spans="1:10" s="180" customFormat="1" x14ac:dyDescent="0.2">
      <c r="A65" s="252"/>
      <c r="B65" s="2169"/>
      <c r="C65" s="2170"/>
      <c r="D65" s="2170"/>
      <c r="E65" s="2170"/>
      <c r="F65" s="2170"/>
      <c r="G65" s="2170"/>
      <c r="H65" s="2170"/>
      <c r="I65" s="2170"/>
      <c r="J65" s="2171"/>
    </row>
    <row r="66" spans="1:10" s="180" customFormat="1" x14ac:dyDescent="0.2">
      <c r="A66" s="252"/>
      <c r="B66" s="2169"/>
      <c r="C66" s="2170"/>
      <c r="D66" s="2170"/>
      <c r="E66" s="2170"/>
      <c r="F66" s="2170"/>
      <c r="G66" s="2170"/>
      <c r="H66" s="2170"/>
      <c r="I66" s="2170"/>
      <c r="J66" s="2171"/>
    </row>
    <row r="67" spans="1:10" s="180" customFormat="1" ht="9" customHeight="1" x14ac:dyDescent="0.2">
      <c r="A67" s="253"/>
      <c r="B67" s="2172"/>
      <c r="C67" s="2173"/>
      <c r="D67" s="2173"/>
      <c r="E67" s="2173"/>
      <c r="F67" s="2173"/>
      <c r="G67" s="2173"/>
      <c r="H67" s="2173"/>
      <c r="I67" s="2173"/>
      <c r="J67" s="2174"/>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159" t="s">
        <v>1323</v>
      </c>
      <c r="B70" s="2162"/>
      <c r="C70" s="2162"/>
      <c r="D70" s="2162"/>
      <c r="E70" s="2163"/>
      <c r="F70" s="2163"/>
      <c r="G70" s="2163"/>
      <c r="H70" s="2163"/>
      <c r="I70" s="2163"/>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1926</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1943</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1901</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164" t="s">
        <v>1320</v>
      </c>
      <c r="B83" s="2164"/>
      <c r="C83" s="2164"/>
      <c r="D83" s="2165"/>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1924</v>
      </c>
      <c r="B85" s="271"/>
      <c r="C85" s="272"/>
      <c r="D85" s="273"/>
      <c r="E85" s="274"/>
      <c r="F85" s="275">
        <v>0</v>
      </c>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1924</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1925</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146"/>
      <c r="C102" s="2147"/>
      <c r="D102" s="2147"/>
      <c r="E102" s="2147"/>
      <c r="F102" s="2147"/>
      <c r="G102" s="2147"/>
      <c r="H102" s="2147"/>
      <c r="I102" s="2148"/>
    </row>
    <row r="103" spans="1:9" s="180" customFormat="1" ht="11.25" customHeight="1" x14ac:dyDescent="0.2">
      <c r="A103" s="315"/>
      <c r="B103" s="2149"/>
      <c r="C103" s="2150"/>
      <c r="D103" s="2150"/>
      <c r="E103" s="2150"/>
      <c r="F103" s="2150"/>
      <c r="G103" s="2150"/>
      <c r="H103" s="2150"/>
      <c r="I103" s="2151"/>
    </row>
    <row r="104" spans="1:9" s="180" customFormat="1" ht="11.25" customHeight="1" x14ac:dyDescent="0.2">
      <c r="A104" s="315"/>
      <c r="B104" s="2149"/>
      <c r="C104" s="2150"/>
      <c r="D104" s="2150"/>
      <c r="E104" s="2150"/>
      <c r="F104" s="2150"/>
      <c r="G104" s="2150"/>
      <c r="H104" s="2150"/>
      <c r="I104" s="2151"/>
    </row>
    <row r="105" spans="1:9" s="180" customFormat="1" x14ac:dyDescent="0.2">
      <c r="A105" s="315"/>
      <c r="B105" s="2149"/>
      <c r="C105" s="2150"/>
      <c r="D105" s="2150"/>
      <c r="E105" s="2150"/>
      <c r="F105" s="2150"/>
      <c r="G105" s="2150"/>
      <c r="H105" s="2150"/>
      <c r="I105" s="2151"/>
    </row>
    <row r="106" spans="1:9" s="180" customFormat="1" ht="11.25" customHeight="1" x14ac:dyDescent="0.2">
      <c r="A106" s="315"/>
      <c r="B106" s="2149"/>
      <c r="C106" s="2150"/>
      <c r="D106" s="2150"/>
      <c r="E106" s="2150"/>
      <c r="F106" s="2150"/>
      <c r="G106" s="2150"/>
      <c r="H106" s="2150"/>
      <c r="I106" s="2151"/>
    </row>
    <row r="107" spans="1:9" s="180" customFormat="1" ht="11.25" customHeight="1" x14ac:dyDescent="0.2">
      <c r="A107" s="315"/>
      <c r="B107" s="2149"/>
      <c r="C107" s="2150"/>
      <c r="D107" s="2150"/>
      <c r="E107" s="2150"/>
      <c r="F107" s="2150"/>
      <c r="G107" s="2150"/>
      <c r="H107" s="2150"/>
      <c r="I107" s="2151"/>
    </row>
    <row r="108" spans="1:9" s="180" customFormat="1" ht="11.25" customHeight="1" x14ac:dyDescent="0.2">
      <c r="A108" s="315"/>
      <c r="B108" s="2149"/>
      <c r="C108" s="2150"/>
      <c r="D108" s="2150"/>
      <c r="E108" s="2150"/>
      <c r="F108" s="2150"/>
      <c r="G108" s="2150"/>
      <c r="H108" s="2150"/>
      <c r="I108" s="2151"/>
    </row>
    <row r="109" spans="1:9" s="180" customFormat="1" ht="11.25" customHeight="1" x14ac:dyDescent="0.2">
      <c r="A109" s="315"/>
      <c r="B109" s="2149"/>
      <c r="C109" s="2150"/>
      <c r="D109" s="2150"/>
      <c r="E109" s="2150"/>
      <c r="F109" s="2150"/>
      <c r="G109" s="2150"/>
      <c r="H109" s="2150"/>
      <c r="I109" s="2151"/>
    </row>
    <row r="110" spans="1:9" s="180" customFormat="1" ht="11.25" customHeight="1" x14ac:dyDescent="0.2">
      <c r="A110" s="315"/>
      <c r="B110" s="2149"/>
      <c r="C110" s="2150"/>
      <c r="D110" s="2150"/>
      <c r="E110" s="2150"/>
      <c r="F110" s="2150"/>
      <c r="G110" s="2150"/>
      <c r="H110" s="2150"/>
      <c r="I110" s="2151"/>
    </row>
    <row r="111" spans="1:9" s="180" customFormat="1" ht="11.25" customHeight="1" x14ac:dyDescent="0.2">
      <c r="A111" s="315"/>
      <c r="B111" s="2149"/>
      <c r="C111" s="2150"/>
      <c r="D111" s="2150"/>
      <c r="E111" s="2150"/>
      <c r="F111" s="2150"/>
      <c r="G111" s="2150"/>
      <c r="H111" s="2150"/>
      <c r="I111" s="2151"/>
    </row>
    <row r="112" spans="1:9" s="180" customFormat="1" ht="11.25" customHeight="1" x14ac:dyDescent="0.2">
      <c r="A112" s="315"/>
      <c r="B112" s="2152"/>
      <c r="C112" s="2153"/>
      <c r="D112" s="2153"/>
      <c r="E112" s="2153"/>
      <c r="F112" s="2153"/>
      <c r="G112" s="2153"/>
      <c r="H112" s="2153"/>
      <c r="I112" s="2154"/>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155" t="s">
        <v>2068</v>
      </c>
      <c r="D114" s="2155"/>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156" t="s">
        <v>1330</v>
      </c>
      <c r="D117" s="2157"/>
      <c r="E117" s="2158"/>
      <c r="F117" s="2158"/>
      <c r="G117" s="2158"/>
      <c r="H117" s="2158"/>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1902</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8" zoomScaleNormal="100" workbookViewId="0">
      <selection activeCell="N23" sqref="N23"/>
    </sheetView>
  </sheetViews>
  <sheetFormatPr defaultColWidth="33.5703125" defaultRowHeight="12.75" x14ac:dyDescent="0.2"/>
  <cols>
    <col min="1" max="1" width="0.140625" style="1942" customWidth="1"/>
    <col min="2" max="2" width="32.85546875" style="1942" customWidth="1"/>
    <col min="3" max="3" width="8.7109375" style="2006" customWidth="1"/>
    <col min="4" max="4" width="12.7109375" style="2007" customWidth="1"/>
    <col min="5" max="6" width="11.7109375" style="1942" customWidth="1"/>
    <col min="7" max="7" width="11.7109375" style="1945" customWidth="1"/>
    <col min="8" max="8" width="13.7109375" style="1945" bestFit="1" customWidth="1"/>
    <col min="9" max="9" width="11.7109375" style="1945" customWidth="1"/>
    <col min="10" max="10" width="13.7109375" style="1945" customWidth="1"/>
    <col min="11" max="12" width="11.7109375" style="1945" customWidth="1"/>
    <col min="13" max="13" width="11.7109375" style="1942" customWidth="1"/>
    <col min="14" max="14" width="2.7109375" style="1942" customWidth="1"/>
    <col min="15" max="16384" width="33.5703125" style="1942"/>
  </cols>
  <sheetData>
    <row r="1" spans="2:14" ht="11.85" customHeight="1" x14ac:dyDescent="0.2">
      <c r="B1" s="2503" t="str">
        <f>'Single Audit Cover'!A7</f>
        <v>Fox Lake GSD 114</v>
      </c>
      <c r="C1" s="2524"/>
      <c r="D1" s="2524"/>
      <c r="E1" s="2524"/>
      <c r="F1" s="2524"/>
      <c r="G1" s="2524"/>
      <c r="H1" s="2524"/>
      <c r="I1" s="2524"/>
      <c r="J1" s="2524"/>
      <c r="K1" s="2524"/>
      <c r="L1" s="2524"/>
      <c r="M1" s="2524"/>
    </row>
    <row r="2" spans="2:14" ht="15" x14ac:dyDescent="0.2">
      <c r="B2" s="2525">
        <f>'Single Audit Cover'!E7</f>
        <v>34049114002</v>
      </c>
      <c r="C2" s="2525"/>
      <c r="D2" s="2525"/>
      <c r="E2" s="2525"/>
      <c r="F2" s="2525"/>
      <c r="G2" s="2525"/>
      <c r="H2" s="2525"/>
      <c r="I2" s="2525"/>
      <c r="J2" s="2525"/>
      <c r="K2" s="2525"/>
      <c r="L2" s="2525"/>
      <c r="M2" s="2525"/>
      <c r="N2" s="1952"/>
    </row>
    <row r="3" spans="2:14" ht="15" x14ac:dyDescent="0.2">
      <c r="B3" s="2526" t="s">
        <v>1219</v>
      </c>
      <c r="C3" s="2526"/>
      <c r="D3" s="2526"/>
      <c r="E3" s="2526"/>
      <c r="F3" s="2526"/>
      <c r="G3" s="2526"/>
      <c r="H3" s="2526"/>
      <c r="I3" s="2526"/>
      <c r="J3" s="2526"/>
      <c r="K3" s="2526"/>
      <c r="L3" s="2526"/>
      <c r="M3" s="2526"/>
      <c r="N3" s="1952"/>
    </row>
    <row r="4" spans="2:14" ht="15" x14ac:dyDescent="0.2">
      <c r="B4" s="2527" t="str">
        <f>'Single Audit Cover'!A4</f>
        <v>Year Ending June 30, 2019</v>
      </c>
      <c r="C4" s="2527"/>
      <c r="D4" s="2527"/>
      <c r="E4" s="2527"/>
      <c r="F4" s="2527"/>
      <c r="G4" s="2527"/>
      <c r="H4" s="2527"/>
      <c r="I4" s="2527"/>
      <c r="J4" s="2527"/>
      <c r="K4" s="2527"/>
      <c r="L4" s="2527"/>
      <c r="M4" s="2527"/>
      <c r="N4" s="1952"/>
    </row>
    <row r="6" spans="2:14" x14ac:dyDescent="0.2">
      <c r="B6" s="1953"/>
      <c r="C6" s="1954"/>
      <c r="D6" s="1955" t="s">
        <v>1265</v>
      </c>
      <c r="E6" s="1956" t="s">
        <v>527</v>
      </c>
      <c r="F6" s="1957"/>
      <c r="G6" s="1958" t="s">
        <v>1731</v>
      </c>
      <c r="H6" s="1956"/>
      <c r="I6" s="1956"/>
      <c r="J6" s="1956"/>
      <c r="K6" s="1959"/>
      <c r="L6" s="1960"/>
      <c r="M6" s="1961"/>
    </row>
    <row r="7" spans="2:14" x14ac:dyDescent="0.2">
      <c r="B7" s="1962" t="s">
        <v>1581</v>
      </c>
      <c r="C7" s="1963"/>
      <c r="D7" s="1964"/>
      <c r="E7" s="1965"/>
      <c r="F7" s="1966"/>
      <c r="G7" s="1965"/>
      <c r="H7" s="1967" t="s">
        <v>1262</v>
      </c>
      <c r="I7" s="1965"/>
      <c r="J7" s="1968" t="s">
        <v>1262</v>
      </c>
      <c r="K7" s="1969"/>
      <c r="L7" s="1970" t="s">
        <v>1260</v>
      </c>
      <c r="M7" s="1971"/>
    </row>
    <row r="8" spans="2:14" x14ac:dyDescent="0.2">
      <c r="B8" s="2023"/>
      <c r="C8" s="1963" t="s">
        <v>1264</v>
      </c>
      <c r="D8" s="1964" t="s">
        <v>1263</v>
      </c>
      <c r="E8" s="1972" t="s">
        <v>1262</v>
      </c>
      <c r="F8" s="1973" t="s">
        <v>1262</v>
      </c>
      <c r="G8" s="1974" t="s">
        <v>1262</v>
      </c>
      <c r="H8" s="1967" t="s">
        <v>1836</v>
      </c>
      <c r="I8" s="1969" t="s">
        <v>1262</v>
      </c>
      <c r="J8" s="1968" t="s">
        <v>1986</v>
      </c>
      <c r="K8" s="1969" t="s">
        <v>1261</v>
      </c>
      <c r="L8" s="1970" t="s">
        <v>1257</v>
      </c>
      <c r="M8" s="1971" t="s">
        <v>30</v>
      </c>
    </row>
    <row r="9" spans="2:14" ht="14.25" x14ac:dyDescent="0.2">
      <c r="B9" s="1975" t="s">
        <v>1259</v>
      </c>
      <c r="C9" s="1963" t="s">
        <v>1732</v>
      </c>
      <c r="D9" s="1964" t="s">
        <v>1733</v>
      </c>
      <c r="E9" s="1972" t="s">
        <v>1836</v>
      </c>
      <c r="F9" s="1973" t="s">
        <v>1986</v>
      </c>
      <c r="G9" s="1974" t="s">
        <v>1836</v>
      </c>
      <c r="H9" s="1967" t="s">
        <v>1582</v>
      </c>
      <c r="I9" s="1969" t="s">
        <v>1986</v>
      </c>
      <c r="J9" s="1968" t="s">
        <v>1582</v>
      </c>
      <c r="K9" s="1969" t="s">
        <v>1258</v>
      </c>
      <c r="L9" s="1976" t="s">
        <v>1583</v>
      </c>
      <c r="M9" s="1971"/>
    </row>
    <row r="10" spans="2:14" ht="11.85" customHeight="1" x14ac:dyDescent="0.2">
      <c r="B10" s="1975" t="s">
        <v>1256</v>
      </c>
      <c r="C10" s="1977" t="s">
        <v>1255</v>
      </c>
      <c r="D10" s="1978" t="s">
        <v>1254</v>
      </c>
      <c r="E10" s="1979" t="s">
        <v>1253</v>
      </c>
      <c r="F10" s="1980" t="s">
        <v>1252</v>
      </c>
      <c r="G10" s="1981" t="s">
        <v>1251</v>
      </c>
      <c r="H10" s="1982" t="s">
        <v>1266</v>
      </c>
      <c r="I10" s="1983" t="s">
        <v>1250</v>
      </c>
      <c r="J10" s="1984" t="s">
        <v>1266</v>
      </c>
      <c r="K10" s="1985" t="s">
        <v>1249</v>
      </c>
      <c r="L10" s="1985" t="s">
        <v>1248</v>
      </c>
      <c r="M10" s="1986" t="s">
        <v>1247</v>
      </c>
    </row>
    <row r="11" spans="2:14" ht="20.100000000000001" customHeight="1" x14ac:dyDescent="0.2">
      <c r="B11" s="2024" t="s">
        <v>2134</v>
      </c>
      <c r="C11" s="1990"/>
      <c r="D11" s="1988"/>
      <c r="E11" s="1989"/>
      <c r="F11" s="1989"/>
      <c r="G11" s="1989"/>
      <c r="H11" s="1989"/>
      <c r="I11" s="1989"/>
      <c r="J11" s="1989"/>
      <c r="K11" s="1989"/>
      <c r="L11" s="1989"/>
      <c r="M11" s="1989"/>
    </row>
    <row r="12" spans="2:14" ht="20.100000000000001" customHeight="1" x14ac:dyDescent="0.2">
      <c r="B12" s="2025" t="s">
        <v>2135</v>
      </c>
      <c r="C12" s="1990"/>
      <c r="D12" s="1991"/>
      <c r="E12" s="1992"/>
      <c r="F12" s="1992"/>
      <c r="G12" s="1992"/>
      <c r="H12" s="1992"/>
      <c r="I12" s="1992"/>
      <c r="J12" s="1992"/>
      <c r="K12" s="1992"/>
      <c r="L12" s="1989"/>
      <c r="M12" s="1992"/>
    </row>
    <row r="13" spans="2:14" ht="20.100000000000001" customHeight="1" x14ac:dyDescent="0.2">
      <c r="B13" s="1987" t="s">
        <v>2137</v>
      </c>
      <c r="C13" s="1990">
        <v>93.778000000000006</v>
      </c>
      <c r="D13" s="1991" t="s">
        <v>2136</v>
      </c>
      <c r="E13" s="1992">
        <v>11037</v>
      </c>
      <c r="F13" s="1992">
        <v>10049</v>
      </c>
      <c r="G13" s="1992">
        <v>21086</v>
      </c>
      <c r="H13" s="1992"/>
      <c r="I13" s="1992"/>
      <c r="J13" s="1992"/>
      <c r="K13" s="1992"/>
      <c r="L13" s="1989">
        <f t="shared" ref="L13:L14" si="0">+G13+I13+K13</f>
        <v>21086</v>
      </c>
      <c r="M13" s="1992" t="s">
        <v>2104</v>
      </c>
    </row>
    <row r="14" spans="2:14" ht="20.100000000000001" customHeight="1" x14ac:dyDescent="0.2">
      <c r="B14" s="1987" t="s">
        <v>2137</v>
      </c>
      <c r="C14" s="1990">
        <v>93.778000000000006</v>
      </c>
      <c r="D14" s="1991" t="s">
        <v>2138</v>
      </c>
      <c r="E14" s="1992"/>
      <c r="F14" s="1992">
        <v>12726</v>
      </c>
      <c r="G14" s="1992"/>
      <c r="H14" s="1992"/>
      <c r="I14" s="1992">
        <v>22918</v>
      </c>
      <c r="J14" s="1992"/>
      <c r="K14" s="1992"/>
      <c r="L14" s="1989">
        <f t="shared" si="0"/>
        <v>22918</v>
      </c>
      <c r="M14" s="1992" t="s">
        <v>2104</v>
      </c>
    </row>
    <row r="15" spans="2:14" ht="20.100000000000001" customHeight="1" x14ac:dyDescent="0.2">
      <c r="B15" s="1987"/>
      <c r="C15" s="1990"/>
      <c r="D15" s="1991"/>
      <c r="E15" s="1992"/>
      <c r="F15" s="1992"/>
      <c r="G15" s="1992"/>
      <c r="H15" s="1992"/>
      <c r="I15" s="1992"/>
      <c r="J15" s="1992"/>
      <c r="K15" s="1992"/>
      <c r="L15" s="1989"/>
      <c r="M15" s="1992"/>
    </row>
    <row r="16" spans="2:14" ht="20.100000000000001" customHeight="1" x14ac:dyDescent="0.2">
      <c r="B16" s="2027" t="s">
        <v>2139</v>
      </c>
      <c r="C16" s="1990"/>
      <c r="D16" s="1991"/>
      <c r="E16" s="1992"/>
      <c r="F16" s="2026">
        <f>SUM(F13:F15)</f>
        <v>22775</v>
      </c>
      <c r="G16" s="1992"/>
      <c r="H16" s="1992"/>
      <c r="I16" s="2026">
        <f>SUM(I13:I15)</f>
        <v>22918</v>
      </c>
      <c r="J16" s="1992"/>
      <c r="K16" s="1992"/>
      <c r="L16" s="1989"/>
      <c r="M16" s="1992"/>
    </row>
    <row r="17" spans="2:14" ht="20.100000000000001" customHeight="1" x14ac:dyDescent="0.2">
      <c r="B17" s="1987"/>
      <c r="C17" s="1990"/>
      <c r="D17" s="1991"/>
      <c r="E17" s="1992"/>
      <c r="F17" s="1992"/>
      <c r="G17" s="1992"/>
      <c r="H17" s="1992"/>
      <c r="I17" s="1992"/>
      <c r="J17" s="1992"/>
      <c r="K17" s="1992"/>
      <c r="L17" s="1989"/>
      <c r="M17" s="1992"/>
    </row>
    <row r="18" spans="2:14" ht="20.100000000000001" customHeight="1" x14ac:dyDescent="0.2">
      <c r="B18" s="2029" t="s">
        <v>2140</v>
      </c>
      <c r="C18" s="1990"/>
      <c r="D18" s="1991"/>
      <c r="E18" s="1992"/>
      <c r="F18" s="2030">
        <f>+' SEFA(2)'!F11+' SEFA(2)'!F24+' SEFA(3)'!F16</f>
        <v>774219</v>
      </c>
      <c r="G18" s="1992"/>
      <c r="H18" s="1992"/>
      <c r="I18" s="2030">
        <f>+' SEFA(2)'!I11+' SEFA(2)'!I24+' SEFA(3)'!I16</f>
        <v>819431</v>
      </c>
      <c r="J18" s="1992"/>
      <c r="K18" s="1992"/>
      <c r="L18" s="1989"/>
      <c r="M18" s="1992"/>
    </row>
    <row r="19" spans="2:14" ht="20.100000000000001" customHeight="1" x14ac:dyDescent="0.2">
      <c r="B19" s="1987"/>
      <c r="C19" s="1990"/>
      <c r="D19" s="1991"/>
      <c r="E19" s="1992"/>
      <c r="F19" s="1992"/>
      <c r="G19" s="1992"/>
      <c r="H19" s="1992"/>
      <c r="I19" s="1992"/>
      <c r="J19" s="1992"/>
      <c r="K19" s="1992"/>
      <c r="L19" s="1989"/>
      <c r="M19" s="1992"/>
    </row>
    <row r="20" spans="2:14" ht="20.100000000000001" customHeight="1" x14ac:dyDescent="0.2">
      <c r="B20" s="1987"/>
      <c r="C20" s="1990"/>
      <c r="D20" s="1991"/>
      <c r="E20" s="1992"/>
      <c r="F20" s="1992"/>
      <c r="G20" s="1992"/>
      <c r="H20" s="1992"/>
      <c r="I20" s="1992"/>
      <c r="J20" s="1992"/>
      <c r="K20" s="1992"/>
      <c r="L20" s="1989"/>
      <c r="M20" s="1992"/>
    </row>
    <row r="21" spans="2:14" ht="20.100000000000001" customHeight="1" x14ac:dyDescent="0.2">
      <c r="B21" s="1987"/>
      <c r="C21" s="1990"/>
      <c r="D21" s="1991"/>
      <c r="E21" s="1992"/>
      <c r="F21" s="1992"/>
      <c r="G21" s="1992"/>
      <c r="H21" s="1992"/>
      <c r="I21" s="1992"/>
      <c r="J21" s="1992"/>
      <c r="K21" s="1992"/>
      <c r="L21" s="1989"/>
      <c r="M21" s="1992"/>
    </row>
    <row r="22" spans="2:14" ht="20.100000000000001" customHeight="1" x14ac:dyDescent="0.2">
      <c r="B22" s="1987"/>
      <c r="C22" s="1990"/>
      <c r="D22" s="1991"/>
      <c r="E22" s="1992"/>
      <c r="F22" s="1992"/>
      <c r="G22" s="1992"/>
      <c r="H22" s="1992"/>
      <c r="I22" s="1992"/>
      <c r="J22" s="1992"/>
      <c r="K22" s="1992"/>
      <c r="L22" s="1989"/>
      <c r="M22" s="1992"/>
    </row>
    <row r="23" spans="2:14" ht="20.100000000000001" customHeight="1" x14ac:dyDescent="0.2">
      <c r="B23" s="1987"/>
      <c r="C23" s="1990"/>
      <c r="D23" s="1991"/>
      <c r="E23" s="1992"/>
      <c r="F23" s="1992"/>
      <c r="G23" s="1992"/>
      <c r="H23" s="1992"/>
      <c r="I23" s="1992"/>
      <c r="J23" s="1992"/>
      <c r="K23" s="1992"/>
      <c r="L23" s="1989"/>
      <c r="M23" s="1992"/>
    </row>
    <row r="24" spans="2:14" ht="20.100000000000001" customHeight="1" x14ac:dyDescent="0.2">
      <c r="B24" s="2028"/>
      <c r="C24" s="1990"/>
      <c r="D24" s="1991"/>
      <c r="E24" s="1992"/>
      <c r="F24" s="1992"/>
      <c r="G24" s="1992"/>
      <c r="H24" s="1992"/>
      <c r="I24" s="1992"/>
      <c r="J24" s="1992"/>
      <c r="K24" s="1992"/>
      <c r="L24" s="1989"/>
      <c r="M24" s="1992"/>
    </row>
    <row r="25" spans="2:14" ht="20.100000000000001" customHeight="1" x14ac:dyDescent="0.2">
      <c r="B25" s="1987"/>
      <c r="C25" s="1990"/>
      <c r="D25" s="1991"/>
      <c r="E25" s="1992"/>
      <c r="F25" s="1992"/>
      <c r="G25" s="1992"/>
      <c r="H25" s="1992"/>
      <c r="I25" s="1992"/>
      <c r="J25" s="1992"/>
      <c r="K25" s="1992"/>
      <c r="L25" s="1989"/>
      <c r="M25" s="1992"/>
    </row>
    <row r="26" spans="2:14" ht="20.100000000000001" customHeight="1" x14ac:dyDescent="0.2">
      <c r="B26" s="1987"/>
      <c r="C26" s="1990"/>
      <c r="D26" s="1991"/>
      <c r="E26" s="1992"/>
      <c r="F26" s="1992"/>
      <c r="G26" s="1992"/>
      <c r="H26" s="1992"/>
      <c r="I26" s="1992"/>
      <c r="J26" s="1992"/>
      <c r="K26" s="1992"/>
      <c r="L26" s="1989"/>
      <c r="M26" s="1992"/>
    </row>
    <row r="27" spans="2:14" ht="20.100000000000001" customHeight="1" x14ac:dyDescent="0.2">
      <c r="B27" s="1987"/>
      <c r="C27" s="1990"/>
      <c r="D27" s="1991"/>
      <c r="E27" s="1992"/>
      <c r="F27" s="1992"/>
      <c r="G27" s="1992"/>
      <c r="H27" s="1992"/>
      <c r="I27" s="1992"/>
      <c r="J27" s="1992"/>
      <c r="K27" s="1992"/>
      <c r="L27" s="1989"/>
      <c r="M27" s="1992"/>
      <c r="N27" s="1993"/>
    </row>
    <row r="28" spans="2:14" ht="12.75" customHeight="1" x14ac:dyDescent="0.2">
      <c r="B28" s="1994"/>
      <c r="C28" s="1995"/>
      <c r="D28" s="1996"/>
      <c r="E28" s="1997"/>
      <c r="F28" s="1997"/>
      <c r="G28" s="1997"/>
      <c r="H28" s="1997"/>
      <c r="I28" s="1997"/>
      <c r="J28" s="1997"/>
      <c r="K28" s="1997"/>
      <c r="L28" s="1997"/>
      <c r="M28" s="1997"/>
      <c r="N28" s="1993"/>
    </row>
    <row r="29" spans="2:14" x14ac:dyDescent="0.2">
      <c r="B29" s="1944"/>
      <c r="C29" s="1998"/>
      <c r="D29" s="1999"/>
      <c r="E29" s="1944"/>
      <c r="F29" s="1944"/>
      <c r="G29" s="1943"/>
      <c r="H29" s="1943"/>
      <c r="I29" s="1943"/>
      <c r="J29" s="1943"/>
      <c r="K29" s="1943"/>
      <c r="L29" s="1943"/>
      <c r="M29" s="1944"/>
      <c r="N29" s="1993"/>
    </row>
    <row r="30" spans="2:14" ht="13.5" customHeight="1" x14ac:dyDescent="0.2">
      <c r="B30" s="1949" t="s">
        <v>1734</v>
      </c>
      <c r="C30" s="1998"/>
      <c r="D30" s="1999"/>
      <c r="E30" s="1944"/>
      <c r="F30" s="1944"/>
      <c r="G30" s="1943"/>
      <c r="H30" s="1943"/>
      <c r="I30" s="1943"/>
      <c r="J30" s="1943"/>
      <c r="K30" s="1943"/>
      <c r="L30" s="1943"/>
      <c r="M30" s="1944"/>
      <c r="N30" s="1993"/>
    </row>
    <row r="31" spans="2:14" ht="8.25" customHeight="1" x14ac:dyDescent="0.2">
      <c r="B31" s="1949"/>
      <c r="C31" s="1998"/>
      <c r="D31" s="1999"/>
      <c r="E31" s="1944"/>
      <c r="F31" s="1944"/>
      <c r="G31" s="1943"/>
      <c r="H31" s="1943"/>
      <c r="I31" s="1943"/>
      <c r="J31" s="1943"/>
      <c r="K31" s="1943"/>
      <c r="L31" s="1943"/>
      <c r="M31" s="1944"/>
      <c r="N31" s="1993"/>
    </row>
    <row r="32" spans="2:14" x14ac:dyDescent="0.2">
      <c r="B32" s="2000" t="s">
        <v>1837</v>
      </c>
      <c r="C32" s="2001"/>
      <c r="D32" s="2002"/>
      <c r="E32" s="2003"/>
      <c r="F32" s="2003"/>
      <c r="G32" s="2003"/>
      <c r="H32" s="2003"/>
      <c r="I32" s="1942"/>
      <c r="J32" s="1942"/>
    </row>
    <row r="33" spans="2:13" x14ac:dyDescent="0.2">
      <c r="B33" s="1947"/>
      <c r="C33" s="2004"/>
      <c r="D33" s="2005"/>
      <c r="E33" s="1948"/>
      <c r="F33" s="1948"/>
      <c r="G33" s="1942"/>
      <c r="H33" s="1942"/>
      <c r="I33" s="1942"/>
      <c r="J33" s="1942"/>
    </row>
    <row r="34" spans="2:13" ht="13.5" customHeight="1" x14ac:dyDescent="0.2">
      <c r="B34" s="1946" t="s">
        <v>1246</v>
      </c>
      <c r="G34" s="1942"/>
      <c r="H34" s="1942"/>
      <c r="I34" s="1942"/>
      <c r="J34" s="1942"/>
    </row>
    <row r="35" spans="2:13" ht="13.5" customHeight="1" x14ac:dyDescent="0.2">
      <c r="B35" s="2008"/>
      <c r="C35" s="2009"/>
      <c r="D35" s="2010"/>
      <c r="E35" s="1950"/>
      <c r="F35" s="1950"/>
      <c r="G35" s="1950"/>
      <c r="H35" s="1950"/>
      <c r="I35" s="1950"/>
      <c r="J35" s="1950"/>
      <c r="K35" s="2011"/>
      <c r="L35" s="2011"/>
      <c r="M35" s="1950"/>
    </row>
    <row r="36" spans="2:13" ht="9.6" customHeight="1" x14ac:dyDescent="0.2">
      <c r="B36" s="2012"/>
      <c r="G36" s="1942"/>
      <c r="H36" s="1942"/>
      <c r="I36" s="1942"/>
      <c r="J36" s="1942"/>
    </row>
    <row r="37" spans="2:13" ht="11.25" customHeight="1" x14ac:dyDescent="0.2">
      <c r="B37" s="2013" t="s">
        <v>1735</v>
      </c>
      <c r="C37" s="2014"/>
      <c r="D37" s="2014"/>
      <c r="E37" s="2014"/>
      <c r="F37" s="2014"/>
      <c r="G37" s="2014"/>
      <c r="H37" s="2014"/>
      <c r="I37" s="2015"/>
      <c r="J37" s="2015"/>
      <c r="K37" s="2015"/>
      <c r="L37" s="2015"/>
      <c r="M37" s="2015"/>
    </row>
    <row r="38" spans="2:13" ht="11.25" customHeight="1" x14ac:dyDescent="0.2">
      <c r="B38" s="2016" t="s">
        <v>1584</v>
      </c>
      <c r="C38" s="2015"/>
      <c r="D38" s="2015"/>
      <c r="E38" s="2015"/>
      <c r="F38" s="2015"/>
      <c r="G38" s="2015"/>
      <c r="H38" s="2015"/>
      <c r="I38" s="2015"/>
      <c r="J38" s="2015"/>
      <c r="K38" s="2015"/>
      <c r="L38" s="2015"/>
      <c r="M38" s="2015"/>
    </row>
    <row r="39" spans="2:13" ht="3.95" customHeight="1" x14ac:dyDescent="0.2">
      <c r="B39" s="2016"/>
      <c r="C39" s="2015"/>
      <c r="D39" s="2015"/>
      <c r="E39" s="2015"/>
      <c r="F39" s="2015"/>
      <c r="G39" s="2015"/>
      <c r="H39" s="2015"/>
      <c r="I39" s="2015"/>
      <c r="J39" s="2015"/>
      <c r="K39" s="2015"/>
      <c r="L39" s="2015"/>
      <c r="M39" s="2015"/>
    </row>
    <row r="40" spans="2:13" ht="11.25" customHeight="1" x14ac:dyDescent="0.2">
      <c r="B40" s="2013" t="s">
        <v>1736</v>
      </c>
      <c r="C40" s="2015"/>
      <c r="D40" s="2015"/>
      <c r="E40" s="2015"/>
      <c r="F40" s="2015"/>
      <c r="G40" s="2015"/>
      <c r="H40" s="2015"/>
      <c r="I40" s="2015"/>
      <c r="J40" s="2015"/>
      <c r="K40" s="2015"/>
      <c r="L40" s="2015"/>
      <c r="M40" s="2015"/>
    </row>
    <row r="41" spans="2:13" ht="11.25" customHeight="1" x14ac:dyDescent="0.2">
      <c r="B41" s="1951" t="s">
        <v>1585</v>
      </c>
      <c r="C41" s="2017"/>
      <c r="D41" s="2018"/>
      <c r="E41" s="1951"/>
      <c r="F41" s="1951"/>
      <c r="G41" s="1951"/>
      <c r="H41" s="1951"/>
      <c r="I41" s="1951"/>
      <c r="J41" s="1951"/>
      <c r="K41" s="2019"/>
      <c r="L41" s="2019"/>
      <c r="M41" s="1951"/>
    </row>
    <row r="42" spans="2:13" ht="3.95" customHeight="1" x14ac:dyDescent="0.2">
      <c r="B42" s="1951"/>
      <c r="C42" s="2017"/>
      <c r="D42" s="2018"/>
      <c r="E42" s="1951"/>
      <c r="F42" s="1951"/>
      <c r="G42" s="1951"/>
      <c r="H42" s="1951"/>
      <c r="I42" s="1951"/>
      <c r="J42" s="1951"/>
      <c r="K42" s="2019"/>
      <c r="L42" s="2019"/>
      <c r="M42" s="1951"/>
    </row>
    <row r="43" spans="2:13" ht="11.25" customHeight="1" x14ac:dyDescent="0.2">
      <c r="B43" s="2020" t="s">
        <v>1737</v>
      </c>
      <c r="C43" s="2017"/>
      <c r="D43" s="2018"/>
      <c r="E43" s="1951"/>
      <c r="F43" s="1951"/>
      <c r="G43" s="1951"/>
      <c r="H43" s="1951"/>
      <c r="I43" s="1951"/>
      <c r="J43" s="1951"/>
      <c r="K43" s="2019"/>
      <c r="L43" s="2019"/>
      <c r="M43" s="1951"/>
    </row>
    <row r="44" spans="2:13" ht="3.95" customHeight="1" x14ac:dyDescent="0.2">
      <c r="B44" s="2020"/>
      <c r="C44" s="2017"/>
      <c r="D44" s="2018"/>
      <c r="E44" s="1951"/>
      <c r="F44" s="1951"/>
      <c r="G44" s="1951"/>
      <c r="H44" s="1951"/>
      <c r="I44" s="1951"/>
      <c r="J44" s="1951"/>
      <c r="K44" s="2019"/>
      <c r="L44" s="2019"/>
      <c r="M44" s="1951"/>
    </row>
    <row r="45" spans="2:13" ht="11.25" customHeight="1" x14ac:dyDescent="0.2">
      <c r="B45" s="2021" t="s">
        <v>1738</v>
      </c>
      <c r="C45" s="2017"/>
      <c r="D45" s="2018"/>
      <c r="E45" s="1951"/>
      <c r="F45" s="1951"/>
      <c r="G45" s="1951"/>
      <c r="H45" s="1951"/>
      <c r="I45" s="1951"/>
      <c r="J45" s="1951"/>
      <c r="K45" s="2019"/>
      <c r="L45" s="2019"/>
      <c r="M45" s="1951"/>
    </row>
    <row r="46" spans="2:13" ht="11.25" customHeight="1" x14ac:dyDescent="0.2">
      <c r="B46" s="1951" t="s">
        <v>1586</v>
      </c>
      <c r="G46" s="1942"/>
      <c r="H46" s="1942"/>
      <c r="I46" s="1942"/>
      <c r="J46" s="1942"/>
    </row>
    <row r="47" spans="2:13" ht="11.1" customHeight="1" x14ac:dyDescent="0.2">
      <c r="B47" s="1951"/>
      <c r="G47" s="1942"/>
      <c r="H47" s="1942"/>
      <c r="I47" s="1942"/>
      <c r="J47" s="1942"/>
    </row>
    <row r="48" spans="2:13" ht="11.1" customHeight="1" x14ac:dyDescent="0.2">
      <c r="B48" s="1951"/>
      <c r="G48" s="1942"/>
      <c r="H48" s="1942"/>
      <c r="I48" s="1942"/>
      <c r="J48" s="1942"/>
    </row>
    <row r="49" spans="7:13" ht="13.5" customHeight="1" x14ac:dyDescent="0.2">
      <c r="M49" s="2022"/>
    </row>
    <row r="50" spans="7:13" ht="13.5" customHeight="1" x14ac:dyDescent="0.2">
      <c r="M50" s="2022"/>
    </row>
    <row r="51" spans="7:13" ht="13.5" customHeight="1" x14ac:dyDescent="0.2">
      <c r="M51" s="2022"/>
    </row>
    <row r="52" spans="7:13" ht="13.5" customHeight="1" x14ac:dyDescent="0.2">
      <c r="G52" s="1942"/>
      <c r="H52" s="1942"/>
      <c r="I52" s="1942"/>
      <c r="J52" s="1942"/>
    </row>
    <row r="53" spans="7:13" ht="13.5" customHeight="1" x14ac:dyDescent="0.2">
      <c r="G53" s="1942"/>
      <c r="H53" s="1942"/>
      <c r="I53" s="1942"/>
      <c r="J53" s="1942"/>
    </row>
    <row r="54" spans="7:13" ht="13.5" customHeight="1" x14ac:dyDescent="0.2">
      <c r="G54" s="1942"/>
      <c r="H54" s="1942"/>
      <c r="I54" s="1942"/>
      <c r="J54" s="1942"/>
    </row>
    <row r="55" spans="7:13" ht="13.5" customHeight="1" x14ac:dyDescent="0.2">
      <c r="G55" s="1942"/>
      <c r="H55" s="1942"/>
      <c r="I55" s="1942"/>
      <c r="J55" s="1942"/>
    </row>
    <row r="56" spans="7:13" ht="13.5" customHeight="1" x14ac:dyDescent="0.2">
      <c r="G56" s="1942"/>
      <c r="H56" s="1942"/>
      <c r="I56" s="1942"/>
      <c r="J56" s="1942"/>
    </row>
    <row r="57" spans="7:13" ht="13.5" customHeight="1" x14ac:dyDescent="0.2">
      <c r="G57" s="1942"/>
      <c r="H57" s="1942"/>
      <c r="I57" s="1942"/>
      <c r="J57" s="1942"/>
    </row>
    <row r="58" spans="7:13" ht="13.5" customHeight="1" x14ac:dyDescent="0.2">
      <c r="G58" s="1942"/>
      <c r="H58" s="1942"/>
      <c r="I58" s="1942"/>
      <c r="J58" s="1942"/>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L13:L14 F16 I16 F18 I1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Normal="100" workbookViewId="0">
      <selection activeCell="N23" sqref="N23"/>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537" t="str">
        <f>'Single Audit Cover'!A7</f>
        <v>Fox Lake GSD 114</v>
      </c>
      <c r="B1" s="2537"/>
      <c r="C1" s="2537"/>
      <c r="D1" s="2537"/>
      <c r="E1" s="2537"/>
      <c r="F1" s="2537"/>
    </row>
    <row r="2" spans="1:7" ht="13.5" customHeight="1" x14ac:dyDescent="0.2">
      <c r="A2" s="2525">
        <f>'Single Audit Cover'!E7</f>
        <v>34049114002</v>
      </c>
      <c r="B2" s="2525"/>
      <c r="C2" s="2525"/>
      <c r="D2" s="2525"/>
      <c r="E2" s="2525"/>
      <c r="F2" s="2525"/>
      <c r="G2" s="1271"/>
    </row>
    <row r="3" spans="1:7" ht="15.75" customHeight="1" x14ac:dyDescent="0.2">
      <c r="A3" s="2538" t="s">
        <v>1271</v>
      </c>
      <c r="B3" s="2538"/>
      <c r="C3" s="2538"/>
      <c r="D3" s="2538"/>
      <c r="E3" s="2538"/>
      <c r="F3" s="2538"/>
    </row>
    <row r="4" spans="1:7" ht="13.5" customHeight="1" x14ac:dyDescent="0.2">
      <c r="A4" s="2539" t="str">
        <f>'Single Audit Cover'!A4</f>
        <v>Year Ending June 30, 2019</v>
      </c>
      <c r="B4" s="2539"/>
      <c r="C4" s="2539"/>
      <c r="D4" s="2539"/>
      <c r="E4" s="2539"/>
      <c r="F4" s="2539"/>
    </row>
    <row r="5" spans="1:7" ht="8.25" customHeight="1" x14ac:dyDescent="0.2">
      <c r="C5" s="316"/>
      <c r="D5" s="316"/>
    </row>
    <row r="6" spans="1:7" ht="13.5" customHeight="1" x14ac:dyDescent="0.2">
      <c r="A6" s="1272" t="s">
        <v>1728</v>
      </c>
      <c r="C6" s="316"/>
      <c r="D6" s="316"/>
    </row>
    <row r="7" spans="1:7" ht="60.95" customHeight="1" x14ac:dyDescent="0.2">
      <c r="A7" s="2536" t="s">
        <v>2142</v>
      </c>
      <c r="B7" s="2536"/>
      <c r="C7" s="2536"/>
      <c r="D7" s="2536"/>
      <c r="E7" s="2536"/>
      <c r="F7" s="2536"/>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2060</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21.6" customHeight="1" x14ac:dyDescent="0.2">
      <c r="A13" s="2536" t="s">
        <v>2143</v>
      </c>
      <c r="B13" s="2536"/>
      <c r="C13" s="2536"/>
      <c r="D13" s="2536"/>
      <c r="E13" s="2536"/>
      <c r="F13" s="2536"/>
    </row>
    <row r="14" spans="1:7" ht="9.75" customHeight="1" x14ac:dyDescent="0.2">
      <c r="C14" s="1256"/>
      <c r="D14" s="1256"/>
    </row>
    <row r="15" spans="1:7" ht="13.5" customHeight="1" x14ac:dyDescent="0.2">
      <c r="C15" s="1845" t="s">
        <v>1270</v>
      </c>
      <c r="D15" s="2534" t="s">
        <v>1269</v>
      </c>
      <c r="E15" s="2534"/>
      <c r="F15" s="2534"/>
    </row>
    <row r="16" spans="1:7" ht="13.5" customHeight="1" x14ac:dyDescent="0.2">
      <c r="A16" s="1278"/>
      <c r="B16" s="1272" t="s">
        <v>1268</v>
      </c>
      <c r="C16" s="1845" t="s">
        <v>1267</v>
      </c>
      <c r="D16" s="2535" t="s">
        <v>1588</v>
      </c>
      <c r="E16" s="2535"/>
      <c r="F16" s="2535"/>
    </row>
    <row r="17" spans="1:6" ht="20.45" customHeight="1" x14ac:dyDescent="0.2">
      <c r="A17" s="1279"/>
      <c r="B17" s="1280" t="s">
        <v>2144</v>
      </c>
      <c r="C17" s="1281"/>
      <c r="D17" s="2529"/>
      <c r="E17" s="2529"/>
      <c r="F17" s="2529"/>
    </row>
    <row r="18" spans="1:6" ht="20.65" customHeight="1" x14ac:dyDescent="0.2">
      <c r="A18" s="1279"/>
      <c r="B18" s="1280"/>
      <c r="C18" s="1281"/>
      <c r="D18" s="2529"/>
      <c r="E18" s="2529"/>
      <c r="F18" s="2529"/>
    </row>
    <row r="19" spans="1:6" ht="20.65" customHeight="1" x14ac:dyDescent="0.2">
      <c r="A19" s="1279"/>
      <c r="B19" s="1280"/>
      <c r="C19" s="1281"/>
      <c r="D19" s="2529"/>
      <c r="E19" s="2529"/>
      <c r="F19" s="2529"/>
    </row>
    <row r="20" spans="1:6" ht="20.65" customHeight="1" x14ac:dyDescent="0.2">
      <c r="A20" s="1279"/>
      <c r="B20" s="1280"/>
      <c r="C20" s="1281"/>
      <c r="D20" s="2529"/>
      <c r="E20" s="2529"/>
      <c r="F20" s="2529"/>
    </row>
    <row r="21" spans="1:6" ht="20.65" customHeight="1" x14ac:dyDescent="0.2">
      <c r="A21" s="1279"/>
      <c r="B21" s="1280"/>
      <c r="C21" s="1281"/>
      <c r="D21" s="2529"/>
      <c r="E21" s="2529"/>
      <c r="F21" s="2529"/>
    </row>
    <row r="22" spans="1:6" ht="20.65" customHeight="1" x14ac:dyDescent="0.2">
      <c r="A22" s="1279"/>
      <c r="B22" s="1280"/>
      <c r="C22" s="1281"/>
      <c r="D22" s="2529"/>
      <c r="E22" s="2529"/>
      <c r="F22" s="2529"/>
    </row>
    <row r="23" spans="1:6" ht="20.65" customHeight="1" x14ac:dyDescent="0.2">
      <c r="A23" s="1279"/>
      <c r="B23" s="1280"/>
      <c r="C23" s="1281"/>
      <c r="D23" s="2529"/>
      <c r="E23" s="2529"/>
      <c r="F23" s="2529"/>
    </row>
    <row r="24" spans="1:6" ht="20.65" customHeight="1" x14ac:dyDescent="0.2">
      <c r="A24" s="1279"/>
      <c r="B24" s="1280"/>
      <c r="C24" s="1281"/>
      <c r="D24" s="2529"/>
      <c r="E24" s="2529"/>
      <c r="F24" s="2529"/>
    </row>
    <row r="25" spans="1:6" ht="20.65" customHeight="1" x14ac:dyDescent="0.2">
      <c r="A25" s="1279"/>
      <c r="B25" s="1280"/>
      <c r="C25" s="1281"/>
      <c r="D25" s="2529"/>
      <c r="E25" s="2529"/>
      <c r="F25" s="2529"/>
    </row>
    <row r="26" spans="1:6" ht="20.65" customHeight="1" x14ac:dyDescent="0.2">
      <c r="A26" s="1279"/>
      <c r="B26" s="1280"/>
      <c r="C26" s="1281"/>
      <c r="D26" s="2529"/>
      <c r="E26" s="2529"/>
      <c r="F26" s="2529"/>
    </row>
    <row r="27" spans="1:6" ht="20.65" customHeight="1" x14ac:dyDescent="0.2">
      <c r="A27" s="1279"/>
      <c r="B27" s="1280"/>
      <c r="C27" s="1281"/>
      <c r="D27" s="2529"/>
      <c r="E27" s="2529"/>
      <c r="F27" s="2529"/>
    </row>
    <row r="28" spans="1:6" ht="20.65" customHeight="1" x14ac:dyDescent="0.2">
      <c r="A28" s="1279"/>
      <c r="B28" s="1280"/>
      <c r="C28" s="1281"/>
      <c r="D28" s="2529"/>
      <c r="E28" s="2529"/>
      <c r="F28" s="2529"/>
    </row>
    <row r="29" spans="1:6" ht="20.65" customHeight="1" x14ac:dyDescent="0.2">
      <c r="A29" s="1279"/>
      <c r="B29" s="1280"/>
      <c r="C29" s="1281"/>
      <c r="D29" s="2529"/>
      <c r="E29" s="2529"/>
      <c r="F29" s="2529"/>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530" t="s">
        <v>2145</v>
      </c>
      <c r="B32" s="2530"/>
      <c r="C32" s="2530"/>
      <c r="D32" s="2530"/>
      <c r="E32" s="2530"/>
      <c r="F32" s="2530"/>
    </row>
    <row r="33" spans="1:6" ht="13.5" customHeight="1" x14ac:dyDescent="0.2">
      <c r="A33" s="327" t="s">
        <v>1434</v>
      </c>
      <c r="B33" s="327"/>
      <c r="C33" s="1284">
        <v>15672</v>
      </c>
      <c r="D33" s="1902"/>
      <c r="E33" s="1282"/>
    </row>
    <row r="34" spans="1:6" ht="13.5" customHeight="1" x14ac:dyDescent="0.2">
      <c r="A34" s="327" t="s">
        <v>1835</v>
      </c>
      <c r="B34" s="327"/>
      <c r="C34" s="1285">
        <v>14242</v>
      </c>
      <c r="D34" s="1902" t="s">
        <v>1589</v>
      </c>
      <c r="E34" s="2531">
        <f>+C33+C34</f>
        <v>29914</v>
      </c>
      <c r="F34" s="2532"/>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v>0</v>
      </c>
      <c r="D38" s="1902"/>
      <c r="E38" s="1282"/>
    </row>
    <row r="39" spans="1:6" ht="14.25" customHeight="1" x14ac:dyDescent="0.2">
      <c r="A39" s="327"/>
      <c r="B39" s="327" t="s">
        <v>1436</v>
      </c>
      <c r="C39" s="1288">
        <v>0</v>
      </c>
      <c r="D39" s="1902"/>
      <c r="E39" s="1282"/>
    </row>
    <row r="40" spans="1:6" ht="14.25" customHeight="1" x14ac:dyDescent="0.2">
      <c r="A40" s="327"/>
      <c r="B40" s="327" t="s">
        <v>1437</v>
      </c>
      <c r="C40" s="1288">
        <v>0</v>
      </c>
      <c r="D40" s="1902"/>
      <c r="E40" s="1282"/>
    </row>
    <row r="41" spans="1:6" ht="14.25" customHeight="1" x14ac:dyDescent="0.2">
      <c r="A41" s="327"/>
      <c r="B41" s="327" t="s">
        <v>1438</v>
      </c>
      <c r="C41" s="1288">
        <v>0</v>
      </c>
      <c r="D41" s="1902"/>
      <c r="E41" s="1282"/>
    </row>
    <row r="42" spans="1:6" ht="14.25" customHeight="1" x14ac:dyDescent="0.2">
      <c r="A42" s="327" t="s">
        <v>1439</v>
      </c>
      <c r="B42" s="327"/>
      <c r="C42" s="1900">
        <v>0</v>
      </c>
      <c r="D42" s="1902"/>
      <c r="E42" s="1282"/>
    </row>
    <row r="43" spans="1:6" ht="14.25" customHeight="1" x14ac:dyDescent="0.2">
      <c r="A43" s="327" t="s">
        <v>1440</v>
      </c>
      <c r="B43" s="327"/>
      <c r="C43" s="1289" t="s">
        <v>99</v>
      </c>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1730</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533" t="s">
        <v>1590</v>
      </c>
      <c r="C49" s="2533"/>
      <c r="D49" s="2533"/>
      <c r="E49" s="1395"/>
    </row>
    <row r="50" spans="1:5" s="1296" customFormat="1" ht="3.75" customHeight="1" x14ac:dyDescent="0.2">
      <c r="A50" s="1295"/>
      <c r="B50" s="1844"/>
      <c r="C50" s="1844"/>
      <c r="D50" s="1844"/>
      <c r="E50" s="1395"/>
    </row>
    <row r="51" spans="1:5" s="1296" customFormat="1" ht="20.25" customHeight="1" x14ac:dyDescent="0.2">
      <c r="A51" s="1297">
        <v>6</v>
      </c>
      <c r="B51" s="2528" t="s">
        <v>1551</v>
      </c>
      <c r="C51" s="2528"/>
      <c r="D51" s="2528"/>
    </row>
    <row r="52" spans="1:5" ht="14.25" customHeight="1" x14ac:dyDescent="0.2">
      <c r="A52" s="1297"/>
      <c r="B52" s="2528"/>
      <c r="C52" s="2528"/>
      <c r="D52" s="252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9&amp;R&amp;8Page 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N23" sqref="N23"/>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551" t="str">
        <f>'Single Audit Cover'!A7</f>
        <v>Fox Lake GSD 114</v>
      </c>
      <c r="C1" s="2552"/>
      <c r="D1" s="2552"/>
      <c r="E1" s="2552"/>
      <c r="F1" s="2552"/>
      <c r="G1" s="2552"/>
      <c r="H1" s="2552"/>
      <c r="I1" s="2552"/>
      <c r="J1" s="1405"/>
    </row>
    <row r="2" spans="2:10" s="316" customFormat="1" ht="12.75" customHeight="1" x14ac:dyDescent="0.2">
      <c r="B2" s="2553">
        <f>'Single Audit Cover'!E7</f>
        <v>34049114002</v>
      </c>
      <c r="C2" s="2554"/>
      <c r="D2" s="2554"/>
      <c r="E2" s="2554"/>
      <c r="F2" s="2554"/>
      <c r="G2" s="2554"/>
      <c r="H2" s="2554"/>
      <c r="I2" s="2554"/>
      <c r="J2" s="1405"/>
    </row>
    <row r="3" spans="2:10" s="316" customFormat="1" ht="12.75" customHeight="1" x14ac:dyDescent="0.2">
      <c r="B3" s="2555" t="s">
        <v>1285</v>
      </c>
      <c r="C3" s="2556"/>
      <c r="D3" s="2556"/>
      <c r="E3" s="2556"/>
      <c r="F3" s="2556"/>
      <c r="G3" s="2556"/>
      <c r="H3" s="2556"/>
      <c r="I3" s="2556"/>
      <c r="J3" s="1406"/>
    </row>
    <row r="4" spans="2:10" s="316" customFormat="1" ht="12.75" customHeight="1" x14ac:dyDescent="0.2">
      <c r="B4" s="2555" t="str">
        <f>'Single Audit Cover'!A4</f>
        <v>Year Ending June 30, 2019</v>
      </c>
      <c r="C4" s="2556"/>
      <c r="D4" s="2556"/>
      <c r="E4" s="2556"/>
      <c r="F4" s="2556"/>
      <c r="G4" s="2556"/>
      <c r="H4" s="2556"/>
      <c r="I4" s="2556"/>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555" t="s">
        <v>1284</v>
      </c>
      <c r="C7" s="2556"/>
      <c r="D7" s="2556"/>
      <c r="E7" s="2556"/>
      <c r="F7" s="2556"/>
      <c r="G7" s="2556"/>
      <c r="H7" s="2556"/>
      <c r="I7" s="2556"/>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557" t="s">
        <v>2146</v>
      </c>
      <c r="D11" s="2557"/>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t="s">
        <v>2060</v>
      </c>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t="s">
        <v>2060</v>
      </c>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t="s">
        <v>2060</v>
      </c>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t="s">
        <v>2060</v>
      </c>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t="s">
        <v>2060</v>
      </c>
      <c r="H27" s="1296" t="s">
        <v>1276</v>
      </c>
      <c r="I27" s="1296"/>
    </row>
    <row r="28" spans="2:9" s="316" customFormat="1" ht="12.75" customHeight="1" x14ac:dyDescent="0.2">
      <c r="B28" s="1364"/>
      <c r="C28" s="1278"/>
      <c r="E28" s="1254"/>
    </row>
    <row r="29" spans="2:9" s="316" customFormat="1" ht="12.75" customHeight="1" x14ac:dyDescent="0.2">
      <c r="B29" s="1364" t="s">
        <v>1275</v>
      </c>
      <c r="C29" s="1278"/>
      <c r="D29" s="2558" t="s">
        <v>2071</v>
      </c>
      <c r="E29" s="2558"/>
      <c r="F29" s="2558"/>
      <c r="G29" s="2558"/>
      <c r="H29" s="2558"/>
      <c r="I29" s="2558"/>
    </row>
    <row r="30" spans="2:9" s="316" customFormat="1" x14ac:dyDescent="0.2">
      <c r="B30" s="1364"/>
      <c r="C30" s="321"/>
      <c r="D30" s="1416" t="s">
        <v>1745</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t="s">
        <v>2060</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559" t="s">
        <v>1748</v>
      </c>
      <c r="D37" s="2560"/>
      <c r="E37" s="2560"/>
      <c r="F37" s="2561"/>
      <c r="G37" s="2559" t="s">
        <v>1592</v>
      </c>
      <c r="H37" s="2560"/>
      <c r="I37" s="2561"/>
    </row>
    <row r="38" spans="2:9" ht="16.5" customHeight="1" x14ac:dyDescent="0.2">
      <c r="B38" s="1427" t="s">
        <v>2147</v>
      </c>
      <c r="C38" s="2547" t="s">
        <v>2148</v>
      </c>
      <c r="D38" s="2548"/>
      <c r="E38" s="2548"/>
      <c r="F38" s="2549"/>
      <c r="G38" s="2562">
        <v>331339</v>
      </c>
      <c r="H38" s="2563"/>
      <c r="I38" s="2564"/>
    </row>
    <row r="39" spans="2:9" ht="16.5" customHeight="1" x14ac:dyDescent="0.2">
      <c r="B39" s="1427"/>
      <c r="C39" s="2547"/>
      <c r="D39" s="2548"/>
      <c r="E39" s="2548"/>
      <c r="F39" s="2549"/>
      <c r="G39" s="2550"/>
      <c r="H39" s="2550"/>
      <c r="I39" s="2550"/>
    </row>
    <row r="40" spans="2:9" ht="16.5" customHeight="1" x14ac:dyDescent="0.2">
      <c r="B40" s="1427"/>
      <c r="C40" s="2547"/>
      <c r="D40" s="2548"/>
      <c r="E40" s="2548"/>
      <c r="F40" s="2549"/>
      <c r="G40" s="2550"/>
      <c r="H40" s="2550"/>
      <c r="I40" s="2550"/>
    </row>
    <row r="41" spans="2:9" ht="16.5" customHeight="1" x14ac:dyDescent="0.2">
      <c r="B41" s="1427"/>
      <c r="C41" s="2547"/>
      <c r="D41" s="2548"/>
      <c r="E41" s="2548"/>
      <c r="F41" s="2549"/>
      <c r="G41" s="2550"/>
      <c r="H41" s="2550"/>
      <c r="I41" s="2550"/>
    </row>
    <row r="42" spans="2:9" ht="16.5" customHeight="1" x14ac:dyDescent="0.2">
      <c r="B42" s="1427"/>
      <c r="C42" s="2547"/>
      <c r="D42" s="2548"/>
      <c r="E42" s="2548"/>
      <c r="F42" s="2549"/>
      <c r="G42" s="2550"/>
      <c r="H42" s="2550"/>
      <c r="I42" s="2550"/>
    </row>
    <row r="43" spans="2:9" ht="16.5" customHeight="1" x14ac:dyDescent="0.2">
      <c r="B43" s="1427"/>
      <c r="C43" s="2540" t="s">
        <v>1593</v>
      </c>
      <c r="D43" s="2541"/>
      <c r="E43" s="2541"/>
      <c r="F43" s="2542"/>
      <c r="G43" s="2543">
        <f>SUM(G38:I42)</f>
        <v>331339</v>
      </c>
      <c r="H43" s="2543"/>
      <c r="I43" s="2543"/>
    </row>
    <row r="44" spans="2:9" ht="12.75" customHeight="1" x14ac:dyDescent="0.2"/>
    <row r="45" spans="2:9" ht="12.75" customHeight="1" x14ac:dyDescent="0.2">
      <c r="B45" s="1418" t="s">
        <v>2059</v>
      </c>
      <c r="D45" s="2544">
        <v>819431</v>
      </c>
      <c r="E45" s="2545"/>
    </row>
    <row r="46" spans="2:9" ht="5.25" customHeight="1" x14ac:dyDescent="0.2">
      <c r="B46" s="1428"/>
      <c r="D46" s="1429"/>
      <c r="E46" s="1430"/>
    </row>
    <row r="47" spans="2:9" ht="12.75" customHeight="1" x14ac:dyDescent="0.2">
      <c r="B47" s="1296" t="s">
        <v>1594</v>
      </c>
      <c r="C47" s="1296"/>
      <c r="D47" s="1431">
        <f>+G43/D45</f>
        <v>0.40435253242798969</v>
      </c>
      <c r="E47" s="1432"/>
      <c r="F47" s="1433"/>
      <c r="I47" s="1434"/>
    </row>
    <row r="48" spans="2:9" ht="9.9499999999999993" customHeight="1" x14ac:dyDescent="0.2"/>
    <row r="49" spans="1:9" x14ac:dyDescent="0.2">
      <c r="B49" s="1364" t="s">
        <v>1273</v>
      </c>
      <c r="C49" s="1278"/>
      <c r="D49" s="1278"/>
      <c r="E49" s="2546">
        <v>750000</v>
      </c>
      <c r="F49" s="2546"/>
      <c r="G49" s="2546"/>
      <c r="H49" s="321"/>
    </row>
    <row r="51" spans="1:9" ht="13.5" customHeight="1" x14ac:dyDescent="0.2">
      <c r="B51" s="1364" t="s">
        <v>1272</v>
      </c>
      <c r="C51" s="1278"/>
      <c r="E51" s="1421" t="s">
        <v>2060</v>
      </c>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&amp;L&amp;8Page 10&amp;R&amp;8Page 10</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23" sqref="N23"/>
    </sheetView>
  </sheetViews>
  <sheetFormatPr defaultColWidth="9.140625" defaultRowHeight="12.75" x14ac:dyDescent="0.2"/>
  <cols>
    <col min="1" max="1" width="1.5703125" style="316" customWidth="1"/>
    <col min="2" max="2" width="21.42578125" style="316" customWidth="1"/>
    <col min="3" max="3" width="9.5703125" style="316" bestFit="1"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551" t="str">
        <f>'Single Audit Cover'!A7</f>
        <v>Fox Lake GSD 114</v>
      </c>
      <c r="C1" s="2551"/>
      <c r="D1" s="2551"/>
      <c r="E1" s="2551"/>
      <c r="F1" s="2551"/>
      <c r="G1" s="2551"/>
      <c r="H1" s="2551"/>
      <c r="I1" s="2551"/>
      <c r="J1" s="2551"/>
      <c r="K1" s="2551"/>
      <c r="L1" s="1370"/>
      <c r="M1" s="1370"/>
    </row>
    <row r="2" spans="1:13" ht="12" customHeight="1" x14ac:dyDescent="0.2">
      <c r="B2" s="2553">
        <f>'Single Audit Cover'!E7</f>
        <v>34049114002</v>
      </c>
      <c r="C2" s="2553"/>
      <c r="D2" s="2553"/>
      <c r="E2" s="2553"/>
      <c r="F2" s="2553"/>
      <c r="G2" s="2553"/>
      <c r="H2" s="2553"/>
      <c r="I2" s="2553"/>
      <c r="J2" s="2553"/>
      <c r="K2" s="2553"/>
      <c r="L2" s="1371"/>
      <c r="M2" s="1372"/>
    </row>
    <row r="3" spans="1:13" ht="10.35" customHeight="1" x14ac:dyDescent="0.2">
      <c r="B3" s="2567" t="s">
        <v>1285</v>
      </c>
      <c r="C3" s="2567"/>
      <c r="D3" s="2567"/>
      <c r="E3" s="2567"/>
      <c r="F3" s="2567"/>
      <c r="G3" s="2567"/>
      <c r="H3" s="2567"/>
      <c r="I3" s="2567"/>
      <c r="J3" s="2567"/>
      <c r="K3" s="2567"/>
      <c r="L3" s="1373"/>
      <c r="M3" s="1373"/>
    </row>
    <row r="4" spans="1:13" ht="14.25" customHeight="1" x14ac:dyDescent="0.2">
      <c r="B4" s="2568" t="str">
        <f>'Single Audit Cover'!A4</f>
        <v>Year Ending June 30, 2019</v>
      </c>
      <c r="C4" s="2568"/>
      <c r="D4" s="2568"/>
      <c r="E4" s="2568"/>
      <c r="F4" s="2568"/>
      <c r="G4" s="2568"/>
      <c r="H4" s="2568"/>
      <c r="I4" s="2568"/>
      <c r="J4" s="2568"/>
      <c r="K4" s="2568"/>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68" t="s">
        <v>1296</v>
      </c>
      <c r="C7" s="2568"/>
      <c r="D7" s="2569"/>
      <c r="E7" s="2569"/>
      <c r="F7" s="2569"/>
      <c r="G7" s="2569"/>
      <c r="H7" s="2569"/>
      <c r="I7" s="2569"/>
      <c r="J7" s="2569"/>
      <c r="K7" s="2569"/>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2149</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566"/>
      <c r="C14" s="2566"/>
      <c r="D14" s="2566"/>
      <c r="E14" s="2566"/>
      <c r="F14" s="2566"/>
      <c r="G14" s="2566"/>
      <c r="H14" s="2566"/>
      <c r="I14" s="2566"/>
      <c r="J14" s="2566"/>
      <c r="K14" s="256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566"/>
      <c r="C17" s="2566"/>
      <c r="D17" s="2566"/>
      <c r="E17" s="2566"/>
      <c r="F17" s="2566"/>
      <c r="G17" s="2566"/>
      <c r="H17" s="2566"/>
      <c r="I17" s="2566"/>
      <c r="J17" s="2566"/>
      <c r="K17" s="2566"/>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570"/>
      <c r="C20" s="2570"/>
      <c r="D20" s="2566"/>
      <c r="E20" s="2566"/>
      <c r="F20" s="2566"/>
      <c r="G20" s="2566"/>
      <c r="H20" s="2566"/>
      <c r="I20" s="2566"/>
      <c r="J20" s="2566"/>
      <c r="K20" s="256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566"/>
      <c r="C23" s="2566"/>
      <c r="D23" s="2566"/>
      <c r="E23" s="2566"/>
      <c r="F23" s="2566"/>
      <c r="G23" s="2566"/>
      <c r="H23" s="2566"/>
      <c r="I23" s="2566"/>
      <c r="J23" s="2566"/>
      <c r="K23" s="256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566"/>
      <c r="C26" s="2566"/>
      <c r="D26" s="2566"/>
      <c r="E26" s="2566"/>
      <c r="F26" s="2566"/>
      <c r="G26" s="2566"/>
      <c r="H26" s="2566"/>
      <c r="I26" s="2566"/>
      <c r="J26" s="2566"/>
      <c r="K26" s="256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565"/>
      <c r="C29" s="2565"/>
      <c r="D29" s="2566"/>
      <c r="E29" s="2566"/>
      <c r="F29" s="2566"/>
      <c r="G29" s="2566"/>
      <c r="H29" s="2566"/>
      <c r="I29" s="2566"/>
      <c r="J29" s="2566"/>
      <c r="K29" s="2566"/>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1741</v>
      </c>
      <c r="C31" s="1399"/>
      <c r="D31" s="1374"/>
      <c r="E31" s="1375"/>
      <c r="F31" s="1375"/>
      <c r="G31" s="1376"/>
      <c r="H31" s="1375"/>
      <c r="I31" s="1376"/>
      <c r="J31" s="1375"/>
      <c r="K31" s="1375"/>
      <c r="L31" s="1377"/>
    </row>
    <row r="32" spans="2:12" s="321" customFormat="1" ht="44.25" customHeight="1" x14ac:dyDescent="0.2">
      <c r="B32" s="2565"/>
      <c r="C32" s="2565"/>
      <c r="D32" s="2566"/>
      <c r="E32" s="2566"/>
      <c r="F32" s="2566"/>
      <c r="G32" s="2566"/>
      <c r="H32" s="2566"/>
      <c r="I32" s="2566"/>
      <c r="J32" s="2566"/>
      <c r="K32" s="2566"/>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1"/>
      <c r="E35" s="321"/>
      <c r="F35" s="321"/>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22" header="0.26" footer="0.31"/>
  <pageSetup firstPageNumber="41"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N23" sqref="N23"/>
    </sheetView>
  </sheetViews>
  <sheetFormatPr defaultColWidth="9.140625" defaultRowHeight="12.75" x14ac:dyDescent="0.2"/>
  <cols>
    <col min="1" max="1" width="1.5703125" style="316" customWidth="1"/>
    <col min="2" max="2" width="21.5703125" style="316" customWidth="1"/>
    <col min="3" max="3" width="9.5703125" style="316" bestFit="1"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74" t="str">
        <f>'Single Audit Cover'!A7</f>
        <v>Fox Lake GSD 114</v>
      </c>
      <c r="C1" s="2574"/>
      <c r="D1" s="2574"/>
      <c r="E1" s="2574"/>
      <c r="F1" s="2574"/>
      <c r="G1" s="2574"/>
      <c r="H1" s="2574"/>
      <c r="I1" s="2574"/>
      <c r="J1" s="2574"/>
      <c r="K1" s="2574"/>
      <c r="L1" s="1448"/>
    </row>
    <row r="2" spans="1:12" ht="12.75" customHeight="1" x14ac:dyDescent="0.2">
      <c r="B2" s="2575">
        <f>'Single Audit Cover'!E7</f>
        <v>34049114002</v>
      </c>
      <c r="C2" s="2575"/>
      <c r="D2" s="2575"/>
      <c r="E2" s="2575"/>
      <c r="F2" s="2575"/>
      <c r="G2" s="2575"/>
      <c r="H2" s="2575"/>
      <c r="I2" s="2575"/>
      <c r="J2" s="2575"/>
      <c r="K2" s="2575"/>
      <c r="L2" s="1449"/>
    </row>
    <row r="3" spans="1:12" ht="12.75" customHeight="1" x14ac:dyDescent="0.2">
      <c r="B3" s="2567" t="s">
        <v>1285</v>
      </c>
      <c r="C3" s="2567"/>
      <c r="D3" s="2567"/>
      <c r="E3" s="2567"/>
      <c r="F3" s="2567"/>
      <c r="G3" s="2567"/>
      <c r="H3" s="2567"/>
      <c r="I3" s="2567"/>
      <c r="J3" s="2567"/>
      <c r="K3" s="2567"/>
      <c r="L3" s="1373"/>
    </row>
    <row r="4" spans="1:12" ht="12.75" customHeight="1" x14ac:dyDescent="0.2">
      <c r="B4" s="2567" t="str">
        <f>'Single Audit Cover'!A4</f>
        <v>Year Ending June 30, 2019</v>
      </c>
      <c r="C4" s="2567"/>
      <c r="D4" s="2567"/>
      <c r="E4" s="2567"/>
      <c r="F4" s="2567"/>
      <c r="G4" s="2567"/>
      <c r="H4" s="2567"/>
      <c r="I4" s="2567"/>
      <c r="J4" s="2567"/>
      <c r="K4" s="2567"/>
      <c r="L4" s="1373"/>
    </row>
    <row r="5" spans="1:12" ht="5.25" customHeight="1" x14ac:dyDescent="0.2">
      <c r="B5" s="1256" t="s">
        <v>1169</v>
      </c>
      <c r="C5" s="1256"/>
      <c r="L5" s="321"/>
    </row>
    <row r="6" spans="1:12" ht="30.75" customHeight="1" x14ac:dyDescent="0.2">
      <c r="A6" s="321"/>
      <c r="B6" s="2576" t="s">
        <v>1308</v>
      </c>
      <c r="C6" s="2576"/>
      <c r="D6" s="2576"/>
      <c r="E6" s="2576"/>
      <c r="F6" s="2576"/>
      <c r="G6" s="2576"/>
      <c r="H6" s="2576"/>
      <c r="I6" s="2576"/>
      <c r="J6" s="2576"/>
      <c r="K6" s="2576"/>
      <c r="L6" s="321"/>
    </row>
    <row r="7" spans="1:12" ht="4.5" customHeight="1" x14ac:dyDescent="0.2">
      <c r="B7" s="1375"/>
      <c r="C7" s="1375"/>
      <c r="D7" s="1375"/>
      <c r="E7" s="1375"/>
      <c r="F7" s="1375"/>
      <c r="G7" s="1376"/>
      <c r="H7" s="1375"/>
      <c r="I7" s="1376"/>
      <c r="J7" s="1375"/>
      <c r="K7" s="1375"/>
      <c r="L7" s="321"/>
    </row>
    <row r="8" spans="1:12" ht="13.5" customHeight="1" x14ac:dyDescent="0.2">
      <c r="B8" s="1383" t="s">
        <v>1753</v>
      </c>
      <c r="C8" s="1450" t="s">
        <v>2149</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558"/>
      <c r="G12" s="2558"/>
      <c r="H12" s="2558"/>
      <c r="I12" s="2558"/>
      <c r="J12" s="2558"/>
      <c r="K12" s="2558"/>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571"/>
      <c r="E14" s="2571"/>
      <c r="F14" s="2571"/>
      <c r="H14" s="1458" t="s">
        <v>1303</v>
      </c>
      <c r="I14" s="2572"/>
      <c r="J14" s="2572"/>
      <c r="K14" s="2572"/>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572"/>
      <c r="E16" s="2572"/>
      <c r="F16" s="2572"/>
      <c r="G16" s="2572"/>
      <c r="H16" s="2572"/>
      <c r="I16" s="2572"/>
      <c r="J16" s="2572"/>
      <c r="K16" s="2572"/>
      <c r="L16" s="321"/>
    </row>
    <row r="17" spans="2:12" ht="13.5" customHeight="1" x14ac:dyDescent="0.2">
      <c r="B17" s="1383" t="s">
        <v>1301</v>
      </c>
      <c r="C17" s="1383"/>
      <c r="D17" s="2573"/>
      <c r="E17" s="2573"/>
      <c r="F17" s="2573"/>
      <c r="G17" s="2573"/>
      <c r="H17" s="2573"/>
      <c r="I17" s="2573"/>
      <c r="J17" s="2573"/>
      <c r="K17" s="2573"/>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566"/>
      <c r="C20" s="2566"/>
      <c r="D20" s="2566"/>
      <c r="E20" s="2566"/>
      <c r="F20" s="2566"/>
      <c r="G20" s="2566"/>
      <c r="H20" s="2566"/>
      <c r="I20" s="2566"/>
      <c r="J20" s="2566"/>
      <c r="K20" s="256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1"/>
      <c r="E22" s="321"/>
      <c r="F22" s="321"/>
      <c r="G22" s="1379"/>
      <c r="H22" s="321"/>
      <c r="I22" s="1379"/>
      <c r="J22" s="321"/>
      <c r="K22" s="321"/>
      <c r="L22" s="321"/>
    </row>
    <row r="23" spans="2:12" ht="37.5" customHeight="1" x14ac:dyDescent="0.2">
      <c r="B23" s="2566"/>
      <c r="C23" s="2566"/>
      <c r="D23" s="2566"/>
      <c r="E23" s="2566"/>
      <c r="F23" s="2566"/>
      <c r="G23" s="2566"/>
      <c r="H23" s="2566"/>
      <c r="I23" s="2566"/>
      <c r="J23" s="2566"/>
      <c r="K23" s="2566"/>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1755</v>
      </c>
      <c r="C25" s="1460"/>
      <c r="D25" s="321"/>
      <c r="E25" s="321"/>
      <c r="F25" s="321"/>
      <c r="G25" s="1379"/>
      <c r="H25" s="321"/>
      <c r="I25" s="1379"/>
      <c r="J25" s="321"/>
      <c r="K25" s="321"/>
      <c r="L25" s="321"/>
    </row>
    <row r="26" spans="2:12" ht="37.5" customHeight="1" x14ac:dyDescent="0.2">
      <c r="B26" s="2566"/>
      <c r="C26" s="2566"/>
      <c r="D26" s="2566"/>
      <c r="E26" s="2566"/>
      <c r="F26" s="2566"/>
      <c r="G26" s="2566"/>
      <c r="H26" s="2566"/>
      <c r="I26" s="2566"/>
      <c r="J26" s="2566"/>
      <c r="K26" s="2566"/>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1756</v>
      </c>
      <c r="C28" s="1460"/>
      <c r="D28" s="321"/>
      <c r="E28" s="321"/>
      <c r="F28" s="321"/>
      <c r="G28" s="1379"/>
      <c r="H28" s="321"/>
      <c r="I28" s="1379"/>
      <c r="J28" s="321"/>
      <c r="K28" s="321"/>
      <c r="L28" s="321"/>
    </row>
    <row r="29" spans="2:12" ht="37.5" customHeight="1" x14ac:dyDescent="0.2">
      <c r="B29" s="2566"/>
      <c r="C29" s="2566"/>
      <c r="D29" s="2566"/>
      <c r="E29" s="2566"/>
      <c r="F29" s="2566"/>
      <c r="G29" s="2566"/>
      <c r="H29" s="2566"/>
      <c r="I29" s="2566"/>
      <c r="J29" s="2566"/>
      <c r="K29" s="2566"/>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566"/>
      <c r="C32" s="2566"/>
      <c r="D32" s="2566"/>
      <c r="E32" s="2566"/>
      <c r="F32" s="2566"/>
      <c r="G32" s="2566"/>
      <c r="H32" s="2566"/>
      <c r="I32" s="2566"/>
      <c r="J32" s="2566"/>
      <c r="K32" s="2566"/>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566"/>
      <c r="C35" s="2566"/>
      <c r="D35" s="2566"/>
      <c r="E35" s="2566"/>
      <c r="F35" s="2566"/>
      <c r="G35" s="2566"/>
      <c r="H35" s="2566"/>
      <c r="I35" s="2566"/>
      <c r="J35" s="2566"/>
      <c r="K35" s="2566"/>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566"/>
      <c r="C38" s="2566"/>
      <c r="D38" s="2566"/>
      <c r="E38" s="2566"/>
      <c r="F38" s="2566"/>
      <c r="G38" s="2566"/>
      <c r="H38" s="2566"/>
      <c r="I38" s="2566"/>
      <c r="J38" s="2566"/>
      <c r="K38" s="2566"/>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1757</v>
      </c>
      <c r="C40" s="1399"/>
      <c r="D40" s="1374"/>
      <c r="E40" s="1375"/>
      <c r="F40" s="1375"/>
      <c r="G40" s="1376"/>
      <c r="H40" s="1375"/>
      <c r="I40" s="1376"/>
      <c r="J40" s="1375"/>
      <c r="K40" s="1375"/>
    </row>
    <row r="41" spans="2:12" s="321" customFormat="1" ht="33.75" customHeight="1" x14ac:dyDescent="0.2">
      <c r="B41" s="2566"/>
      <c r="C41" s="2566"/>
      <c r="D41" s="2566"/>
      <c r="E41" s="2566"/>
      <c r="F41" s="2566"/>
      <c r="G41" s="2566"/>
      <c r="H41" s="2566"/>
      <c r="I41" s="2566"/>
      <c r="J41" s="2566"/>
      <c r="K41" s="2566"/>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1"/>
      <c r="E44" s="321"/>
      <c r="F44" s="321"/>
    </row>
    <row r="45" spans="2:12" ht="10.5" customHeight="1" x14ac:dyDescent="0.2">
      <c r="B45" s="1403" t="s">
        <v>1759</v>
      </c>
      <c r="C45" s="1403"/>
      <c r="G45" s="316"/>
      <c r="I45" s="316"/>
    </row>
    <row r="46" spans="2:12" ht="11.1" customHeight="1" x14ac:dyDescent="0.2">
      <c r="B46" s="1403" t="s">
        <v>1760</v>
      </c>
      <c r="C46" s="1403"/>
      <c r="G46" s="316"/>
      <c r="I46" s="316"/>
    </row>
    <row r="47" spans="2:12" ht="11.1" customHeight="1" x14ac:dyDescent="0.2">
      <c r="B47" s="1403" t="s">
        <v>1761</v>
      </c>
      <c r="C47" s="1403"/>
      <c r="G47" s="316"/>
      <c r="I47" s="316"/>
    </row>
    <row r="48" spans="2:12" ht="11.1" customHeight="1" x14ac:dyDescent="0.2">
      <c r="B48" s="1403" t="s">
        <v>1762</v>
      </c>
      <c r="C48" s="1403"/>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N23" sqref="N23"/>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551" t="str">
        <f>'Single Audit Cover'!A7</f>
        <v>Fox Lake GSD 114</v>
      </c>
      <c r="C1" s="2551"/>
      <c r="D1" s="2551"/>
      <c r="E1" s="1468"/>
    </row>
    <row r="2" spans="2:5" s="1278" customFormat="1" ht="12.75" customHeight="1" x14ac:dyDescent="0.2">
      <c r="B2" s="2553">
        <f>'Single Audit Cover'!E7</f>
        <v>34049114002</v>
      </c>
      <c r="C2" s="2553"/>
      <c r="D2" s="2553"/>
      <c r="E2" s="1469"/>
    </row>
    <row r="3" spans="2:5" ht="12.75" customHeight="1" x14ac:dyDescent="0.2">
      <c r="B3" s="2567" t="s">
        <v>1763</v>
      </c>
      <c r="C3" s="2567"/>
      <c r="D3" s="2567"/>
      <c r="E3" s="1270"/>
    </row>
    <row r="4" spans="2:5" s="1278" customFormat="1" ht="12.75" customHeight="1" x14ac:dyDescent="0.2">
      <c r="B4" s="2577" t="str">
        <f>'Single Audit Cover'!A4</f>
        <v>Year Ending June 30, 2019</v>
      </c>
      <c r="C4" s="2577"/>
      <c r="D4" s="2577"/>
      <c r="E4" s="1470"/>
    </row>
    <row r="5" spans="2:5" s="1278" customFormat="1" ht="40.15" customHeight="1" x14ac:dyDescent="0.2">
      <c r="B5" s="1471" t="s">
        <v>1764</v>
      </c>
      <c r="C5" s="327"/>
      <c r="D5" s="327"/>
      <c r="E5" s="327"/>
    </row>
    <row r="6" spans="2:5" s="1278" customFormat="1" ht="13.5" customHeight="1" x14ac:dyDescent="0.2">
      <c r="B6" s="1472" t="s">
        <v>1315</v>
      </c>
      <c r="C6" s="1472" t="s">
        <v>1314</v>
      </c>
      <c r="D6" s="1472" t="s">
        <v>1765</v>
      </c>
    </row>
    <row r="7" spans="2:5" ht="13.5" customHeight="1" x14ac:dyDescent="0.2">
      <c r="B7" s="1473" t="s">
        <v>2144</v>
      </c>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13&amp;R&amp;8Page 13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30" zoomScaleNormal="130" workbookViewId="0">
      <selection activeCell="L11" sqref="L1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75" t="s">
        <v>386</v>
      </c>
      <c r="B1" s="2175"/>
      <c r="C1" s="2175"/>
      <c r="D1" s="2175"/>
      <c r="E1" s="2175"/>
      <c r="F1" s="2175"/>
      <c r="G1" s="2175"/>
      <c r="H1" s="2175"/>
      <c r="I1" s="2175"/>
      <c r="J1" s="2175"/>
      <c r="K1" s="2175"/>
      <c r="L1" s="2175"/>
      <c r="M1" s="2175"/>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1944</v>
      </c>
      <c r="E7" s="221"/>
      <c r="F7" s="350" t="s">
        <v>272</v>
      </c>
      <c r="G7" s="221"/>
      <c r="H7" s="221"/>
      <c r="I7" s="221"/>
      <c r="J7" s="351">
        <v>221767990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2.1706960000000001E-2</v>
      </c>
      <c r="E10" s="355" t="s">
        <v>1005</v>
      </c>
      <c r="F10" s="354">
        <v>4.6855899999999999E-3</v>
      </c>
      <c r="G10" s="355" t="s">
        <v>1005</v>
      </c>
      <c r="H10" s="354">
        <v>1.2340999999999999E-3</v>
      </c>
      <c r="I10" s="355" t="s">
        <v>1006</v>
      </c>
      <c r="J10" s="1731">
        <f>ROUND(D10+F10+H10,5)</f>
        <v>2.7629999999999998E-2</v>
      </c>
      <c r="K10" s="221"/>
      <c r="L10" s="354">
        <v>4.5697000000000001E-4</v>
      </c>
      <c r="M10" s="221"/>
    </row>
    <row r="11" spans="1:14" ht="7.5" customHeight="1" x14ac:dyDescent="0.2">
      <c r="B11" s="221"/>
      <c r="C11" s="221"/>
      <c r="D11" s="2185" t="str">
        <f>IF(SUM(J10)&lt;=0.0999999,"","Enter the Tax Rates by moving the decimal two places to the left.")</f>
        <v/>
      </c>
      <c r="E11" s="2186"/>
      <c r="F11" s="2186"/>
      <c r="G11" s="2186"/>
      <c r="H11" s="2186"/>
      <c r="I11" s="2186"/>
      <c r="J11" s="2186"/>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9250829</v>
      </c>
      <c r="E16" s="355"/>
      <c r="F16" s="1732">
        <f>SUM('Acct Summary 7-8'!C17,'Acct Summary 7-8'!D17,'Acct Summary 7-8'!F17)</f>
        <v>10430526</v>
      </c>
      <c r="G16" s="355"/>
      <c r="H16" s="1732">
        <f>SUM(D16-F16)</f>
        <v>-1179697</v>
      </c>
      <c r="I16" s="221"/>
      <c r="J16" s="1732">
        <f>SUM('Acct Summary 7-8'!C81,'Acct Summary 7-8'!D81,'Acct Summary 7-8'!F81,'Acct Summary 7-8'!I81)</f>
        <v>3006912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2058</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2060</v>
      </c>
      <c r="C31" s="366" t="s">
        <v>586</v>
      </c>
      <c r="D31" s="236" t="s">
        <v>1072</v>
      </c>
      <c r="E31" s="221"/>
      <c r="F31" s="221"/>
      <c r="G31" s="362"/>
      <c r="H31" s="1734">
        <f>IF(B31="X",(J7*0.069),IF(B32="X",(J7*0.138),"Enter x in a.or b."))</f>
        <v>15301991.310000001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5537862</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176"/>
      <c r="C54" s="2177"/>
      <c r="D54" s="2177"/>
      <c r="E54" s="2177"/>
      <c r="F54" s="2177"/>
      <c r="G54" s="2177"/>
      <c r="H54" s="2177"/>
      <c r="I54" s="2177"/>
      <c r="J54" s="2177"/>
      <c r="K54" s="2177"/>
      <c r="L54" s="2178"/>
      <c r="M54" s="379"/>
    </row>
    <row r="55" spans="1:13" ht="12.75" customHeight="1" x14ac:dyDescent="0.2">
      <c r="B55" s="2179"/>
      <c r="C55" s="2180"/>
      <c r="D55" s="2180"/>
      <c r="E55" s="2180"/>
      <c r="F55" s="2180"/>
      <c r="G55" s="2180"/>
      <c r="H55" s="2180"/>
      <c r="I55" s="2180"/>
      <c r="J55" s="2180"/>
      <c r="K55" s="2180"/>
      <c r="L55" s="2181"/>
      <c r="M55" s="379"/>
    </row>
    <row r="56" spans="1:13" ht="12.75" customHeight="1" x14ac:dyDescent="0.2">
      <c r="B56" s="2179"/>
      <c r="C56" s="2180"/>
      <c r="D56" s="2180"/>
      <c r="E56" s="2180"/>
      <c r="F56" s="2180"/>
      <c r="G56" s="2180"/>
      <c r="H56" s="2180"/>
      <c r="I56" s="2180"/>
      <c r="J56" s="2180"/>
      <c r="K56" s="2180"/>
      <c r="L56" s="2181"/>
      <c r="M56" s="221"/>
    </row>
    <row r="57" spans="1:13" ht="12.75" customHeight="1" x14ac:dyDescent="0.2">
      <c r="B57" s="2179"/>
      <c r="C57" s="2180"/>
      <c r="D57" s="2180"/>
      <c r="E57" s="2180"/>
      <c r="F57" s="2180"/>
      <c r="G57" s="2180"/>
      <c r="H57" s="2180"/>
      <c r="I57" s="2180"/>
      <c r="J57" s="2180"/>
      <c r="K57" s="2180"/>
      <c r="L57" s="2181"/>
      <c r="M57" s="221"/>
    </row>
    <row r="58" spans="1:13" x14ac:dyDescent="0.2">
      <c r="B58" s="2182"/>
      <c r="C58" s="2183"/>
      <c r="D58" s="2183"/>
      <c r="E58" s="2183"/>
      <c r="F58" s="2183"/>
      <c r="G58" s="2183"/>
      <c r="H58" s="2183"/>
      <c r="I58" s="2183"/>
      <c r="J58" s="2183"/>
      <c r="K58" s="2183"/>
      <c r="L58" s="2184"/>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87"/>
      <c r="D61" s="2188"/>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32" sqref="K32"/>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90"/>
      <c r="B1" s="2191"/>
      <c r="C1" s="2191"/>
      <c r="D1" s="383"/>
      <c r="E1" s="383"/>
      <c r="F1" s="383"/>
      <c r="G1" s="383"/>
      <c r="H1" s="383"/>
      <c r="I1" s="383"/>
      <c r="J1" s="383"/>
      <c r="K1" s="383"/>
      <c r="L1" s="383"/>
      <c r="M1" s="383"/>
      <c r="N1" s="383"/>
      <c r="O1" s="2190"/>
      <c r="P1" s="2191"/>
      <c r="Q1" s="2191"/>
    </row>
    <row r="2" spans="1:18" ht="15" x14ac:dyDescent="0.2">
      <c r="A2" s="2194" t="s">
        <v>556</v>
      </c>
      <c r="B2" s="2194"/>
      <c r="C2" s="2194"/>
      <c r="D2" s="2194"/>
      <c r="E2" s="2194"/>
      <c r="F2" s="2194"/>
      <c r="G2" s="2194"/>
      <c r="H2" s="2194"/>
      <c r="I2" s="2194"/>
      <c r="J2" s="2194"/>
      <c r="K2" s="2194"/>
      <c r="L2" s="2194"/>
      <c r="M2" s="2194"/>
      <c r="N2" s="2194"/>
      <c r="O2" s="2194"/>
      <c r="P2" s="2194"/>
      <c r="Q2" s="2194"/>
      <c r="R2" s="2194"/>
    </row>
    <row r="3" spans="1:18" ht="12.75" x14ac:dyDescent="0.2">
      <c r="A3" s="2195" t="s">
        <v>1413</v>
      </c>
      <c r="B3" s="2195"/>
      <c r="C3" s="2195"/>
      <c r="D3" s="2195"/>
      <c r="E3" s="2195"/>
      <c r="F3" s="2195"/>
      <c r="G3" s="2195"/>
      <c r="H3" s="2195"/>
      <c r="I3" s="2195"/>
      <c r="J3" s="2195"/>
      <c r="K3" s="2195"/>
      <c r="L3" s="2195"/>
      <c r="M3" s="2195"/>
      <c r="N3" s="2195"/>
      <c r="O3" s="2195"/>
      <c r="P3" s="2195"/>
      <c r="Q3" s="2195"/>
      <c r="R3" s="2195"/>
    </row>
    <row r="4" spans="1:18" x14ac:dyDescent="0.2">
      <c r="A4" s="2196" t="s">
        <v>1554</v>
      </c>
      <c r="B4" s="2196"/>
      <c r="C4" s="2196"/>
      <c r="D4" s="2196"/>
      <c r="E4" s="2196"/>
      <c r="F4" s="2196"/>
      <c r="G4" s="2196"/>
      <c r="H4" s="2196"/>
      <c r="I4" s="2196"/>
      <c r="J4" s="2196"/>
      <c r="K4" s="2196"/>
      <c r="L4" s="2196"/>
      <c r="M4" s="2196"/>
      <c r="N4" s="2196"/>
      <c r="O4" s="2196"/>
      <c r="P4" s="2196"/>
      <c r="Q4" s="2196"/>
      <c r="R4" s="2196"/>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Fox Lake GSD 114</v>
      </c>
      <c r="E7" s="390"/>
      <c r="G7" s="251"/>
      <c r="H7" s="386"/>
      <c r="I7" s="386"/>
      <c r="J7" s="386"/>
      <c r="K7" s="386"/>
      <c r="L7" s="328"/>
      <c r="M7" s="328"/>
      <c r="N7" s="328"/>
      <c r="O7" s="328"/>
      <c r="P7" s="328"/>
    </row>
    <row r="8" spans="1:18" ht="12.75" x14ac:dyDescent="0.2">
      <c r="A8" s="328"/>
      <c r="B8" s="328"/>
      <c r="C8" s="388" t="s">
        <v>1125</v>
      </c>
      <c r="D8" s="391">
        <f>COVER!A13</f>
        <v>34049114002</v>
      </c>
      <c r="E8" s="392"/>
      <c r="G8" s="328"/>
      <c r="H8" s="328"/>
      <c r="I8" s="328"/>
      <c r="J8" s="328"/>
      <c r="K8" s="328"/>
      <c r="L8" s="328"/>
      <c r="M8" s="328"/>
      <c r="N8" s="328"/>
      <c r="O8" s="328"/>
      <c r="P8" s="328"/>
    </row>
    <row r="9" spans="1:18" ht="12.75" x14ac:dyDescent="0.2">
      <c r="A9" s="328"/>
      <c r="B9" s="328"/>
      <c r="C9" s="388" t="s">
        <v>713</v>
      </c>
      <c r="D9" s="393" t="str">
        <f>COVER!A15</f>
        <v>LAKE</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3006912</v>
      </c>
      <c r="I12" s="403"/>
      <c r="J12" s="403"/>
      <c r="K12" s="404">
        <f>TRUNC((H12/H13*100000),5)/100000</f>
        <v>0.32504243669999999</v>
      </c>
      <c r="L12" s="405"/>
      <c r="M12" s="359" t="s">
        <v>1144</v>
      </c>
      <c r="N12" s="359"/>
      <c r="O12" s="406">
        <v>0.35</v>
      </c>
      <c r="P12" s="217"/>
      <c r="Q12" s="217"/>
    </row>
    <row r="13" spans="1:18" s="407" customFormat="1" ht="12.75" x14ac:dyDescent="0.2">
      <c r="A13" s="217"/>
      <c r="B13" s="400"/>
      <c r="C13" s="2192" t="s">
        <v>1324</v>
      </c>
      <c r="D13" s="2193"/>
      <c r="E13" s="217"/>
      <c r="F13" s="408" t="s">
        <v>793</v>
      </c>
      <c r="G13" s="401"/>
      <c r="H13" s="402">
        <f>SUM('Acct Summary 7-8'!C8+'Acct Summary 7-8'!D8+'Acct Summary 7-8'!F8+'Acct Summary 7-8'!I8)+H14</f>
        <v>9250829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2</v>
      </c>
      <c r="P16" s="215"/>
      <c r="R16" s="383"/>
    </row>
    <row r="17" spans="1:18" s="407" customFormat="1" ht="11.25" x14ac:dyDescent="0.2">
      <c r="A17" s="217"/>
      <c r="B17" s="400"/>
      <c r="C17" s="217" t="s">
        <v>797</v>
      </c>
      <c r="D17" s="217"/>
      <c r="E17" s="217"/>
      <c r="F17" s="217" t="s">
        <v>444</v>
      </c>
      <c r="G17" s="401"/>
      <c r="H17" s="402">
        <f>SUM('Acct Summary 7-8'!C17+'Acct Summary 7-8'!D17+'Acct Summary 7-8'!F17)</f>
        <v>10430526</v>
      </c>
      <c r="I17" s="403"/>
      <c r="J17" s="415"/>
      <c r="K17" s="404">
        <f>TRUNC((H17/H18*100000),5)/100000</f>
        <v>1.1275233818999999</v>
      </c>
      <c r="L17" s="405"/>
      <c r="M17" s="416" t="s">
        <v>1171</v>
      </c>
      <c r="O17" s="417" t="str">
        <f>IF(AND(O16="2", J20 &gt; 2),"1",IF(AND(O16 = "1", J20 &gt; 2),"2",IF(AND(O16="1", J20 &gt;1),"1","0")))</f>
        <v>0</v>
      </c>
      <c r="P17" s="217"/>
    </row>
    <row r="18" spans="1:18" s="407" customFormat="1" ht="11.25" x14ac:dyDescent="0.2">
      <c r="A18" s="217"/>
      <c r="B18" s="400"/>
      <c r="C18" s="2192" t="s">
        <v>1317</v>
      </c>
      <c r="D18" s="2193"/>
      <c r="E18" s="217"/>
      <c r="F18" s="418" t="s">
        <v>794</v>
      </c>
      <c r="G18" s="401"/>
      <c r="H18" s="402">
        <f>SUM('Acct Summary 7-8'!C8+'Acct Summary 7-8'!D8+'Acct Summary 7-8'!F8+'Acct Summary 7-8'!I8)+H19</f>
        <v>9250829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1.7647149999999998</v>
      </c>
      <c r="K20" s="404" t="str">
        <f>IF(K17&lt;=1,"0",IF(AND(O16="2", J20 &gt; 2),TRUNC(((K12-0.1)/(K17-1)*100),5)/100,IF(AND(O16 = "1", J20 &gt; 2),TRUNC(((K12-0.1)/(K17-1)*100),5)/100,IF(AND(O16="1", J20 &gt;1),TRUNC(((K12-0.1)/(K17-1)*100),5)/100,""))))</f>
        <v/>
      </c>
      <c r="L20" s="217"/>
      <c r="M20" s="359" t="s">
        <v>1145</v>
      </c>
      <c r="N20" s="359"/>
      <c r="O20" s="410">
        <f>(O16+O17)*O18</f>
        <v>0.7</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3</v>
      </c>
      <c r="P23" s="215"/>
      <c r="R23" s="383"/>
    </row>
    <row r="24" spans="1:18" s="407" customFormat="1" ht="11.25" x14ac:dyDescent="0.2">
      <c r="A24" s="217"/>
      <c r="B24" s="400"/>
      <c r="C24" s="2189" t="s">
        <v>1412</v>
      </c>
      <c r="D24" s="2189"/>
      <c r="E24" s="217"/>
      <c r="F24" s="217" t="s">
        <v>445</v>
      </c>
      <c r="G24" s="401"/>
      <c r="H24" s="402">
        <f>SUM('Assets-Liab 5-6'!C4+'Assets-Liab 5-6'!D4+'Assets-Liab 5-6'!F4+'Assets-Liab 5-6'!I4+'Assets-Liab 5-6'!C5+'Assets-Liab 5-6'!D5+'Assets-Liab 5-6'!F5+'Assets-Liab 5-6'!I5)</f>
        <v>3048183</v>
      </c>
      <c r="I24" s="421"/>
      <c r="J24" s="421"/>
      <c r="K24" s="422">
        <f>TRUNC(((H24/H25*100000)/100000),2)</f>
        <v>105.2</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28973.68333</v>
      </c>
      <c r="I25" s="424"/>
      <c r="J25" s="424"/>
      <c r="K25" s="409"/>
      <c r="L25" s="217"/>
      <c r="M25" s="359" t="s">
        <v>1145</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1927</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5208332.1291500004</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str">
        <f>IF(K32&gt;=75,"4",IF(K32&gt;=50,"3",IF(K32&gt;=25,"2",1)))</f>
        <v>3</v>
      </c>
      <c r="P31" s="215"/>
    </row>
    <row r="32" spans="1:18" s="407" customFormat="1" ht="11.25" x14ac:dyDescent="0.2">
      <c r="A32" s="217"/>
      <c r="B32" s="400"/>
      <c r="C32" s="217" t="s">
        <v>847</v>
      </c>
      <c r="D32" s="217"/>
      <c r="E32" s="217"/>
      <c r="F32" s="217"/>
      <c r="G32" s="401"/>
      <c r="H32" s="402">
        <f>'FP Info 3'!H37</f>
        <v>5537862</v>
      </c>
      <c r="I32" s="419"/>
      <c r="J32" s="419"/>
      <c r="K32" s="422">
        <f>TRUNC(100-((((H32/H33*100))*100)/100),2)</f>
        <v>63.8</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15301991.310000001</v>
      </c>
      <c r="I33" s="419"/>
      <c r="J33" s="419"/>
      <c r="K33" s="402"/>
      <c r="L33" s="217"/>
      <c r="M33" s="434" t="s">
        <v>1145</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3.0999999999999996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1982</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5" zoomScaleNormal="115" workbookViewId="0">
      <pane ySplit="2" topLeftCell="A24" activePane="bottomLeft" state="frozen"/>
      <selection pane="bottomLeft" activeCell="L34" sqref="L34"/>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97"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98"/>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99" t="s">
        <v>973</v>
      </c>
      <c r="B3" s="2200"/>
      <c r="C3" s="1558"/>
      <c r="D3" s="1559"/>
      <c r="E3" s="1559"/>
      <c r="F3" s="1559"/>
      <c r="G3" s="1559"/>
      <c r="H3" s="1559"/>
      <c r="I3" s="1559"/>
      <c r="J3" s="1559"/>
      <c r="K3" s="1559"/>
      <c r="L3" s="1559"/>
      <c r="M3" s="1560"/>
      <c r="N3" s="1561"/>
    </row>
    <row r="4" spans="1:14" ht="13.5" customHeight="1" x14ac:dyDescent="0.2">
      <c r="A4" s="462" t="s">
        <v>1651</v>
      </c>
      <c r="B4" s="463"/>
      <c r="C4" s="464">
        <v>972259</v>
      </c>
      <c r="D4" s="465">
        <v>434877</v>
      </c>
      <c r="E4" s="465">
        <v>765578</v>
      </c>
      <c r="F4" s="465">
        <v>47967</v>
      </c>
      <c r="G4" s="465">
        <v>139286</v>
      </c>
      <c r="H4" s="465"/>
      <c r="I4" s="465">
        <v>1593080</v>
      </c>
      <c r="J4" s="466"/>
      <c r="K4" s="465"/>
      <c r="L4" s="465">
        <v>47836</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v>2257814</v>
      </c>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972259</v>
      </c>
      <c r="D13" s="1736">
        <f t="shared" ref="D13:L13" si="0">SUM(D4:D12)</f>
        <v>434877</v>
      </c>
      <c r="E13" s="1736">
        <f t="shared" si="0"/>
        <v>765578</v>
      </c>
      <c r="F13" s="1736">
        <f t="shared" si="0"/>
        <v>47967</v>
      </c>
      <c r="G13" s="1736">
        <f t="shared" si="0"/>
        <v>139286</v>
      </c>
      <c r="H13" s="1736">
        <f t="shared" si="0"/>
        <v>0</v>
      </c>
      <c r="I13" s="1736">
        <f t="shared" si="0"/>
        <v>3850894</v>
      </c>
      <c r="J13" s="1736">
        <f t="shared" si="0"/>
        <v>0</v>
      </c>
      <c r="K13" s="1736">
        <f t="shared" si="0"/>
        <v>0</v>
      </c>
      <c r="L13" s="1736">
        <f t="shared" si="0"/>
        <v>47836</v>
      </c>
      <c r="M13" s="467"/>
      <c r="N13" s="468"/>
    </row>
    <row r="14" spans="1:14" ht="18" customHeight="1" thickTop="1" x14ac:dyDescent="0.2">
      <c r="A14" s="2201" t="s">
        <v>147</v>
      </c>
      <c r="B14" s="2202"/>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57292</v>
      </c>
      <c r="N16" s="483"/>
    </row>
    <row r="17" spans="1:14" s="484" customFormat="1" ht="12.75" customHeight="1" x14ac:dyDescent="0.2">
      <c r="A17" s="481" t="s">
        <v>1403</v>
      </c>
      <c r="B17" s="482">
        <v>230</v>
      </c>
      <c r="C17" s="476"/>
      <c r="D17" s="476"/>
      <c r="E17" s="476"/>
      <c r="F17" s="476"/>
      <c r="G17" s="476"/>
      <c r="H17" s="476"/>
      <c r="I17" s="476"/>
      <c r="J17" s="476"/>
      <c r="K17" s="476"/>
      <c r="L17" s="476"/>
      <c r="M17" s="466">
        <v>17379329</v>
      </c>
      <c r="N17" s="483"/>
    </row>
    <row r="18" spans="1:14" s="484" customFormat="1" ht="12.75" customHeight="1" x14ac:dyDescent="0.2">
      <c r="A18" s="481" t="s">
        <v>1404</v>
      </c>
      <c r="B18" s="482">
        <v>240</v>
      </c>
      <c r="C18" s="476"/>
      <c r="D18" s="476"/>
      <c r="E18" s="476"/>
      <c r="F18" s="476"/>
      <c r="G18" s="476"/>
      <c r="H18" s="476"/>
      <c r="I18" s="476"/>
      <c r="J18" s="476"/>
      <c r="K18" s="476"/>
      <c r="L18" s="476"/>
      <c r="M18" s="466">
        <v>409678</v>
      </c>
      <c r="N18" s="483"/>
    </row>
    <row r="19" spans="1:14" s="484" customFormat="1" ht="12.75" customHeight="1" x14ac:dyDescent="0.2">
      <c r="A19" s="481" t="s">
        <v>1405</v>
      </c>
      <c r="B19" s="482">
        <v>250</v>
      </c>
      <c r="C19" s="476"/>
      <c r="D19" s="476"/>
      <c r="E19" s="476"/>
      <c r="F19" s="476"/>
      <c r="G19" s="476"/>
      <c r="H19" s="476"/>
      <c r="I19" s="476"/>
      <c r="J19" s="476"/>
      <c r="K19" s="476"/>
      <c r="L19" s="476"/>
      <c r="M19" s="466">
        <v>3053774</v>
      </c>
      <c r="N19" s="483"/>
    </row>
    <row r="20" spans="1:14" s="484" customFormat="1" ht="12.75" customHeight="1" x14ac:dyDescent="0.2">
      <c r="A20" s="481" t="s">
        <v>1406</v>
      </c>
      <c r="B20" s="482">
        <v>260</v>
      </c>
      <c r="C20" s="476"/>
      <c r="D20" s="476"/>
      <c r="E20" s="476"/>
      <c r="F20" s="476"/>
      <c r="G20" s="476"/>
      <c r="H20" s="476"/>
      <c r="I20" s="476"/>
      <c r="J20" s="476"/>
      <c r="K20" s="476"/>
      <c r="L20" s="476"/>
      <c r="M20" s="466">
        <v>20987</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720353</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4817509</v>
      </c>
    </row>
    <row r="23" spans="1:14" ht="13.5" customHeight="1" thickBot="1" x14ac:dyDescent="0.25">
      <c r="A23" s="1735" t="s">
        <v>643</v>
      </c>
      <c r="B23" s="1740"/>
      <c r="C23" s="467"/>
      <c r="D23" s="467"/>
      <c r="E23" s="467"/>
      <c r="F23" s="467"/>
      <c r="G23" s="467"/>
      <c r="H23" s="467"/>
      <c r="I23" s="467"/>
      <c r="J23" s="467"/>
      <c r="K23" s="467"/>
      <c r="L23" s="467"/>
      <c r="M23" s="1687">
        <f>SUM(M15:M22)</f>
        <v>20921060</v>
      </c>
      <c r="N23" s="1687">
        <f>SUM(N21:N22)</f>
        <v>5537862</v>
      </c>
    </row>
    <row r="24" spans="1:14" ht="18" customHeight="1" thickTop="1" x14ac:dyDescent="0.2">
      <c r="A24" s="2203" t="s">
        <v>598</v>
      </c>
      <c r="B24" s="2204"/>
      <c r="C24" s="1567"/>
      <c r="D24" s="1564"/>
      <c r="E24" s="1564"/>
      <c r="F24" s="1564"/>
      <c r="G24" s="1564"/>
      <c r="H24" s="1564"/>
      <c r="I24" s="1564"/>
      <c r="J24" s="1564"/>
      <c r="K24" s="1564"/>
      <c r="L24" s="1564"/>
      <c r="M24" s="1563"/>
      <c r="N24" s="1568"/>
    </row>
    <row r="25" spans="1:14" x14ac:dyDescent="0.2">
      <c r="A25" s="472" t="s">
        <v>645</v>
      </c>
      <c r="B25" s="469">
        <v>410</v>
      </c>
      <c r="C25" s="477">
        <v>1859117</v>
      </c>
      <c r="D25" s="477">
        <v>140606</v>
      </c>
      <c r="E25" s="477">
        <v>45225</v>
      </c>
      <c r="F25" s="477">
        <v>90503</v>
      </c>
      <c r="G25" s="477">
        <v>122363</v>
      </c>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v>192236</v>
      </c>
      <c r="D27" s="466">
        <v>6531</v>
      </c>
      <c r="E27" s="466"/>
      <c r="F27" s="466">
        <v>10092</v>
      </c>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c r="D31" s="466"/>
      <c r="E31" s="466"/>
      <c r="F31" s="465"/>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47836</v>
      </c>
      <c r="M33" s="467"/>
      <c r="N33" s="468"/>
    </row>
    <row r="34" spans="1:14" ht="13.5" customHeight="1" thickBot="1" x14ac:dyDescent="0.25">
      <c r="A34" s="1737" t="s">
        <v>654</v>
      </c>
      <c r="B34" s="1738"/>
      <c r="C34" s="1739">
        <f>SUM(C25:C33)</f>
        <v>2051353</v>
      </c>
      <c r="D34" s="1739">
        <f t="shared" ref="D34:K34" si="1">SUM(D25:D33)</f>
        <v>147137</v>
      </c>
      <c r="E34" s="1739">
        <f t="shared" si="1"/>
        <v>45225</v>
      </c>
      <c r="F34" s="1739">
        <f t="shared" si="1"/>
        <v>100595</v>
      </c>
      <c r="G34" s="1739">
        <f t="shared" si="1"/>
        <v>122363</v>
      </c>
      <c r="H34" s="1739">
        <f t="shared" si="1"/>
        <v>0</v>
      </c>
      <c r="I34" s="1739">
        <f t="shared" si="1"/>
        <v>0</v>
      </c>
      <c r="J34" s="1739">
        <f t="shared" si="1"/>
        <v>0</v>
      </c>
      <c r="K34" s="1739">
        <f t="shared" si="1"/>
        <v>0</v>
      </c>
      <c r="L34" s="1720">
        <f>SUM(L33)</f>
        <v>47836</v>
      </c>
      <c r="M34" s="467"/>
      <c r="N34" s="479"/>
    </row>
    <row r="35" spans="1:14" ht="18" customHeight="1" thickTop="1" x14ac:dyDescent="0.2">
      <c r="A35" s="2205" t="s">
        <v>529</v>
      </c>
      <c r="B35" s="2206"/>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5537862</v>
      </c>
    </row>
    <row r="37" spans="1:14" ht="13.5" thickBot="1" x14ac:dyDescent="0.25">
      <c r="A37" s="1735" t="s">
        <v>653</v>
      </c>
      <c r="B37" s="1740"/>
      <c r="C37" s="476"/>
      <c r="D37" s="476"/>
      <c r="E37" s="476"/>
      <c r="F37" s="476"/>
      <c r="G37" s="476"/>
      <c r="H37" s="476"/>
      <c r="I37" s="476"/>
      <c r="J37" s="476"/>
      <c r="K37" s="476"/>
      <c r="L37" s="479"/>
      <c r="M37" s="467"/>
      <c r="N37" s="1687">
        <f>SUM(N36:N36)</f>
        <v>5537862</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-1079094</v>
      </c>
      <c r="D39" s="465">
        <v>287740</v>
      </c>
      <c r="E39" s="465">
        <v>720353</v>
      </c>
      <c r="F39" s="465">
        <v>-52628</v>
      </c>
      <c r="G39" s="465">
        <v>16923</v>
      </c>
      <c r="H39" s="465"/>
      <c r="I39" s="465">
        <v>3850894</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20921060</v>
      </c>
      <c r="N40" s="496"/>
    </row>
    <row r="41" spans="1:14" ht="13.5" customHeight="1" thickBot="1" x14ac:dyDescent="0.25">
      <c r="A41" s="1735" t="s">
        <v>655</v>
      </c>
      <c r="B41" s="1705"/>
      <c r="C41" s="1687">
        <f>(SUM(C34,C37,C38,C39))</f>
        <v>972259</v>
      </c>
      <c r="D41" s="1687">
        <f t="shared" ref="D41:L41" si="2">SUM(D34,D37,D38:D39)</f>
        <v>434877</v>
      </c>
      <c r="E41" s="1687">
        <f t="shared" si="2"/>
        <v>765578</v>
      </c>
      <c r="F41" s="1687">
        <f t="shared" si="2"/>
        <v>47967</v>
      </c>
      <c r="G41" s="1687">
        <f t="shared" si="2"/>
        <v>139286</v>
      </c>
      <c r="H41" s="1687">
        <f t="shared" si="2"/>
        <v>0</v>
      </c>
      <c r="I41" s="1687">
        <f t="shared" si="2"/>
        <v>3850894</v>
      </c>
      <c r="J41" s="1687">
        <f t="shared" si="2"/>
        <v>0</v>
      </c>
      <c r="K41" s="1687">
        <f t="shared" si="2"/>
        <v>0</v>
      </c>
      <c r="L41" s="1687">
        <f t="shared" si="2"/>
        <v>47836</v>
      </c>
      <c r="M41" s="1687">
        <f>SUM(M40)</f>
        <v>20921060</v>
      </c>
      <c r="N41" s="1687">
        <f>SUM(N37)</f>
        <v>5537862</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57" activePane="bottomLeft" state="frozen"/>
      <selection pane="bottomLeft" activeCell="E76" sqref="E76"/>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215"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216"/>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227" t="s">
        <v>1175</v>
      </c>
      <c r="B3" s="2228"/>
      <c r="C3" s="1572"/>
      <c r="D3" s="1573"/>
      <c r="E3" s="1573"/>
      <c r="F3" s="1573"/>
      <c r="G3" s="1573"/>
      <c r="H3" s="1573"/>
      <c r="I3" s="1573"/>
      <c r="J3" s="1573"/>
      <c r="K3" s="1574"/>
      <c r="L3" s="505"/>
    </row>
    <row r="4" spans="1:13" ht="15.75" customHeight="1" x14ac:dyDescent="0.2">
      <c r="A4" s="1927" t="s">
        <v>1499</v>
      </c>
      <c r="B4" s="1928">
        <v>1000</v>
      </c>
      <c r="C4" s="1741">
        <f>'Revenues 9-14'!C109</f>
        <v>5096432</v>
      </c>
      <c r="D4" s="1741">
        <f>'Revenues 9-14'!D109</f>
        <v>993419</v>
      </c>
      <c r="E4" s="1741">
        <f>'Revenues 9-14'!E109</f>
        <v>1664225</v>
      </c>
      <c r="F4" s="1741">
        <f>'Revenues 9-14'!F109</f>
        <v>259659</v>
      </c>
      <c r="G4" s="1741">
        <f>'Revenues 9-14'!G109</f>
        <v>411034</v>
      </c>
      <c r="H4" s="1741">
        <f>'Revenues 9-14'!H109</f>
        <v>0</v>
      </c>
      <c r="I4" s="1741">
        <f>'Revenues 9-14'!I109</f>
        <v>158348</v>
      </c>
      <c r="J4" s="1741">
        <f>'Revenues 9-14'!J109</f>
        <v>0</v>
      </c>
      <c r="K4" s="1741">
        <f>'Revenues 9-14'!K109</f>
        <v>0</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1590497</v>
      </c>
      <c r="D6" s="1742">
        <f>'Revenues 9-14'!D170</f>
        <v>0</v>
      </c>
      <c r="E6" s="1742">
        <f>'Revenues 9-14'!E170</f>
        <v>0</v>
      </c>
      <c r="F6" s="1742">
        <f>'Revenues 9-14'!F170</f>
        <v>325698</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826776</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7513705</v>
      </c>
      <c r="D8" s="1687">
        <f t="shared" ref="D8:K8" si="0">SUM(D4:D7)</f>
        <v>993419</v>
      </c>
      <c r="E8" s="1687">
        <f t="shared" si="0"/>
        <v>1664225</v>
      </c>
      <c r="F8" s="1687">
        <f t="shared" si="0"/>
        <v>585357</v>
      </c>
      <c r="G8" s="1687">
        <f t="shared" si="0"/>
        <v>411034</v>
      </c>
      <c r="H8" s="1687">
        <f t="shared" si="0"/>
        <v>0</v>
      </c>
      <c r="I8" s="1687">
        <f t="shared" si="0"/>
        <v>158348</v>
      </c>
      <c r="J8" s="1687">
        <f t="shared" si="0"/>
        <v>0</v>
      </c>
      <c r="K8" s="1687">
        <f t="shared" si="0"/>
        <v>0</v>
      </c>
      <c r="L8" s="346"/>
    </row>
    <row r="9" spans="1:13" ht="15.75" thickTop="1" x14ac:dyDescent="0.2">
      <c r="A9" s="513" t="s">
        <v>1653</v>
      </c>
      <c r="B9" s="514">
        <v>3998</v>
      </c>
      <c r="C9" s="480">
        <v>2954828</v>
      </c>
      <c r="D9" s="515"/>
      <c r="E9" s="480"/>
      <c r="F9" s="480"/>
      <c r="G9" s="516"/>
      <c r="H9" s="480"/>
      <c r="I9" s="508" t="s">
        <v>1169</v>
      </c>
      <c r="J9" s="477"/>
      <c r="K9" s="480"/>
      <c r="L9" s="346"/>
    </row>
    <row r="10" spans="1:13" s="518" customFormat="1" ht="13.5" thickBot="1" x14ac:dyDescent="0.25">
      <c r="A10" s="1735" t="s">
        <v>1173</v>
      </c>
      <c r="B10" s="1708"/>
      <c r="C10" s="1687">
        <f>SUM(C8:C9)</f>
        <v>10468533</v>
      </c>
      <c r="D10" s="1687">
        <f t="shared" ref="D10:K10" si="1">SUM(D8:D9)</f>
        <v>993419</v>
      </c>
      <c r="E10" s="1687">
        <f t="shared" si="1"/>
        <v>1664225</v>
      </c>
      <c r="F10" s="1687">
        <f t="shared" si="1"/>
        <v>585357</v>
      </c>
      <c r="G10" s="1687">
        <f t="shared" si="1"/>
        <v>411034</v>
      </c>
      <c r="H10" s="1687">
        <f t="shared" si="1"/>
        <v>0</v>
      </c>
      <c r="I10" s="1687">
        <f t="shared" si="1"/>
        <v>158348</v>
      </c>
      <c r="J10" s="1687">
        <f t="shared" si="1"/>
        <v>0</v>
      </c>
      <c r="K10" s="1687">
        <f t="shared" si="1"/>
        <v>0</v>
      </c>
      <c r="L10" s="517"/>
    </row>
    <row r="11" spans="1:13" s="518" customFormat="1" ht="16.7" customHeight="1" thickTop="1" x14ac:dyDescent="0.2">
      <c r="A11" s="2201" t="s">
        <v>1176</v>
      </c>
      <c r="B11" s="2202"/>
      <c r="C11" s="1569"/>
      <c r="D11" s="1570"/>
      <c r="E11" s="1570"/>
      <c r="F11" s="1570"/>
      <c r="G11" s="1570"/>
      <c r="H11" s="1570"/>
      <c r="I11" s="1570"/>
      <c r="J11" s="1570"/>
      <c r="K11" s="1571"/>
      <c r="L11" s="517"/>
    </row>
    <row r="12" spans="1:13" ht="15.75" customHeight="1" x14ac:dyDescent="0.2">
      <c r="A12" s="1575" t="s">
        <v>456</v>
      </c>
      <c r="B12" s="1577">
        <v>1000</v>
      </c>
      <c r="C12" s="1741">
        <f>'Expenditures 15-22'!K33</f>
        <v>4656397</v>
      </c>
      <c r="D12" s="519" t="s">
        <v>1169</v>
      </c>
      <c r="E12" s="467" t="s">
        <v>1169</v>
      </c>
      <c r="F12" s="467" t="s">
        <v>1169</v>
      </c>
      <c r="G12" s="1741">
        <f>'Expenditures 15-22'!K229</f>
        <v>137048</v>
      </c>
      <c r="H12" s="520"/>
      <c r="I12" s="467" t="s">
        <v>1169</v>
      </c>
      <c r="J12" s="467" t="s">
        <v>1169</v>
      </c>
      <c r="K12" s="520" t="s">
        <v>1169</v>
      </c>
      <c r="L12" s="346"/>
    </row>
    <row r="13" spans="1:13" ht="15.75" customHeight="1" x14ac:dyDescent="0.2">
      <c r="A13" s="1575" t="s">
        <v>457</v>
      </c>
      <c r="B13" s="1577">
        <v>2000</v>
      </c>
      <c r="C13" s="1742">
        <f>'Expenditures 15-22'!K74</f>
        <v>3197122</v>
      </c>
      <c r="D13" s="1742">
        <f>'Expenditures 15-22'!K129</f>
        <v>959670</v>
      </c>
      <c r="E13" s="468" t="s">
        <v>1169</v>
      </c>
      <c r="F13" s="1742">
        <f>'Expenditures 15-22'!K184</f>
        <v>944565</v>
      </c>
      <c r="G13" s="1742">
        <f>'Expenditures 15-22'!K279</f>
        <v>239758</v>
      </c>
      <c r="H13" s="1742">
        <f>'Expenditures 15-22'!K303</f>
        <v>0</v>
      </c>
      <c r="I13" s="467" t="s">
        <v>1169</v>
      </c>
      <c r="J13" s="1742">
        <f>'Expenditures 15-22'!K330</f>
        <v>0</v>
      </c>
      <c r="K13" s="1746">
        <f>'Expenditures 15-22'!K352</f>
        <v>0</v>
      </c>
      <c r="L13" s="346"/>
    </row>
    <row r="14" spans="1:13" ht="15.75" customHeight="1" x14ac:dyDescent="0.2">
      <c r="A14" s="1575" t="s">
        <v>449</v>
      </c>
      <c r="B14" s="1577">
        <v>3000</v>
      </c>
      <c r="C14" s="1742">
        <f>'Expenditures 15-22'!K75</f>
        <v>5203</v>
      </c>
      <c r="D14" s="1742">
        <f>'Expenditures 15-22'!K130</f>
        <v>0</v>
      </c>
      <c r="E14" s="519" t="s">
        <v>1169</v>
      </c>
      <c r="F14" s="1742">
        <f>'Expenditures 15-22'!K185</f>
        <v>0</v>
      </c>
      <c r="G14" s="1742">
        <f>'Expenditures 15-22'!K280</f>
        <v>128</v>
      </c>
      <c r="H14" s="511"/>
      <c r="I14" s="467" t="s">
        <v>1169</v>
      </c>
      <c r="J14" s="467" t="s">
        <v>1169</v>
      </c>
      <c r="K14" s="511" t="s">
        <v>1169</v>
      </c>
      <c r="L14" s="346"/>
    </row>
    <row r="15" spans="1:13" ht="15.75" customHeight="1" x14ac:dyDescent="0.2">
      <c r="A15" s="1575" t="s">
        <v>107</v>
      </c>
      <c r="B15" s="1577">
        <v>4000</v>
      </c>
      <c r="C15" s="1742">
        <f>'Expenditures 15-22'!K102</f>
        <v>667569</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1813486</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8526291</v>
      </c>
      <c r="D17" s="1687">
        <f t="shared" si="2"/>
        <v>959670</v>
      </c>
      <c r="E17" s="1687">
        <f t="shared" si="2"/>
        <v>1813486</v>
      </c>
      <c r="F17" s="1687">
        <f t="shared" si="2"/>
        <v>944565</v>
      </c>
      <c r="G17" s="1687">
        <f t="shared" si="2"/>
        <v>376934</v>
      </c>
      <c r="H17" s="1687">
        <f t="shared" si="2"/>
        <v>0</v>
      </c>
      <c r="I17" s="467"/>
      <c r="J17" s="1687">
        <f>SUM(J12:J16)</f>
        <v>0</v>
      </c>
      <c r="K17" s="1687">
        <f>SUM(K12:K16)</f>
        <v>0</v>
      </c>
      <c r="L17" s="346"/>
    </row>
    <row r="18" spans="1:12" ht="15" customHeight="1" thickTop="1" x14ac:dyDescent="0.2">
      <c r="A18" s="1743" t="s">
        <v>1654</v>
      </c>
      <c r="B18" s="1744">
        <v>4180</v>
      </c>
      <c r="C18" s="1741">
        <f t="shared" ref="C18:H18" si="3">C9</f>
        <v>2954828</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11481119</v>
      </c>
      <c r="D19" s="1687">
        <f t="shared" si="4"/>
        <v>959670</v>
      </c>
      <c r="E19" s="1687">
        <f t="shared" si="4"/>
        <v>1813486</v>
      </c>
      <c r="F19" s="1687">
        <f t="shared" si="4"/>
        <v>944565</v>
      </c>
      <c r="G19" s="1687">
        <f t="shared" si="4"/>
        <v>376934</v>
      </c>
      <c r="H19" s="1687">
        <f t="shared" si="4"/>
        <v>0</v>
      </c>
      <c r="I19" s="467"/>
      <c r="J19" s="1687">
        <f>SUM(J17:J18)</f>
        <v>0</v>
      </c>
      <c r="K19" s="1687">
        <f>SUM(K17:K18)</f>
        <v>0</v>
      </c>
      <c r="L19" s="346"/>
    </row>
    <row r="20" spans="1:12" ht="16.5" thickTop="1" thickBot="1" x14ac:dyDescent="0.25">
      <c r="A20" s="2217" t="s">
        <v>1655</v>
      </c>
      <c r="B20" s="2218"/>
      <c r="C20" s="1745">
        <f>C8-C17</f>
        <v>-1012586</v>
      </c>
      <c r="D20" s="1745">
        <f t="shared" ref="D20:K20" si="5">D8-D17</f>
        <v>33749</v>
      </c>
      <c r="E20" s="1745">
        <f t="shared" si="5"/>
        <v>-149261</v>
      </c>
      <c r="F20" s="1745">
        <f t="shared" si="5"/>
        <v>-359208</v>
      </c>
      <c r="G20" s="1745">
        <f t="shared" si="5"/>
        <v>34100</v>
      </c>
      <c r="H20" s="1745">
        <f t="shared" si="5"/>
        <v>0</v>
      </c>
      <c r="I20" s="1745">
        <f t="shared" si="5"/>
        <v>158348</v>
      </c>
      <c r="J20" s="1745">
        <f t="shared" si="5"/>
        <v>0</v>
      </c>
      <c r="K20" s="1745">
        <f t="shared" si="5"/>
        <v>0</v>
      </c>
      <c r="L20" s="346"/>
    </row>
    <row r="21" spans="1:12" ht="16.7" customHeight="1" thickTop="1" x14ac:dyDescent="0.2">
      <c r="A21" s="2229" t="s">
        <v>595</v>
      </c>
      <c r="B21" s="2230"/>
      <c r="C21" s="1569"/>
      <c r="D21" s="1570"/>
      <c r="E21" s="1570"/>
      <c r="F21" s="1570"/>
      <c r="G21" s="1570"/>
      <c r="H21" s="1570"/>
      <c r="I21" s="1570"/>
      <c r="J21" s="1570"/>
      <c r="K21" s="1571"/>
      <c r="L21" s="523"/>
    </row>
    <row r="22" spans="1:12" ht="15.75" customHeight="1" collapsed="1" x14ac:dyDescent="0.2">
      <c r="A22" s="2225" t="s">
        <v>596</v>
      </c>
      <c r="B22" s="2226"/>
      <c r="C22" s="476"/>
      <c r="D22" s="476"/>
      <c r="E22" s="476"/>
      <c r="F22" s="476"/>
      <c r="G22" s="476"/>
      <c r="H22" s="476"/>
      <c r="I22" s="476"/>
      <c r="J22" s="476"/>
      <c r="K22" s="476"/>
      <c r="L22" s="346"/>
    </row>
    <row r="23" spans="1:12" s="484" customFormat="1" ht="15.75" customHeight="1" x14ac:dyDescent="0.2">
      <c r="A23" s="2221" t="s">
        <v>293</v>
      </c>
      <c r="B23" s="2222"/>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v>2600000</v>
      </c>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1791</v>
      </c>
      <c r="B30" s="526">
        <v>7160</v>
      </c>
      <c r="C30" s="476"/>
      <c r="D30" s="466"/>
      <c r="E30" s="476"/>
      <c r="F30" s="476"/>
      <c r="G30" s="476"/>
      <c r="H30" s="476"/>
      <c r="I30" s="476"/>
      <c r="J30" s="476"/>
      <c r="K30" s="476"/>
      <c r="L30" s="523"/>
    </row>
    <row r="31" spans="1:12" s="484" customFormat="1" ht="26.25" x14ac:dyDescent="0.2">
      <c r="A31" s="1488" t="s">
        <v>1795</v>
      </c>
      <c r="B31" s="526">
        <v>7170</v>
      </c>
      <c r="C31" s="476"/>
      <c r="D31" s="476"/>
      <c r="E31" s="473"/>
      <c r="F31" s="476"/>
      <c r="G31" s="476"/>
      <c r="H31" s="476"/>
      <c r="I31" s="476"/>
      <c r="J31" s="476"/>
      <c r="K31" s="476"/>
      <c r="L31" s="523"/>
    </row>
    <row r="32" spans="1:12" s="484" customFormat="1" ht="15.75" customHeight="1" x14ac:dyDescent="0.2">
      <c r="A32" s="2223" t="s">
        <v>981</v>
      </c>
      <c r="B32" s="2224"/>
      <c r="C32" s="476"/>
      <c r="D32" s="476"/>
      <c r="E32" s="474"/>
      <c r="F32" s="476"/>
      <c r="G32" s="476"/>
      <c r="H32" s="476"/>
      <c r="I32" s="476"/>
      <c r="J32" s="476"/>
      <c r="K32" s="476"/>
      <c r="L32" s="523"/>
    </row>
    <row r="33" spans="1:12" s="484" customFormat="1" x14ac:dyDescent="0.2">
      <c r="A33" s="1488" t="s">
        <v>412</v>
      </c>
      <c r="B33" s="524">
        <v>7210</v>
      </c>
      <c r="C33" s="466"/>
      <c r="D33" s="466"/>
      <c r="E33" s="466">
        <v>306049</v>
      </c>
      <c r="F33" s="466"/>
      <c r="G33" s="476"/>
      <c r="H33" s="466"/>
      <c r="I33" s="466">
        <v>2253951</v>
      </c>
      <c r="J33" s="466"/>
      <c r="K33" s="466"/>
      <c r="L33" s="523"/>
    </row>
    <row r="34" spans="1:12" s="484" customFormat="1" x14ac:dyDescent="0.2">
      <c r="A34" s="1488" t="s">
        <v>1001</v>
      </c>
      <c r="B34" s="524">
        <v>7220</v>
      </c>
      <c r="C34" s="466"/>
      <c r="D34" s="466"/>
      <c r="E34" s="466"/>
      <c r="F34" s="466"/>
      <c r="G34" s="476"/>
      <c r="H34" s="477"/>
      <c r="I34" s="477"/>
      <c r="J34" s="477"/>
      <c r="K34" s="477"/>
      <c r="L34" s="523"/>
    </row>
    <row r="35" spans="1:12" s="484" customFormat="1" x14ac:dyDescent="0.2">
      <c r="A35" s="1488" t="s">
        <v>990</v>
      </c>
      <c r="B35" s="524">
        <v>7230</v>
      </c>
      <c r="C35" s="466"/>
      <c r="D35" s="466"/>
      <c r="E35" s="466"/>
      <c r="F35" s="466"/>
      <c r="G35" s="479"/>
      <c r="H35" s="466"/>
      <c r="I35" s="466"/>
      <c r="J35" s="466"/>
      <c r="K35" s="466"/>
      <c r="L35" s="523"/>
    </row>
    <row r="36" spans="1:12" s="484" customFormat="1" ht="15" x14ac:dyDescent="0.2">
      <c r="A36" s="1488" t="s">
        <v>1658</v>
      </c>
      <c r="B36" s="524">
        <v>7300</v>
      </c>
      <c r="C36" s="466"/>
      <c r="D36" s="466"/>
      <c r="E36" s="466"/>
      <c r="F36" s="466">
        <v>212000</v>
      </c>
      <c r="G36" s="466"/>
      <c r="H36" s="466"/>
      <c r="I36" s="474"/>
      <c r="J36" s="466"/>
      <c r="K36" s="466"/>
      <c r="L36" s="523"/>
    </row>
    <row r="37" spans="1:12" s="484" customFormat="1" x14ac:dyDescent="0.2">
      <c r="A37" s="1488" t="s">
        <v>441</v>
      </c>
      <c r="B37" s="524">
        <v>7400</v>
      </c>
      <c r="C37" s="474"/>
      <c r="D37" s="474"/>
      <c r="E37" s="1742">
        <f>SUM(C54:D57,H54:H57)</f>
        <v>0</v>
      </c>
      <c r="F37" s="474"/>
      <c r="G37" s="474"/>
      <c r="H37" s="474"/>
      <c r="I37" s="476"/>
      <c r="J37" s="474"/>
      <c r="K37" s="474"/>
      <c r="L37" s="523"/>
    </row>
    <row r="38" spans="1:12" s="484" customFormat="1" x14ac:dyDescent="0.2">
      <c r="A38" s="1488" t="s">
        <v>442</v>
      </c>
      <c r="B38" s="524">
        <v>7500</v>
      </c>
      <c r="C38" s="476"/>
      <c r="D38" s="476"/>
      <c r="E38" s="1742">
        <f>SUM(C58:D61,H58:H61)</f>
        <v>0</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231" t="s">
        <v>374</v>
      </c>
      <c r="B44" s="2232"/>
      <c r="C44" s="1702">
        <f>SUM(C24:C43)</f>
        <v>2600000</v>
      </c>
      <c r="D44" s="1702">
        <f t="shared" ref="D44:K44" si="6">SUM(D24:D43)</f>
        <v>0</v>
      </c>
      <c r="E44" s="1702">
        <f t="shared" si="6"/>
        <v>306049</v>
      </c>
      <c r="F44" s="1702">
        <f t="shared" si="6"/>
        <v>212000</v>
      </c>
      <c r="G44" s="1702">
        <f t="shared" si="6"/>
        <v>0</v>
      </c>
      <c r="H44" s="1702">
        <f t="shared" si="6"/>
        <v>0</v>
      </c>
      <c r="I44" s="1702">
        <f t="shared" si="6"/>
        <v>2253951</v>
      </c>
      <c r="J44" s="1702">
        <f t="shared" si="6"/>
        <v>0</v>
      </c>
      <c r="K44" s="1702">
        <f t="shared" si="6"/>
        <v>0</v>
      </c>
      <c r="L44" s="523"/>
    </row>
    <row r="45" spans="1:12" ht="15.75" customHeight="1" thickTop="1" x14ac:dyDescent="0.2">
      <c r="A45" s="2225" t="s">
        <v>108</v>
      </c>
      <c r="B45" s="2226"/>
      <c r="C45" s="527"/>
      <c r="D45" s="527"/>
      <c r="E45" s="527"/>
      <c r="F45" s="527"/>
      <c r="G45" s="527"/>
      <c r="H45" s="527"/>
      <c r="I45" s="527"/>
      <c r="J45" s="527"/>
      <c r="K45" s="527"/>
      <c r="L45" s="346"/>
    </row>
    <row r="46" spans="1:12" s="484" customFormat="1" ht="15.75" customHeight="1" x14ac:dyDescent="0.2">
      <c r="A46" s="2233" t="s">
        <v>109</v>
      </c>
      <c r="B46" s="2234"/>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2600000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1794</v>
      </c>
      <c r="B52" s="482">
        <v>8160</v>
      </c>
      <c r="C52" s="476"/>
      <c r="D52" s="476"/>
      <c r="E52" s="476"/>
      <c r="F52" s="476"/>
      <c r="G52" s="476"/>
      <c r="H52" s="476"/>
      <c r="I52" s="476"/>
      <c r="J52" s="476"/>
      <c r="K52" s="1742">
        <f>D30</f>
        <v>0</v>
      </c>
      <c r="L52" s="523"/>
    </row>
    <row r="53" spans="1:12" s="484" customFormat="1" ht="26.25" x14ac:dyDescent="0.2">
      <c r="A53" s="1489" t="s">
        <v>1793</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v>224618</v>
      </c>
      <c r="F75" s="531"/>
      <c r="G75" s="531"/>
      <c r="H75" s="531"/>
      <c r="I75" s="529"/>
      <c r="J75" s="529"/>
      <c r="K75" s="531"/>
      <c r="L75" s="523"/>
    </row>
    <row r="76" spans="1:12" s="484" customFormat="1" ht="14.25" thickTop="1" thickBot="1" x14ac:dyDescent="0.25">
      <c r="A76" s="2207" t="s">
        <v>440</v>
      </c>
      <c r="B76" s="2208"/>
      <c r="C76" s="1702">
        <f t="shared" ref="C76:K76" si="7">SUM(C47:C75)</f>
        <v>0</v>
      </c>
      <c r="D76" s="1702">
        <f t="shared" si="7"/>
        <v>0</v>
      </c>
      <c r="E76" s="1702">
        <f t="shared" si="7"/>
        <v>224618</v>
      </c>
      <c r="F76" s="1702">
        <f t="shared" si="7"/>
        <v>0</v>
      </c>
      <c r="G76" s="1702">
        <f t="shared" si="7"/>
        <v>0</v>
      </c>
      <c r="H76" s="1702">
        <f t="shared" si="7"/>
        <v>0</v>
      </c>
      <c r="I76" s="1702">
        <f t="shared" si="7"/>
        <v>2600000</v>
      </c>
      <c r="J76" s="1702">
        <f t="shared" si="7"/>
        <v>0</v>
      </c>
      <c r="K76" s="1702">
        <f t="shared" si="7"/>
        <v>0</v>
      </c>
      <c r="L76" s="523"/>
    </row>
    <row r="77" spans="1:12" ht="14.25" thickTop="1" thickBot="1" x14ac:dyDescent="0.25">
      <c r="A77" s="2209" t="s">
        <v>1177</v>
      </c>
      <c r="B77" s="2210"/>
      <c r="C77" s="1702">
        <f t="shared" ref="C77:K77" si="8">C44-C76</f>
        <v>2600000</v>
      </c>
      <c r="D77" s="1702">
        <f t="shared" si="8"/>
        <v>0</v>
      </c>
      <c r="E77" s="1702">
        <f t="shared" si="8"/>
        <v>81431</v>
      </c>
      <c r="F77" s="1702">
        <f t="shared" si="8"/>
        <v>212000</v>
      </c>
      <c r="G77" s="1702">
        <f t="shared" si="8"/>
        <v>0</v>
      </c>
      <c r="H77" s="1702">
        <f t="shared" si="8"/>
        <v>0</v>
      </c>
      <c r="I77" s="1702">
        <f t="shared" si="8"/>
        <v>-346049</v>
      </c>
      <c r="J77" s="1702">
        <f t="shared" si="8"/>
        <v>0</v>
      </c>
      <c r="K77" s="1702">
        <f t="shared" si="8"/>
        <v>0</v>
      </c>
      <c r="L77" s="346"/>
    </row>
    <row r="78" spans="1:12" ht="21.75" customHeight="1" thickTop="1" thickBot="1" x14ac:dyDescent="0.25">
      <c r="A78" s="2213" t="s">
        <v>597</v>
      </c>
      <c r="B78" s="2214"/>
      <c r="C78" s="1701">
        <f t="shared" ref="C78:K78" si="9">C20+C77</f>
        <v>1587414</v>
      </c>
      <c r="D78" s="1701">
        <f t="shared" si="9"/>
        <v>33749</v>
      </c>
      <c r="E78" s="1701">
        <f t="shared" si="9"/>
        <v>-67830</v>
      </c>
      <c r="F78" s="1701">
        <f t="shared" si="9"/>
        <v>-147208</v>
      </c>
      <c r="G78" s="1701">
        <f t="shared" si="9"/>
        <v>34100</v>
      </c>
      <c r="H78" s="1701">
        <f t="shared" si="9"/>
        <v>0</v>
      </c>
      <c r="I78" s="1701">
        <f t="shared" si="9"/>
        <v>-187701</v>
      </c>
      <c r="J78" s="1701">
        <f t="shared" si="9"/>
        <v>0</v>
      </c>
      <c r="K78" s="1701">
        <f t="shared" si="9"/>
        <v>0</v>
      </c>
      <c r="L78" s="532"/>
    </row>
    <row r="79" spans="1:12" ht="13.5" thickTop="1" x14ac:dyDescent="0.2">
      <c r="A79" s="1493" t="s">
        <v>1945</v>
      </c>
      <c r="B79" s="533"/>
      <c r="C79" s="477">
        <v>-2666508</v>
      </c>
      <c r="D79" s="534">
        <v>253991</v>
      </c>
      <c r="E79" s="534">
        <v>788183</v>
      </c>
      <c r="F79" s="534">
        <v>94580</v>
      </c>
      <c r="G79" s="534">
        <v>-17177</v>
      </c>
      <c r="H79" s="534">
        <v>0</v>
      </c>
      <c r="I79" s="534">
        <v>4038595</v>
      </c>
      <c r="J79" s="534">
        <v>0</v>
      </c>
      <c r="K79" s="534"/>
      <c r="L79" s="346"/>
    </row>
    <row r="80" spans="1:12" x14ac:dyDescent="0.2">
      <c r="A80" s="2219" t="s">
        <v>1792</v>
      </c>
      <c r="B80" s="2220"/>
      <c r="C80" s="466"/>
      <c r="D80" s="466"/>
      <c r="E80" s="466"/>
      <c r="F80" s="466"/>
      <c r="G80" s="466"/>
      <c r="H80" s="466"/>
      <c r="I80" s="466"/>
      <c r="J80" s="466"/>
      <c r="K80" s="466"/>
      <c r="L80" s="346"/>
    </row>
    <row r="81" spans="1:12" ht="13.5" thickBot="1" x14ac:dyDescent="0.25">
      <c r="A81" s="2211" t="s">
        <v>1946</v>
      </c>
      <c r="B81" s="2212"/>
      <c r="C81" s="1687">
        <f>(SUM(C78:C80))</f>
        <v>-1079094</v>
      </c>
      <c r="D81" s="1687">
        <f>SUM(D78:D80)</f>
        <v>287740</v>
      </c>
      <c r="E81" s="1687">
        <f t="shared" ref="E81:K81" si="10">SUM(E78:E80)</f>
        <v>720353</v>
      </c>
      <c r="F81" s="1687">
        <f t="shared" si="10"/>
        <v>-52628</v>
      </c>
      <c r="G81" s="1687">
        <f t="shared" si="10"/>
        <v>16923</v>
      </c>
      <c r="H81" s="1687">
        <f t="shared" si="10"/>
        <v>0</v>
      </c>
      <c r="I81" s="1687">
        <f t="shared" si="10"/>
        <v>3850894</v>
      </c>
      <c r="J81" s="1687">
        <f t="shared" si="10"/>
        <v>0</v>
      </c>
      <c r="K81" s="1687">
        <f t="shared" si="10"/>
        <v>0</v>
      </c>
      <c r="L81" s="346"/>
    </row>
    <row r="82" spans="1:12" ht="0.75" customHeight="1" thickTop="1" thickBot="1" x14ac:dyDescent="0.25">
      <c r="A82" s="535" t="s">
        <v>343</v>
      </c>
      <c r="B82" s="536"/>
      <c r="C82" s="537">
        <f>(C81-C79)</f>
        <v>1587414</v>
      </c>
      <c r="D82" s="537">
        <f t="shared" ref="D82:K82" si="11">(D81-D79)</f>
        <v>33749</v>
      </c>
      <c r="E82" s="537">
        <f t="shared" si="11"/>
        <v>-67830</v>
      </c>
      <c r="F82" s="537">
        <f t="shared" si="11"/>
        <v>-147208</v>
      </c>
      <c r="G82" s="537">
        <f t="shared" si="11"/>
        <v>34100</v>
      </c>
      <c r="H82" s="537">
        <f t="shared" si="11"/>
        <v>0</v>
      </c>
      <c r="I82" s="537">
        <f t="shared" si="11"/>
        <v>-187701</v>
      </c>
      <c r="J82" s="537">
        <f t="shared" si="11"/>
        <v>0</v>
      </c>
      <c r="K82" s="537">
        <f t="shared" si="11"/>
        <v>0</v>
      </c>
    </row>
    <row r="83" spans="1:12" ht="14.25" hidden="1" thickTop="1" thickBot="1" x14ac:dyDescent="0.25">
      <c r="A83" s="538" t="s">
        <v>344</v>
      </c>
      <c r="B83" s="463"/>
      <c r="C83" s="539">
        <f>C82/C81</f>
        <v>-1.4710618352062008</v>
      </c>
      <c r="D83" s="539">
        <f t="shared" ref="D83:K83" si="12">D82/D81</f>
        <v>0.11728991450615138</v>
      </c>
      <c r="E83" s="539">
        <f t="shared" si="12"/>
        <v>-9.416216771499529E-2</v>
      </c>
      <c r="F83" s="539">
        <f t="shared" si="12"/>
        <v>2.7971422056699855</v>
      </c>
      <c r="G83" s="539">
        <f t="shared" si="12"/>
        <v>2.0150091591325414</v>
      </c>
      <c r="H83" s="539" t="e">
        <f t="shared" si="12"/>
        <v>#DIV/0!</v>
      </c>
      <c r="I83" s="539">
        <f t="shared" si="12"/>
        <v>-4.8742188177602397E-2</v>
      </c>
      <c r="J83" s="539" t="e">
        <f t="shared" si="12"/>
        <v>#DIV/0!</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5" zoomScaleNormal="115" zoomScaleSheetLayoutView="75" workbookViewId="0">
      <pane ySplit="2" topLeftCell="A207" activePane="bottomLeft" state="frozen"/>
      <selection pane="bottomLeft" activeCell="C211" sqref="C211"/>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215" t="s">
        <v>1799</v>
      </c>
      <c r="B1" s="451"/>
      <c r="C1" s="452" t="s">
        <v>425</v>
      </c>
      <c r="D1" s="452" t="s">
        <v>426</v>
      </c>
      <c r="E1" s="452" t="s">
        <v>427</v>
      </c>
      <c r="F1" s="452" t="s">
        <v>428</v>
      </c>
      <c r="G1" s="452" t="s">
        <v>429</v>
      </c>
      <c r="H1" s="452" t="s">
        <v>430</v>
      </c>
      <c r="I1" s="452" t="s">
        <v>431</v>
      </c>
      <c r="J1" s="452" t="s">
        <v>432</v>
      </c>
      <c r="K1" s="452" t="s">
        <v>756</v>
      </c>
    </row>
    <row r="2" spans="1:12" ht="36" x14ac:dyDescent="0.2">
      <c r="A2" s="2216"/>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4605519</v>
      </c>
      <c r="D5" s="480">
        <v>980762</v>
      </c>
      <c r="E5" s="465">
        <v>1664225</v>
      </c>
      <c r="F5" s="547">
        <v>250667</v>
      </c>
      <c r="G5" s="465">
        <v>243851</v>
      </c>
      <c r="H5" s="465"/>
      <c r="I5" s="465">
        <v>92540</v>
      </c>
      <c r="J5" s="466"/>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80694</v>
      </c>
      <c r="D7" s="465"/>
      <c r="E7" s="467"/>
      <c r="F7" s="466"/>
      <c r="G7" s="466"/>
      <c r="H7" s="466"/>
      <c r="I7" s="467"/>
      <c r="J7" s="467"/>
      <c r="K7" s="467"/>
    </row>
    <row r="8" spans="1:12" x14ac:dyDescent="0.2">
      <c r="A8" s="462" t="s">
        <v>413</v>
      </c>
      <c r="B8" s="469">
        <v>1150</v>
      </c>
      <c r="C8" s="474"/>
      <c r="D8" s="474"/>
      <c r="E8" s="476"/>
      <c r="F8" s="476"/>
      <c r="G8" s="480">
        <v>150105</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4686213</v>
      </c>
      <c r="D12" s="1706">
        <f t="shared" si="0"/>
        <v>980762</v>
      </c>
      <c r="E12" s="1706">
        <f t="shared" si="0"/>
        <v>1664225</v>
      </c>
      <c r="F12" s="1706">
        <f t="shared" si="0"/>
        <v>250667</v>
      </c>
      <c r="G12" s="1706">
        <f t="shared" si="0"/>
        <v>393956</v>
      </c>
      <c r="H12" s="1706">
        <f t="shared" si="0"/>
        <v>0</v>
      </c>
      <c r="I12" s="1706">
        <f t="shared" si="0"/>
        <v>92540</v>
      </c>
      <c r="J12" s="1706">
        <f t="shared" si="0"/>
        <v>0</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81412</v>
      </c>
      <c r="D16" s="465"/>
      <c r="E16" s="465"/>
      <c r="F16" s="465"/>
      <c r="G16" s="465">
        <v>17078</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81412</v>
      </c>
      <c r="D18" s="1709">
        <f t="shared" ref="D18:K18" si="1">SUM(D14:D17)</f>
        <v>0</v>
      </c>
      <c r="E18" s="1709">
        <f t="shared" si="1"/>
        <v>0</v>
      </c>
      <c r="F18" s="1709">
        <f t="shared" si="1"/>
        <v>0</v>
      </c>
      <c r="G18" s="1709">
        <f t="shared" si="1"/>
        <v>17078</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v>880</v>
      </c>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880</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0</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8</v>
      </c>
      <c r="D65" s="465">
        <v>341</v>
      </c>
      <c r="E65" s="465"/>
      <c r="F65" s="466">
        <v>59</v>
      </c>
      <c r="G65" s="465"/>
      <c r="H65" s="465"/>
      <c r="I65" s="465">
        <v>65808</v>
      </c>
      <c r="J65" s="466"/>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8</v>
      </c>
      <c r="D67" s="1687">
        <f t="shared" ref="D67:K67" si="2">SUM(D65:D66)</f>
        <v>341</v>
      </c>
      <c r="E67" s="1687">
        <f t="shared" si="2"/>
        <v>0</v>
      </c>
      <c r="F67" s="1687">
        <f t="shared" si="2"/>
        <v>59</v>
      </c>
      <c r="G67" s="1687">
        <f t="shared" si="2"/>
        <v>0</v>
      </c>
      <c r="H67" s="1687">
        <f t="shared" si="2"/>
        <v>0</v>
      </c>
      <c r="I67" s="1687">
        <f t="shared" si="2"/>
        <v>65808</v>
      </c>
      <c r="J67" s="1687">
        <f t="shared" si="2"/>
        <v>0</v>
      </c>
      <c r="K67" s="1687">
        <f t="shared" si="2"/>
        <v>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83251</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v>15</v>
      </c>
      <c r="D74" s="467"/>
      <c r="E74" s="467"/>
      <c r="F74" s="467"/>
      <c r="G74" s="467"/>
      <c r="H74" s="467"/>
      <c r="I74" s="467"/>
      <c r="J74" s="467"/>
      <c r="K74" s="467"/>
    </row>
    <row r="75" spans="1:11" ht="12.75" customHeight="1" thickBot="1" x14ac:dyDescent="0.25">
      <c r="A75" s="1707" t="s">
        <v>548</v>
      </c>
      <c r="B75" s="1708"/>
      <c r="C75" s="1687">
        <f>SUM(C69:C74)</f>
        <v>83266</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v>6876</v>
      </c>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36173</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43049</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v>6566</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6566</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v>5500</v>
      </c>
      <c r="E95" s="520"/>
      <c r="F95" s="520"/>
      <c r="G95" s="520"/>
      <c r="H95" s="520"/>
      <c r="I95" s="520"/>
      <c r="J95" s="520"/>
      <c r="K95" s="520"/>
    </row>
    <row r="96" spans="1:11" ht="12.75" customHeight="1" x14ac:dyDescent="0.2">
      <c r="A96" s="462" t="s">
        <v>391</v>
      </c>
      <c r="B96" s="469">
        <v>1920</v>
      </c>
      <c r="C96" s="550">
        <v>25247</v>
      </c>
      <c r="D96" s="550"/>
      <c r="E96" s="478"/>
      <c r="F96" s="477"/>
      <c r="G96" s="477"/>
      <c r="H96" s="477"/>
      <c r="I96" s="477"/>
      <c r="J96" s="477"/>
      <c r="K96" s="477"/>
    </row>
    <row r="97" spans="1:12" ht="12.75" customHeight="1" x14ac:dyDescent="0.2">
      <c r="A97" s="1494" t="s">
        <v>244</v>
      </c>
      <c r="B97" s="558">
        <v>1930</v>
      </c>
      <c r="C97" s="488"/>
      <c r="D97" s="466">
        <v>2325</v>
      </c>
      <c r="E97" s="473"/>
      <c r="F97" s="466"/>
      <c r="G97" s="466"/>
      <c r="H97" s="466"/>
      <c r="I97" s="466"/>
      <c r="J97" s="466"/>
      <c r="K97" s="466"/>
    </row>
    <row r="98" spans="1:12" ht="12.75" customHeight="1" x14ac:dyDescent="0.2">
      <c r="A98" s="462" t="s">
        <v>189</v>
      </c>
      <c r="B98" s="469">
        <v>1940</v>
      </c>
      <c r="C98" s="488">
        <v>109324</v>
      </c>
      <c r="D98" s="465"/>
      <c r="E98" s="511"/>
      <c r="F98" s="465">
        <v>7848</v>
      </c>
      <c r="G98" s="511"/>
      <c r="H98" s="511"/>
      <c r="I98" s="509"/>
      <c r="J98" s="511"/>
      <c r="K98" s="511"/>
    </row>
    <row r="99" spans="1:12" ht="12.75" customHeight="1" x14ac:dyDescent="0.2">
      <c r="A99" s="462" t="s">
        <v>821</v>
      </c>
      <c r="B99" s="469">
        <v>1950</v>
      </c>
      <c r="C99" s="488">
        <v>28871</v>
      </c>
      <c r="D99" s="465"/>
      <c r="E99" s="465"/>
      <c r="F99" s="465">
        <v>728</v>
      </c>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31596</v>
      </c>
      <c r="D107" s="465">
        <v>4491</v>
      </c>
      <c r="E107" s="465"/>
      <c r="F107" s="465">
        <v>357</v>
      </c>
      <c r="G107" s="465"/>
      <c r="H107" s="465"/>
      <c r="I107" s="465"/>
      <c r="J107" s="466"/>
      <c r="K107" s="465"/>
    </row>
    <row r="108" spans="1:12" ht="12.75" customHeight="1" thickBot="1" x14ac:dyDescent="0.25">
      <c r="A108" s="1707" t="s">
        <v>487</v>
      </c>
      <c r="B108" s="1711"/>
      <c r="C108" s="1706">
        <f>SUM(C95:C107)</f>
        <v>195038</v>
      </c>
      <c r="D108" s="1706">
        <f t="shared" ref="D108:K108" si="3">SUM(D95:D107)</f>
        <v>12316</v>
      </c>
      <c r="E108" s="1706">
        <f t="shared" si="3"/>
        <v>0</v>
      </c>
      <c r="F108" s="1706">
        <f t="shared" si="3"/>
        <v>8933</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5096432</v>
      </c>
      <c r="D109" s="1714">
        <f t="shared" si="4"/>
        <v>993419</v>
      </c>
      <c r="E109" s="1714">
        <f t="shared" si="4"/>
        <v>1664225</v>
      </c>
      <c r="F109" s="1714">
        <f t="shared" si="4"/>
        <v>259659</v>
      </c>
      <c r="G109" s="1714">
        <f t="shared" si="4"/>
        <v>411034</v>
      </c>
      <c r="H109" s="1714">
        <f t="shared" si="4"/>
        <v>0</v>
      </c>
      <c r="I109" s="1714">
        <f t="shared" si="4"/>
        <v>158348</v>
      </c>
      <c r="J109" s="1714">
        <f t="shared" si="4"/>
        <v>0</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1182827</v>
      </c>
      <c r="D117" s="480"/>
      <c r="E117" s="465"/>
      <c r="F117" s="480"/>
      <c r="G117" s="480"/>
      <c r="H117" s="465"/>
      <c r="I117" s="467"/>
      <c r="J117" s="466"/>
      <c r="K117" s="465"/>
    </row>
    <row r="118" spans="1:11" ht="12.75" customHeight="1" x14ac:dyDescent="0.2">
      <c r="A118" s="462" t="s">
        <v>1796</v>
      </c>
      <c r="B118" s="561">
        <v>3002</v>
      </c>
      <c r="C118" s="550"/>
      <c r="D118" s="465"/>
      <c r="E118" s="465"/>
      <c r="F118" s="465"/>
      <c r="G118" s="465"/>
      <c r="H118" s="465"/>
      <c r="I118" s="467"/>
      <c r="J118" s="466"/>
      <c r="K118" s="465"/>
    </row>
    <row r="119" spans="1:11" ht="12.75" customHeight="1" x14ac:dyDescent="0.2">
      <c r="A119" s="462" t="s">
        <v>1797</v>
      </c>
      <c r="B119" s="561">
        <v>3005</v>
      </c>
      <c r="C119" s="550"/>
      <c r="D119" s="465"/>
      <c r="E119" s="465"/>
      <c r="F119" s="465"/>
      <c r="G119" s="465"/>
      <c r="H119" s="465"/>
      <c r="I119" s="467"/>
      <c r="J119" s="466"/>
      <c r="K119" s="465"/>
    </row>
    <row r="120" spans="1:11" ht="12.75" customHeight="1" x14ac:dyDescent="0.2">
      <c r="A120" s="1929" t="s">
        <v>1932</v>
      </c>
      <c r="B120" s="561">
        <v>3030</v>
      </c>
      <c r="C120" s="550"/>
      <c r="D120" s="465"/>
      <c r="E120" s="465"/>
      <c r="F120" s="465"/>
      <c r="G120" s="465"/>
      <c r="H120" s="465"/>
      <c r="I120" s="467"/>
      <c r="J120" s="466"/>
      <c r="K120" s="465"/>
    </row>
    <row r="121" spans="1:11" x14ac:dyDescent="0.2">
      <c r="A121" s="1495" t="s">
        <v>1798</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1182827</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104154</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104154</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4231</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v>75491</v>
      </c>
      <c r="G152" s="466"/>
      <c r="H152" s="467"/>
      <c r="I152" s="467"/>
      <c r="J152" s="467"/>
      <c r="K152" s="467"/>
    </row>
    <row r="153" spans="1:11" ht="12.75" customHeight="1" x14ac:dyDescent="0.2">
      <c r="A153" s="462" t="s">
        <v>1057</v>
      </c>
      <c r="B153" s="561">
        <v>3510</v>
      </c>
      <c r="C153" s="550"/>
      <c r="D153" s="465"/>
      <c r="E153" s="560"/>
      <c r="F153" s="465">
        <v>250207</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325698</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v>299135</v>
      </c>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v>150</v>
      </c>
      <c r="D168" s="579"/>
      <c r="E168" s="579"/>
      <c r="F168" s="579"/>
      <c r="G168" s="580"/>
      <c r="H168" s="581"/>
      <c r="I168" s="580"/>
      <c r="J168" s="580"/>
      <c r="K168" s="581"/>
    </row>
    <row r="169" spans="1:11" ht="12.75" customHeight="1" thickTop="1" thickBot="1" x14ac:dyDescent="0.25">
      <c r="A169" s="2235" t="s">
        <v>398</v>
      </c>
      <c r="B169" s="2236"/>
      <c r="C169" s="1721">
        <f t="shared" ref="C169:K169" si="6">SUM(C132,C141,C145,C146:C150,C155,C156:C167,C168)</f>
        <v>407670</v>
      </c>
      <c r="D169" s="1721">
        <f t="shared" si="6"/>
        <v>0</v>
      </c>
      <c r="E169" s="1721">
        <f t="shared" si="6"/>
        <v>0</v>
      </c>
      <c r="F169" s="1721">
        <f t="shared" si="6"/>
        <v>325698</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1590497</v>
      </c>
      <c r="D170" s="1714">
        <f t="shared" si="7"/>
        <v>0</v>
      </c>
      <c r="E170" s="1714">
        <f t="shared" si="7"/>
        <v>0</v>
      </c>
      <c r="F170" s="1714">
        <f t="shared" si="7"/>
        <v>325698</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237" t="s">
        <v>1492</v>
      </c>
      <c r="B172" s="2238"/>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241" t="s">
        <v>1665</v>
      </c>
      <c r="B175" s="224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245" t="s">
        <v>1664</v>
      </c>
      <c r="B176" s="2246"/>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243" t="s">
        <v>785</v>
      </c>
      <c r="B181" s="2244"/>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239" t="s">
        <v>1800</v>
      </c>
      <c r="B182" s="2240"/>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181046</v>
      </c>
      <c r="D191" s="467"/>
      <c r="E191" s="560"/>
      <c r="F191" s="467"/>
      <c r="G191" s="584"/>
      <c r="H191" s="467"/>
      <c r="I191" s="467"/>
      <c r="J191" s="467"/>
      <c r="K191" s="467"/>
    </row>
    <row r="192" spans="1:11" ht="12.75" customHeight="1" x14ac:dyDescent="0.2">
      <c r="A192" s="462" t="s">
        <v>1047</v>
      </c>
      <c r="B192" s="469">
        <v>4215</v>
      </c>
      <c r="C192" s="550">
        <v>405</v>
      </c>
      <c r="D192" s="467"/>
      <c r="E192" s="560"/>
      <c r="F192" s="467"/>
      <c r="G192" s="584"/>
      <c r="H192" s="467"/>
      <c r="I192" s="467"/>
      <c r="J192" s="467"/>
      <c r="K192" s="467"/>
    </row>
    <row r="193" spans="1:11" ht="12.75" customHeight="1" x14ac:dyDescent="0.2">
      <c r="A193" s="462" t="s">
        <v>1059</v>
      </c>
      <c r="B193" s="469">
        <v>4220</v>
      </c>
      <c r="C193" s="550">
        <v>54089</v>
      </c>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235540</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147844</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147844</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10000</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10000</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v>4350</v>
      </c>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94494</v>
      </c>
      <c r="D213" s="465"/>
      <c r="E213" s="467"/>
      <c r="F213" s="465"/>
      <c r="G213" s="465"/>
      <c r="H213" s="467"/>
      <c r="I213" s="467"/>
      <c r="J213" s="467"/>
      <c r="K213" s="467"/>
    </row>
    <row r="214" spans="1:11" ht="12.75" customHeight="1" x14ac:dyDescent="0.2">
      <c r="A214" s="462" t="s">
        <v>1054</v>
      </c>
      <c r="B214" s="469">
        <v>4625</v>
      </c>
      <c r="C214" s="550">
        <v>196981</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295825</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c r="D255" s="467"/>
      <c r="E255" s="467"/>
      <c r="F255" s="577"/>
      <c r="G255" s="572"/>
      <c r="H255" s="467"/>
      <c r="I255" s="467"/>
      <c r="J255" s="467"/>
      <c r="K255" s="467"/>
    </row>
    <row r="256" spans="1:11" ht="12.75" customHeight="1" thickTop="1" thickBot="1" x14ac:dyDescent="0.25">
      <c r="A256" s="462" t="s">
        <v>1457</v>
      </c>
      <c r="B256" s="469">
        <v>4909</v>
      </c>
      <c r="C256" s="575">
        <v>1190</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31131</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1933</v>
      </c>
      <c r="B261" s="469">
        <v>4981</v>
      </c>
      <c r="C261" s="574"/>
      <c r="D261" s="575"/>
      <c r="E261" s="467"/>
      <c r="F261" s="575"/>
      <c r="G261" s="575"/>
      <c r="H261" s="467"/>
      <c r="I261" s="467"/>
      <c r="J261" s="467"/>
      <c r="K261" s="467"/>
    </row>
    <row r="262" spans="1:11" ht="12.75" customHeight="1" thickTop="1" thickBot="1" x14ac:dyDescent="0.25">
      <c r="A262" s="1930" t="s">
        <v>1934</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v>22774</v>
      </c>
      <c r="D263" s="575"/>
      <c r="E263" s="467"/>
      <c r="F263" s="575"/>
      <c r="G263" s="575"/>
      <c r="H263" s="467"/>
      <c r="I263" s="467"/>
      <c r="J263" s="467"/>
      <c r="K263" s="467"/>
    </row>
    <row r="264" spans="1:11" ht="12.75" customHeight="1" thickTop="1" thickBot="1" x14ac:dyDescent="0.25">
      <c r="A264" s="462" t="s">
        <v>377</v>
      </c>
      <c r="B264" s="469">
        <v>4992</v>
      </c>
      <c r="C264" s="574">
        <v>82472</v>
      </c>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826776</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826776</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7513705</v>
      </c>
      <c r="D268" s="1714">
        <f t="shared" si="12"/>
        <v>993419</v>
      </c>
      <c r="E268" s="1714">
        <f t="shared" si="12"/>
        <v>1664225</v>
      </c>
      <c r="F268" s="1714">
        <f t="shared" si="12"/>
        <v>585357</v>
      </c>
      <c r="G268" s="1714">
        <f t="shared" si="12"/>
        <v>411034</v>
      </c>
      <c r="H268" s="1714">
        <f t="shared" si="12"/>
        <v>0</v>
      </c>
      <c r="I268" s="1714">
        <f t="shared" si="12"/>
        <v>158348</v>
      </c>
      <c r="J268" s="1714">
        <f t="shared" si="12"/>
        <v>0</v>
      </c>
      <c r="K268" s="170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5" zoomScaleNormal="115" workbookViewId="0">
      <pane ySplit="2" topLeftCell="A54" activePane="bottomLeft" state="frozen"/>
      <selection pane="bottomLeft" activeCell="F64" sqref="F64"/>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215" t="s">
        <v>1799</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247"/>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253" t="s">
        <v>297</v>
      </c>
      <c r="B3" s="2254"/>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2509148</v>
      </c>
      <c r="D5" s="465">
        <v>300666</v>
      </c>
      <c r="E5" s="465">
        <v>141260</v>
      </c>
      <c r="F5" s="465">
        <v>261744</v>
      </c>
      <c r="G5" s="465">
        <v>49366</v>
      </c>
      <c r="H5" s="465"/>
      <c r="I5" s="466"/>
      <c r="J5" s="466"/>
      <c r="K5" s="1670">
        <f>SUM(C5:J5)</f>
        <v>3262184</v>
      </c>
      <c r="L5" s="465">
        <v>3622471</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v>217107</v>
      </c>
      <c r="D7" s="466">
        <v>40715</v>
      </c>
      <c r="E7" s="466"/>
      <c r="F7" s="466">
        <v>21050</v>
      </c>
      <c r="G7" s="466"/>
      <c r="H7" s="466"/>
      <c r="I7" s="466"/>
      <c r="J7" s="466"/>
      <c r="K7" s="1670">
        <f t="shared" ref="K7:K32" si="0">SUM(C7:J7)</f>
        <v>278872</v>
      </c>
      <c r="L7" s="465"/>
    </row>
    <row r="8" spans="1:14" x14ac:dyDescent="0.2">
      <c r="A8" s="1503" t="s">
        <v>164</v>
      </c>
      <c r="B8" s="613">
        <v>1200</v>
      </c>
      <c r="C8" s="465">
        <v>593307</v>
      </c>
      <c r="D8" s="465">
        <v>72029</v>
      </c>
      <c r="E8" s="465">
        <v>1591</v>
      </c>
      <c r="F8" s="465">
        <v>15658</v>
      </c>
      <c r="G8" s="465"/>
      <c r="H8" s="465"/>
      <c r="I8" s="466"/>
      <c r="J8" s="466"/>
      <c r="K8" s="1670">
        <f t="shared" si="0"/>
        <v>682585</v>
      </c>
      <c r="L8" s="465">
        <v>1032553</v>
      </c>
    </row>
    <row r="9" spans="1:14" x14ac:dyDescent="0.2">
      <c r="A9" s="1503" t="s">
        <v>721</v>
      </c>
      <c r="B9" s="613" t="s">
        <v>968</v>
      </c>
      <c r="C9" s="466">
        <v>14905</v>
      </c>
      <c r="D9" s="466">
        <v>5640</v>
      </c>
      <c r="E9" s="466"/>
      <c r="F9" s="466">
        <v>503</v>
      </c>
      <c r="G9" s="466"/>
      <c r="H9" s="466"/>
      <c r="I9" s="466"/>
      <c r="J9" s="466"/>
      <c r="K9" s="1670">
        <f t="shared" si="0"/>
        <v>21048</v>
      </c>
      <c r="L9" s="465">
        <v>96589</v>
      </c>
    </row>
    <row r="10" spans="1:14" x14ac:dyDescent="0.2">
      <c r="A10" s="1503" t="s">
        <v>722</v>
      </c>
      <c r="B10" s="613">
        <v>1250</v>
      </c>
      <c r="C10" s="465">
        <v>109650</v>
      </c>
      <c r="D10" s="465">
        <v>24050</v>
      </c>
      <c r="E10" s="465">
        <v>4888</v>
      </c>
      <c r="F10" s="465">
        <v>44040</v>
      </c>
      <c r="G10" s="465"/>
      <c r="H10" s="465"/>
      <c r="I10" s="466"/>
      <c r="J10" s="466"/>
      <c r="K10" s="1670">
        <f t="shared" si="0"/>
        <v>182628</v>
      </c>
      <c r="L10" s="465"/>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v>65427</v>
      </c>
      <c r="D14" s="465">
        <v>655</v>
      </c>
      <c r="E14" s="465">
        <v>4451</v>
      </c>
      <c r="F14" s="465">
        <v>1952</v>
      </c>
      <c r="G14" s="465"/>
      <c r="H14" s="465">
        <v>2185</v>
      </c>
      <c r="I14" s="466"/>
      <c r="J14" s="466"/>
      <c r="K14" s="1670">
        <f t="shared" si="0"/>
        <v>74670</v>
      </c>
      <c r="L14" s="465">
        <v>76004</v>
      </c>
    </row>
    <row r="15" spans="1:14" x14ac:dyDescent="0.2">
      <c r="A15" s="1503" t="s">
        <v>964</v>
      </c>
      <c r="B15" s="613">
        <v>1600</v>
      </c>
      <c r="C15" s="465">
        <v>16670</v>
      </c>
      <c r="D15" s="465">
        <v>183</v>
      </c>
      <c r="E15" s="465"/>
      <c r="F15" s="465"/>
      <c r="G15" s="465"/>
      <c r="H15" s="465"/>
      <c r="I15" s="466"/>
      <c r="J15" s="466"/>
      <c r="K15" s="1670">
        <f t="shared" si="0"/>
        <v>16853</v>
      </c>
      <c r="L15" s="465">
        <v>40379</v>
      </c>
    </row>
    <row r="16" spans="1:14" x14ac:dyDescent="0.2">
      <c r="A16" s="1503" t="s">
        <v>987</v>
      </c>
      <c r="B16" s="613" t="s">
        <v>424</v>
      </c>
      <c r="C16" s="465"/>
      <c r="D16" s="465"/>
      <c r="E16" s="465"/>
      <c r="F16" s="465"/>
      <c r="G16" s="465"/>
      <c r="H16" s="465"/>
      <c r="I16" s="466"/>
      <c r="J16" s="466"/>
      <c r="K16" s="1670">
        <f t="shared" si="0"/>
        <v>0</v>
      </c>
      <c r="L16" s="465"/>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122988</v>
      </c>
      <c r="D18" s="465">
        <v>14569</v>
      </c>
      <c r="E18" s="465"/>
      <c r="F18" s="465"/>
      <c r="G18" s="465"/>
      <c r="H18" s="465"/>
      <c r="I18" s="466"/>
      <c r="J18" s="466"/>
      <c r="K18" s="1670">
        <f t="shared" si="0"/>
        <v>137557</v>
      </c>
      <c r="L18" s="465">
        <v>125262</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c r="I22" s="615"/>
      <c r="J22" s="476"/>
      <c r="K22" s="1670">
        <f t="shared" si="0"/>
        <v>0</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3649202</v>
      </c>
      <c r="D33" s="1669">
        <f t="shared" ref="D33:L33" si="1">SUM(D5:D32)</f>
        <v>458507</v>
      </c>
      <c r="E33" s="1669">
        <f t="shared" si="1"/>
        <v>152190</v>
      </c>
      <c r="F33" s="1669">
        <f t="shared" si="1"/>
        <v>344947</v>
      </c>
      <c r="G33" s="1669">
        <f t="shared" si="1"/>
        <v>49366</v>
      </c>
      <c r="H33" s="1669">
        <f t="shared" si="1"/>
        <v>2185</v>
      </c>
      <c r="I33" s="1669">
        <f t="shared" si="1"/>
        <v>0</v>
      </c>
      <c r="J33" s="1669">
        <f t="shared" si="1"/>
        <v>0</v>
      </c>
      <c r="K33" s="1669">
        <f t="shared" si="1"/>
        <v>4656397</v>
      </c>
      <c r="L33" s="1669">
        <f t="shared" si="1"/>
        <v>4993258</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161062</v>
      </c>
      <c r="D36" s="480">
        <v>9426</v>
      </c>
      <c r="E36" s="480">
        <v>45</v>
      </c>
      <c r="F36" s="480"/>
      <c r="G36" s="480"/>
      <c r="H36" s="480"/>
      <c r="I36" s="466"/>
      <c r="J36" s="466"/>
      <c r="K36" s="1670">
        <f t="shared" ref="K36:K41" si="2">SUM(C36:J36)</f>
        <v>170533</v>
      </c>
      <c r="L36" s="465">
        <v>169056</v>
      </c>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v>70116</v>
      </c>
      <c r="D38" s="465">
        <v>7012</v>
      </c>
      <c r="E38" s="465">
        <v>158708</v>
      </c>
      <c r="F38" s="465">
        <v>3821</v>
      </c>
      <c r="G38" s="465"/>
      <c r="H38" s="465"/>
      <c r="I38" s="466"/>
      <c r="J38" s="466"/>
      <c r="K38" s="1670">
        <f t="shared" si="2"/>
        <v>239657</v>
      </c>
      <c r="L38" s="465">
        <v>179502</v>
      </c>
    </row>
    <row r="39" spans="1:14" x14ac:dyDescent="0.2">
      <c r="A39" s="1503" t="s">
        <v>199</v>
      </c>
      <c r="B39" s="613">
        <v>2140</v>
      </c>
      <c r="C39" s="465">
        <v>80373</v>
      </c>
      <c r="D39" s="465">
        <v>6771</v>
      </c>
      <c r="E39" s="465"/>
      <c r="F39" s="465"/>
      <c r="G39" s="465"/>
      <c r="H39" s="465"/>
      <c r="I39" s="466"/>
      <c r="J39" s="466"/>
      <c r="K39" s="1670">
        <f t="shared" si="2"/>
        <v>87144</v>
      </c>
      <c r="L39" s="465">
        <v>50975</v>
      </c>
    </row>
    <row r="40" spans="1:14" x14ac:dyDescent="0.2">
      <c r="A40" s="1503" t="s">
        <v>200</v>
      </c>
      <c r="B40" s="613">
        <v>2150</v>
      </c>
      <c r="C40" s="465">
        <v>227100</v>
      </c>
      <c r="D40" s="465">
        <v>21813</v>
      </c>
      <c r="E40" s="465">
        <v>602</v>
      </c>
      <c r="F40" s="465">
        <v>165</v>
      </c>
      <c r="G40" s="465"/>
      <c r="H40" s="465"/>
      <c r="I40" s="466"/>
      <c r="J40" s="466"/>
      <c r="K40" s="1670">
        <f t="shared" si="2"/>
        <v>249680</v>
      </c>
      <c r="L40" s="465">
        <v>241149</v>
      </c>
    </row>
    <row r="41" spans="1:14" x14ac:dyDescent="0.2">
      <c r="A41" s="1503" t="s">
        <v>1669</v>
      </c>
      <c r="B41" s="613">
        <v>2190</v>
      </c>
      <c r="C41" s="465"/>
      <c r="D41" s="465"/>
      <c r="E41" s="465">
        <v>1426</v>
      </c>
      <c r="F41" s="465">
        <v>8087</v>
      </c>
      <c r="G41" s="465"/>
      <c r="H41" s="465"/>
      <c r="I41" s="466"/>
      <c r="J41" s="466"/>
      <c r="K41" s="1670">
        <f t="shared" si="2"/>
        <v>9513</v>
      </c>
      <c r="L41" s="465">
        <v>11000</v>
      </c>
    </row>
    <row r="42" spans="1:14" ht="12.75" customHeight="1" thickBot="1" x14ac:dyDescent="0.25">
      <c r="A42" s="1667" t="s">
        <v>560</v>
      </c>
      <c r="B42" s="1668" t="s">
        <v>716</v>
      </c>
      <c r="C42" s="1669">
        <f>SUM(C36:C41)</f>
        <v>538651</v>
      </c>
      <c r="D42" s="1669">
        <f t="shared" ref="D42:L42" si="3">SUM(D36:D41)</f>
        <v>45022</v>
      </c>
      <c r="E42" s="1669">
        <f t="shared" si="3"/>
        <v>160781</v>
      </c>
      <c r="F42" s="1669">
        <f t="shared" si="3"/>
        <v>12073</v>
      </c>
      <c r="G42" s="1669">
        <f t="shared" si="3"/>
        <v>0</v>
      </c>
      <c r="H42" s="1669">
        <f t="shared" si="3"/>
        <v>0</v>
      </c>
      <c r="I42" s="1669">
        <f t="shared" si="3"/>
        <v>0</v>
      </c>
      <c r="J42" s="1669">
        <f t="shared" si="3"/>
        <v>0</v>
      </c>
      <c r="K42" s="1669">
        <f t="shared" si="3"/>
        <v>756527</v>
      </c>
      <c r="L42" s="1669">
        <f t="shared" si="3"/>
        <v>651682</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74441</v>
      </c>
      <c r="D44" s="480">
        <v>11740</v>
      </c>
      <c r="E44" s="480">
        <v>65054</v>
      </c>
      <c r="F44" s="480"/>
      <c r="G44" s="480"/>
      <c r="H44" s="480"/>
      <c r="I44" s="466"/>
      <c r="J44" s="466"/>
      <c r="K44" s="1671">
        <f>SUM(C44:J44)</f>
        <v>151235</v>
      </c>
      <c r="L44" s="480">
        <v>137158</v>
      </c>
    </row>
    <row r="45" spans="1:14" x14ac:dyDescent="0.2">
      <c r="A45" s="1503" t="s">
        <v>815</v>
      </c>
      <c r="B45" s="613">
        <v>2220</v>
      </c>
      <c r="C45" s="465">
        <v>58403</v>
      </c>
      <c r="D45" s="465">
        <v>1062</v>
      </c>
      <c r="E45" s="465"/>
      <c r="F45" s="465">
        <v>10903</v>
      </c>
      <c r="G45" s="465"/>
      <c r="H45" s="465"/>
      <c r="I45" s="466"/>
      <c r="J45" s="466"/>
      <c r="K45" s="1671">
        <f>SUM(C45:J45)</f>
        <v>70368</v>
      </c>
      <c r="L45" s="465">
        <v>131311</v>
      </c>
    </row>
    <row r="46" spans="1:14" x14ac:dyDescent="0.2">
      <c r="A46" s="1503" t="s">
        <v>816</v>
      </c>
      <c r="B46" s="613">
        <v>2230</v>
      </c>
      <c r="C46" s="465"/>
      <c r="D46" s="465"/>
      <c r="E46" s="465">
        <v>9099</v>
      </c>
      <c r="F46" s="465"/>
      <c r="G46" s="465"/>
      <c r="H46" s="465"/>
      <c r="I46" s="466"/>
      <c r="J46" s="466"/>
      <c r="K46" s="1671">
        <f>SUM(C46:J46)</f>
        <v>9099</v>
      </c>
      <c r="L46" s="465">
        <v>13500</v>
      </c>
    </row>
    <row r="47" spans="1:14" ht="12.75" customHeight="1" thickBot="1" x14ac:dyDescent="0.25">
      <c r="A47" s="1667" t="s">
        <v>561</v>
      </c>
      <c r="B47" s="1668" t="s">
        <v>32</v>
      </c>
      <c r="C47" s="1669">
        <f>SUM(C44:C46)</f>
        <v>132844</v>
      </c>
      <c r="D47" s="1669">
        <f t="shared" ref="D47:K47" si="4">SUM(D44:D46)</f>
        <v>12802</v>
      </c>
      <c r="E47" s="1669">
        <f t="shared" si="4"/>
        <v>74153</v>
      </c>
      <c r="F47" s="1669">
        <f t="shared" si="4"/>
        <v>10903</v>
      </c>
      <c r="G47" s="1669">
        <f t="shared" si="4"/>
        <v>0</v>
      </c>
      <c r="H47" s="1669">
        <f t="shared" si="4"/>
        <v>0</v>
      </c>
      <c r="I47" s="1669">
        <f t="shared" si="4"/>
        <v>0</v>
      </c>
      <c r="J47" s="1669">
        <f t="shared" si="4"/>
        <v>0</v>
      </c>
      <c r="K47" s="1669">
        <f t="shared" si="4"/>
        <v>230702</v>
      </c>
      <c r="L47" s="1669">
        <f>SUM(L44:L46)</f>
        <v>281969</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v>2000</v>
      </c>
      <c r="D49" s="480">
        <v>7926</v>
      </c>
      <c r="E49" s="480">
        <v>185263</v>
      </c>
      <c r="F49" s="480">
        <v>3560</v>
      </c>
      <c r="G49" s="480"/>
      <c r="H49" s="480">
        <v>8864</v>
      </c>
      <c r="I49" s="466"/>
      <c r="J49" s="466"/>
      <c r="K49" s="1671">
        <f>SUM(C49:J49)</f>
        <v>207613</v>
      </c>
      <c r="L49" s="480">
        <v>188489</v>
      </c>
    </row>
    <row r="50" spans="1:14" x14ac:dyDescent="0.2">
      <c r="A50" s="1503" t="s">
        <v>818</v>
      </c>
      <c r="B50" s="613">
        <v>2320</v>
      </c>
      <c r="C50" s="465">
        <v>227383</v>
      </c>
      <c r="D50" s="465">
        <v>46096</v>
      </c>
      <c r="E50" s="465">
        <v>17163</v>
      </c>
      <c r="F50" s="465">
        <v>6741</v>
      </c>
      <c r="G50" s="465"/>
      <c r="H50" s="465">
        <v>5350</v>
      </c>
      <c r="I50" s="466"/>
      <c r="J50" s="466"/>
      <c r="K50" s="1671">
        <f>SUM(C50:J50)</f>
        <v>302733</v>
      </c>
      <c r="L50" s="465">
        <v>227518</v>
      </c>
    </row>
    <row r="51" spans="1:14" x14ac:dyDescent="0.2">
      <c r="A51" s="1503" t="s">
        <v>42</v>
      </c>
      <c r="B51" s="613">
        <v>2330</v>
      </c>
      <c r="C51" s="465">
        <v>98216</v>
      </c>
      <c r="D51" s="465">
        <v>15694</v>
      </c>
      <c r="E51" s="465"/>
      <c r="F51" s="465"/>
      <c r="G51" s="465"/>
      <c r="H51" s="465"/>
      <c r="I51" s="466"/>
      <c r="J51" s="466"/>
      <c r="K51" s="1671">
        <f>SUM(C51:J51)</f>
        <v>113910</v>
      </c>
      <c r="L51" s="465">
        <v>11776</v>
      </c>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327599</v>
      </c>
      <c r="D53" s="1669">
        <f t="shared" ref="D53:L53" si="5">SUM(D49:D52)</f>
        <v>69716</v>
      </c>
      <c r="E53" s="1669">
        <f t="shared" si="5"/>
        <v>202426</v>
      </c>
      <c r="F53" s="1669">
        <f t="shared" si="5"/>
        <v>10301</v>
      </c>
      <c r="G53" s="1669">
        <f t="shared" si="5"/>
        <v>0</v>
      </c>
      <c r="H53" s="1669">
        <f t="shared" si="5"/>
        <v>14214</v>
      </c>
      <c r="I53" s="1669">
        <f t="shared" si="5"/>
        <v>0</v>
      </c>
      <c r="J53" s="1669">
        <f t="shared" si="5"/>
        <v>0</v>
      </c>
      <c r="K53" s="1669">
        <f t="shared" si="5"/>
        <v>624256</v>
      </c>
      <c r="L53" s="1669">
        <f t="shared" si="5"/>
        <v>427783</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506665</v>
      </c>
      <c r="D55" s="480">
        <v>114181</v>
      </c>
      <c r="E55" s="480">
        <v>2775</v>
      </c>
      <c r="F55" s="480">
        <v>3276</v>
      </c>
      <c r="G55" s="480"/>
      <c r="H55" s="480">
        <v>1602</v>
      </c>
      <c r="I55" s="466"/>
      <c r="J55" s="466"/>
      <c r="K55" s="1671">
        <f>SUM(C55:J55)</f>
        <v>628499</v>
      </c>
      <c r="L55" s="480">
        <v>651205</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506665</v>
      </c>
      <c r="D57" s="1673">
        <f t="shared" ref="D57:K57" si="6">SUM(D55:D56)</f>
        <v>114181</v>
      </c>
      <c r="E57" s="1673">
        <f t="shared" si="6"/>
        <v>2775</v>
      </c>
      <c r="F57" s="1673">
        <f t="shared" si="6"/>
        <v>3276</v>
      </c>
      <c r="G57" s="1673">
        <f t="shared" si="6"/>
        <v>0</v>
      </c>
      <c r="H57" s="1673">
        <f t="shared" si="6"/>
        <v>1602</v>
      </c>
      <c r="I57" s="1673">
        <f t="shared" si="6"/>
        <v>0</v>
      </c>
      <c r="J57" s="1673">
        <f t="shared" si="6"/>
        <v>0</v>
      </c>
      <c r="K57" s="1673">
        <f t="shared" si="6"/>
        <v>628499</v>
      </c>
      <c r="L57" s="1669">
        <f>SUM(L55:L56)</f>
        <v>651205</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v>120000</v>
      </c>
      <c r="D59" s="480">
        <v>22076</v>
      </c>
      <c r="E59" s="480"/>
      <c r="F59" s="480"/>
      <c r="G59" s="480"/>
      <c r="H59" s="480"/>
      <c r="I59" s="466"/>
      <c r="J59" s="466"/>
      <c r="K59" s="1671">
        <f t="shared" ref="K59:K64" si="7">SUM(C59:J59)</f>
        <v>142076</v>
      </c>
      <c r="L59" s="480"/>
      <c r="M59" s="608"/>
      <c r="N59" s="608"/>
    </row>
    <row r="60" spans="1:14" s="342" customFormat="1" x14ac:dyDescent="0.2">
      <c r="A60" s="1503" t="s">
        <v>463</v>
      </c>
      <c r="B60" s="613">
        <v>2520</v>
      </c>
      <c r="C60" s="465">
        <v>76534</v>
      </c>
      <c r="D60" s="465">
        <v>7723</v>
      </c>
      <c r="E60" s="465">
        <v>109316</v>
      </c>
      <c r="F60" s="465">
        <v>9639</v>
      </c>
      <c r="G60" s="465">
        <v>1456</v>
      </c>
      <c r="H60" s="465">
        <v>25280</v>
      </c>
      <c r="I60" s="466"/>
      <c r="J60" s="466"/>
      <c r="K60" s="1671">
        <f t="shared" si="7"/>
        <v>229948</v>
      </c>
      <c r="L60" s="465">
        <v>334151</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v>188013</v>
      </c>
      <c r="D63" s="465">
        <v>25114</v>
      </c>
      <c r="E63" s="465">
        <v>2033</v>
      </c>
      <c r="F63" s="465">
        <f>220093-29914</f>
        <v>190179</v>
      </c>
      <c r="G63" s="465"/>
      <c r="H63" s="465">
        <v>34809</v>
      </c>
      <c r="I63" s="466"/>
      <c r="J63" s="466"/>
      <c r="K63" s="1671">
        <f t="shared" si="7"/>
        <v>440148</v>
      </c>
      <c r="L63" s="465">
        <v>510495</v>
      </c>
    </row>
    <row r="64" spans="1:14" s="608" customFormat="1" x14ac:dyDescent="0.2">
      <c r="A64" s="1508" t="s">
        <v>101</v>
      </c>
      <c r="B64" s="629">
        <v>2570</v>
      </c>
      <c r="C64" s="480"/>
      <c r="D64" s="480"/>
      <c r="E64" s="480"/>
      <c r="F64" s="480"/>
      <c r="G64" s="480"/>
      <c r="H64" s="480"/>
      <c r="I64" s="466"/>
      <c r="J64" s="466"/>
      <c r="K64" s="1671">
        <f t="shared" si="7"/>
        <v>0</v>
      </c>
      <c r="L64" s="480"/>
    </row>
    <row r="65" spans="1:14" s="342" customFormat="1" ht="12.75" customHeight="1" thickBot="1" x14ac:dyDescent="0.25">
      <c r="A65" s="1667" t="s">
        <v>719</v>
      </c>
      <c r="B65" s="1668" t="s">
        <v>35</v>
      </c>
      <c r="C65" s="1669">
        <f>SUM(C59:C64)</f>
        <v>384547</v>
      </c>
      <c r="D65" s="1669">
        <f t="shared" ref="D65:L65" si="8">SUM(D59:D64)</f>
        <v>54913</v>
      </c>
      <c r="E65" s="1669">
        <f t="shared" si="8"/>
        <v>111349</v>
      </c>
      <c r="F65" s="1669">
        <f t="shared" si="8"/>
        <v>199818</v>
      </c>
      <c r="G65" s="1669">
        <f t="shared" si="8"/>
        <v>1456</v>
      </c>
      <c r="H65" s="1669">
        <f t="shared" si="8"/>
        <v>60089</v>
      </c>
      <c r="I65" s="1669">
        <f t="shared" si="8"/>
        <v>0</v>
      </c>
      <c r="J65" s="1669">
        <f t="shared" si="8"/>
        <v>0</v>
      </c>
      <c r="K65" s="1669">
        <f t="shared" si="8"/>
        <v>812172</v>
      </c>
      <c r="L65" s="1669">
        <f t="shared" si="8"/>
        <v>844646</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v>4000</v>
      </c>
      <c r="F69" s="465"/>
      <c r="G69" s="465"/>
      <c r="H69" s="465"/>
      <c r="I69" s="466"/>
      <c r="J69" s="466"/>
      <c r="K69" s="1671">
        <f>SUM(C69:J69)</f>
        <v>4000</v>
      </c>
      <c r="L69" s="465"/>
      <c r="M69" s="608"/>
      <c r="N69" s="608"/>
    </row>
    <row r="70" spans="1:14" s="342" customFormat="1" x14ac:dyDescent="0.2">
      <c r="A70" s="1503" t="s">
        <v>403</v>
      </c>
      <c r="B70" s="613">
        <v>2640</v>
      </c>
      <c r="C70" s="465"/>
      <c r="D70" s="465"/>
      <c r="E70" s="465">
        <v>2080</v>
      </c>
      <c r="F70" s="465"/>
      <c r="G70" s="465"/>
      <c r="H70" s="465"/>
      <c r="I70" s="466"/>
      <c r="J70" s="466"/>
      <c r="K70" s="1671">
        <f>SUM(C70:J70)</f>
        <v>2080</v>
      </c>
      <c r="L70" s="465"/>
      <c r="M70" s="608"/>
      <c r="N70" s="608"/>
    </row>
    <row r="71" spans="1:14" s="342" customFormat="1" x14ac:dyDescent="0.2">
      <c r="A71" s="1503" t="s">
        <v>404</v>
      </c>
      <c r="B71" s="613">
        <v>2660</v>
      </c>
      <c r="C71" s="465">
        <v>118306</v>
      </c>
      <c r="D71" s="465">
        <v>14587</v>
      </c>
      <c r="E71" s="465"/>
      <c r="F71" s="465"/>
      <c r="G71" s="465"/>
      <c r="H71" s="465"/>
      <c r="I71" s="466"/>
      <c r="J71" s="466"/>
      <c r="K71" s="1671">
        <f>SUM(C71:J71)</f>
        <v>132893</v>
      </c>
      <c r="L71" s="465">
        <v>124945</v>
      </c>
      <c r="M71" s="608"/>
      <c r="N71" s="608"/>
    </row>
    <row r="72" spans="1:14" s="342" customFormat="1" ht="12.75" customHeight="1" thickBot="1" x14ac:dyDescent="0.25">
      <c r="A72" s="1667" t="s">
        <v>37</v>
      </c>
      <c r="B72" s="1674" t="s">
        <v>36</v>
      </c>
      <c r="C72" s="1669">
        <f>SUM(C67:C71)</f>
        <v>118306</v>
      </c>
      <c r="D72" s="1669">
        <f t="shared" ref="D72:K72" si="9">SUM(D67:D71)</f>
        <v>14587</v>
      </c>
      <c r="E72" s="1669">
        <f t="shared" si="9"/>
        <v>6080</v>
      </c>
      <c r="F72" s="1669">
        <f t="shared" si="9"/>
        <v>0</v>
      </c>
      <c r="G72" s="1669">
        <f t="shared" si="9"/>
        <v>0</v>
      </c>
      <c r="H72" s="1669">
        <f t="shared" si="9"/>
        <v>0</v>
      </c>
      <c r="I72" s="1669">
        <f t="shared" si="9"/>
        <v>0</v>
      </c>
      <c r="J72" s="1669">
        <f t="shared" si="9"/>
        <v>0</v>
      </c>
      <c r="K72" s="1669">
        <f t="shared" si="9"/>
        <v>138973</v>
      </c>
      <c r="L72" s="1669">
        <f>SUM(L67:L71)</f>
        <v>124945</v>
      </c>
      <c r="M72" s="608"/>
      <c r="N72" s="608"/>
    </row>
    <row r="73" spans="1:14" s="342" customFormat="1" ht="14.25" thickTop="1" thickBot="1" x14ac:dyDescent="0.25">
      <c r="A73" s="1509" t="s">
        <v>980</v>
      </c>
      <c r="B73" s="631" t="s">
        <v>574</v>
      </c>
      <c r="C73" s="572"/>
      <c r="D73" s="572"/>
      <c r="E73" s="572">
        <v>5650</v>
      </c>
      <c r="F73" s="572">
        <v>343</v>
      </c>
      <c r="G73" s="572"/>
      <c r="H73" s="572"/>
      <c r="I73" s="530"/>
      <c r="J73" s="530"/>
      <c r="K73" s="1669">
        <f>SUM(C73:J73)</f>
        <v>5993</v>
      </c>
      <c r="L73" s="575">
        <v>25540</v>
      </c>
      <c r="M73" s="608"/>
      <c r="N73" s="608"/>
    </row>
    <row r="74" spans="1:14" ht="12.75" customHeight="1" thickTop="1" thickBot="1" x14ac:dyDescent="0.25">
      <c r="A74" s="1667" t="s">
        <v>811</v>
      </c>
      <c r="B74" s="1675">
        <v>2000</v>
      </c>
      <c r="C74" s="1676">
        <f>SUM(C42,C47,C53,C57,C65,C72,C73)</f>
        <v>2008612</v>
      </c>
      <c r="D74" s="1676">
        <f t="shared" ref="D74:K74" si="10">SUM(D42,D47,D53,D57,D65,D72,D73)</f>
        <v>311221</v>
      </c>
      <c r="E74" s="1676">
        <f t="shared" si="10"/>
        <v>563214</v>
      </c>
      <c r="F74" s="1676">
        <f t="shared" si="10"/>
        <v>236714</v>
      </c>
      <c r="G74" s="1676">
        <f t="shared" si="10"/>
        <v>1456</v>
      </c>
      <c r="H74" s="1676">
        <f t="shared" si="10"/>
        <v>75905</v>
      </c>
      <c r="I74" s="1676">
        <f t="shared" si="10"/>
        <v>0</v>
      </c>
      <c r="J74" s="1676">
        <f t="shared" si="10"/>
        <v>0</v>
      </c>
      <c r="K74" s="1676">
        <f t="shared" si="10"/>
        <v>3197122</v>
      </c>
      <c r="L74" s="1676">
        <f>SUM(L42,L47,L53,L57,L65,L72,L73)</f>
        <v>3007770</v>
      </c>
    </row>
    <row r="75" spans="1:14" s="258" customFormat="1" ht="15.75" customHeight="1" thickTop="1" thickBot="1" x14ac:dyDescent="0.25">
      <c r="A75" s="1609" t="s">
        <v>47</v>
      </c>
      <c r="B75" s="1610" t="s">
        <v>575</v>
      </c>
      <c r="C75" s="572">
        <v>3638</v>
      </c>
      <c r="D75" s="572">
        <v>23</v>
      </c>
      <c r="E75" s="572"/>
      <c r="F75" s="572">
        <v>1542</v>
      </c>
      <c r="G75" s="572"/>
      <c r="H75" s="572"/>
      <c r="I75" s="530"/>
      <c r="J75" s="530"/>
      <c r="K75" s="1669">
        <f>SUM(C75:J75)</f>
        <v>5203</v>
      </c>
      <c r="L75" s="575">
        <v>11255</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v>560</v>
      </c>
      <c r="F78" s="615"/>
      <c r="G78" s="615"/>
      <c r="H78" s="633"/>
      <c r="I78" s="476"/>
      <c r="J78" s="476"/>
      <c r="K78" s="1670">
        <f t="shared" ref="K78:K83" si="11">SUM(C78:J78)</f>
        <v>560</v>
      </c>
      <c r="L78" s="480"/>
    </row>
    <row r="79" spans="1:14" x14ac:dyDescent="0.2">
      <c r="A79" s="1503" t="s">
        <v>304</v>
      </c>
      <c r="B79" s="613">
        <v>4120</v>
      </c>
      <c r="C79" s="615"/>
      <c r="D79" s="615"/>
      <c r="E79" s="465">
        <v>80</v>
      </c>
      <c r="F79" s="615"/>
      <c r="G79" s="615"/>
      <c r="H79" s="465">
        <v>666929</v>
      </c>
      <c r="I79" s="476"/>
      <c r="J79" s="476"/>
      <c r="K79" s="1670">
        <f t="shared" si="11"/>
        <v>667009</v>
      </c>
      <c r="L79" s="465">
        <v>679640</v>
      </c>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640</v>
      </c>
      <c r="F84" s="615"/>
      <c r="G84" s="615"/>
      <c r="H84" s="1669">
        <f>SUM(H78:H83)</f>
        <v>666929</v>
      </c>
      <c r="I84" s="476"/>
      <c r="J84" s="476"/>
      <c r="K84" s="1669">
        <f>SUM(K78:K83)</f>
        <v>667569</v>
      </c>
      <c r="L84" s="1669">
        <f>SUM(L78:L83)</f>
        <v>679640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c r="I86" s="476"/>
      <c r="J86" s="476"/>
      <c r="K86" s="1676">
        <f t="shared" ref="K86:K98" si="12">H86</f>
        <v>0</v>
      </c>
      <c r="L86" s="529"/>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0</v>
      </c>
      <c r="I92" s="476"/>
      <c r="J92" s="476"/>
      <c r="K92" s="1676">
        <f t="shared" si="12"/>
        <v>0</v>
      </c>
      <c r="L92" s="1669">
        <f>SUM(L85:L91)</f>
        <v>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640</v>
      </c>
      <c r="F102" s="615"/>
      <c r="G102" s="615"/>
      <c r="H102" s="1676">
        <f>SUM(H84,H92,H100,H101)</f>
        <v>666929</v>
      </c>
      <c r="I102" s="476"/>
      <c r="J102" s="476"/>
      <c r="K102" s="1676">
        <f>SUM(K84,K92,K100,K101)</f>
        <v>667569</v>
      </c>
      <c r="L102" s="1676">
        <f>SUM(L84,L92,L100,L101)</f>
        <v>679640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5661452</v>
      </c>
      <c r="D114" s="1669">
        <f t="shared" ref="D114:K114" si="13">SUM(D33,D74,D75,D102,D112,D113)</f>
        <v>769751</v>
      </c>
      <c r="E114" s="1669">
        <f t="shared" si="13"/>
        <v>716044</v>
      </c>
      <c r="F114" s="1669">
        <f t="shared" si="13"/>
        <v>583203</v>
      </c>
      <c r="G114" s="1669">
        <f t="shared" si="13"/>
        <v>50822</v>
      </c>
      <c r="H114" s="1669">
        <f>SUM(H33,H74,H75,H102,H112,H113)</f>
        <v>745019</v>
      </c>
      <c r="I114" s="1669">
        <f t="shared" si="13"/>
        <v>0</v>
      </c>
      <c r="J114" s="1669">
        <f t="shared" si="13"/>
        <v>0</v>
      </c>
      <c r="K114" s="1669">
        <f t="shared" si="13"/>
        <v>8526291</v>
      </c>
      <c r="L114" s="1669">
        <f>SUM(L33,L74,L75,L102,L112,L113)</f>
        <v>8691923</v>
      </c>
    </row>
    <row r="115" spans="1:14" ht="13.5" thickTop="1" x14ac:dyDescent="0.2">
      <c r="A115" s="2272" t="s">
        <v>996</v>
      </c>
      <c r="B115" s="2273"/>
      <c r="C115" s="617"/>
      <c r="D115" s="617"/>
      <c r="E115" s="617"/>
      <c r="F115" s="617"/>
      <c r="G115" s="617"/>
      <c r="H115" s="617"/>
      <c r="I115" s="617"/>
      <c r="J115" s="617"/>
      <c r="K115" s="1683">
        <f>'Revenues 9-14'!C268-'Expenditures 15-22'!K114</f>
        <v>-1012586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250" t="s">
        <v>296</v>
      </c>
      <c r="B117" s="2251"/>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2055</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324251</v>
      </c>
      <c r="D124" s="465">
        <v>41562</v>
      </c>
      <c r="E124" s="465">
        <v>304261</v>
      </c>
      <c r="F124" s="465">
        <v>261053</v>
      </c>
      <c r="G124" s="465">
        <v>28543</v>
      </c>
      <c r="H124" s="465"/>
      <c r="I124" s="466"/>
      <c r="J124" s="466"/>
      <c r="K124" s="1669">
        <f>SUM(C124:J124)</f>
        <v>959670</v>
      </c>
      <c r="L124" s="465">
        <v>976797</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324251</v>
      </c>
      <c r="D127" s="1669">
        <f t="shared" ref="D127:L127" si="14">SUM(D122:D126)</f>
        <v>41562</v>
      </c>
      <c r="E127" s="1669">
        <f t="shared" si="14"/>
        <v>304261</v>
      </c>
      <c r="F127" s="1669">
        <f t="shared" si="14"/>
        <v>261053</v>
      </c>
      <c r="G127" s="1669">
        <f t="shared" si="14"/>
        <v>28543</v>
      </c>
      <c r="H127" s="1669">
        <f t="shared" si="14"/>
        <v>0</v>
      </c>
      <c r="I127" s="1669">
        <f t="shared" si="14"/>
        <v>0</v>
      </c>
      <c r="J127" s="1669">
        <f t="shared" si="14"/>
        <v>0</v>
      </c>
      <c r="K127" s="1669">
        <f t="shared" si="14"/>
        <v>959670</v>
      </c>
      <c r="L127" s="1669">
        <f t="shared" si="14"/>
        <v>976797</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324251</v>
      </c>
      <c r="D129" s="1676">
        <f t="shared" ref="D129:L129" si="15">SUM(D120,D127,D128)</f>
        <v>41562</v>
      </c>
      <c r="E129" s="1676">
        <f t="shared" si="15"/>
        <v>304261</v>
      </c>
      <c r="F129" s="1676">
        <f t="shared" si="15"/>
        <v>261053</v>
      </c>
      <c r="G129" s="1676">
        <f t="shared" si="15"/>
        <v>28543</v>
      </c>
      <c r="H129" s="1676">
        <f t="shared" si="15"/>
        <v>0</v>
      </c>
      <c r="I129" s="1676">
        <f t="shared" si="15"/>
        <v>0</v>
      </c>
      <c r="J129" s="1676">
        <f t="shared" si="15"/>
        <v>0</v>
      </c>
      <c r="K129" s="1676">
        <f t="shared" si="15"/>
        <v>959670</v>
      </c>
      <c r="L129" s="1676">
        <f t="shared" si="15"/>
        <v>976797</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1841</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row>
    <row r="151" spans="1:14" ht="12.75" customHeight="1" thickTop="1" thickBot="1" x14ac:dyDescent="0.25">
      <c r="A151" s="2262" t="s">
        <v>620</v>
      </c>
      <c r="B151" s="2244"/>
      <c r="C151" s="1669">
        <f>SUM(C129,C130,C139,C149,C150)</f>
        <v>324251</v>
      </c>
      <c r="D151" s="1669">
        <f t="shared" ref="D151:K151" si="16">SUM(D129,D130,D139,D149,D150)</f>
        <v>41562</v>
      </c>
      <c r="E151" s="1669">
        <f t="shared" si="16"/>
        <v>304261</v>
      </c>
      <c r="F151" s="1669">
        <f t="shared" si="16"/>
        <v>261053</v>
      </c>
      <c r="G151" s="1669">
        <f t="shared" si="16"/>
        <v>28543</v>
      </c>
      <c r="H151" s="1669">
        <f t="shared" si="16"/>
        <v>0</v>
      </c>
      <c r="I151" s="1669">
        <f t="shared" si="16"/>
        <v>0</v>
      </c>
      <c r="J151" s="1669">
        <f t="shared" si="16"/>
        <v>0</v>
      </c>
      <c r="K151" s="1669">
        <f t="shared" si="16"/>
        <v>959670</v>
      </c>
      <c r="L151" s="1669">
        <f>SUM(L129,L130,L139,L149,L150)</f>
        <v>976797</v>
      </c>
    </row>
    <row r="152" spans="1:14" ht="12.75" customHeight="1" thickTop="1" x14ac:dyDescent="0.2">
      <c r="A152" s="2265" t="s">
        <v>1178</v>
      </c>
      <c r="B152" s="2266"/>
      <c r="C152" s="617"/>
      <c r="D152" s="617"/>
      <c r="E152" s="617"/>
      <c r="F152" s="617"/>
      <c r="G152" s="617"/>
      <c r="H152" s="617"/>
      <c r="I152" s="617"/>
      <c r="J152" s="615"/>
      <c r="K152" s="1683">
        <f>'Revenues 9-14'!D268-'Expenditures 15-22'!K151</f>
        <v>33749</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50" t="s">
        <v>621</v>
      </c>
      <c r="B154" s="2252"/>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1842</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1841</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1843</v>
      </c>
      <c r="C158" s="615"/>
      <c r="D158" s="615"/>
      <c r="E158" s="615"/>
      <c r="F158" s="615"/>
      <c r="G158" s="615"/>
      <c r="H158" s="466"/>
      <c r="I158" s="615"/>
      <c r="J158" s="615"/>
      <c r="K158" s="1670">
        <f>H158</f>
        <v>0</v>
      </c>
      <c r="L158" s="466"/>
      <c r="M158" s="618"/>
      <c r="N158" s="618"/>
    </row>
    <row r="159" spans="1:14" s="619" customFormat="1" ht="12" x14ac:dyDescent="0.2">
      <c r="A159" s="1825" t="s">
        <v>1844</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1845</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298282</v>
      </c>
      <c r="I169" s="615"/>
      <c r="J169" s="615"/>
      <c r="K169" s="1670">
        <f>SUM(C169:H169)</f>
        <v>298282</v>
      </c>
      <c r="L169" s="655">
        <v>231656</v>
      </c>
    </row>
    <row r="170" spans="1:14" ht="33.75" customHeight="1" x14ac:dyDescent="0.2">
      <c r="A170" s="668" t="s">
        <v>1670</v>
      </c>
      <c r="B170" s="670" t="s">
        <v>31</v>
      </c>
      <c r="C170" s="615"/>
      <c r="D170" s="615"/>
      <c r="E170" s="615"/>
      <c r="F170" s="615"/>
      <c r="G170" s="615"/>
      <c r="H170" s="568">
        <v>1432045</v>
      </c>
      <c r="I170" s="615"/>
      <c r="J170" s="615"/>
      <c r="K170" s="1670">
        <f>SUM(C170:J170)</f>
        <v>1432045</v>
      </c>
      <c r="L170" s="568">
        <v>1432045</v>
      </c>
    </row>
    <row r="171" spans="1:14" ht="15.75" customHeight="1" x14ac:dyDescent="0.2">
      <c r="A171" s="620" t="s">
        <v>766</v>
      </c>
      <c r="B171" s="671" t="s">
        <v>84</v>
      </c>
      <c r="C171" s="615"/>
      <c r="D171" s="615"/>
      <c r="E171" s="465"/>
      <c r="F171" s="615"/>
      <c r="G171" s="615"/>
      <c r="H171" s="568">
        <f>1728+81431</f>
        <v>83159</v>
      </c>
      <c r="I171" s="476"/>
      <c r="J171" s="615"/>
      <c r="K171" s="1670">
        <f>SUM(C171:J171)</f>
        <v>83159</v>
      </c>
      <c r="L171" s="568">
        <v>4000</v>
      </c>
    </row>
    <row r="172" spans="1:14" ht="12.75" customHeight="1" thickBot="1" x14ac:dyDescent="0.25">
      <c r="A172" s="1667" t="s">
        <v>638</v>
      </c>
      <c r="B172" s="1668" t="s">
        <v>492</v>
      </c>
      <c r="C172" s="615"/>
      <c r="D172" s="615"/>
      <c r="E172" s="1676">
        <f>SUM(E168,E169,E170,E171)</f>
        <v>0</v>
      </c>
      <c r="F172" s="615"/>
      <c r="G172" s="615"/>
      <c r="H172" s="1676">
        <f>SUM(H168,H169,H170,H171)</f>
        <v>1813486</v>
      </c>
      <c r="I172" s="637"/>
      <c r="J172" s="615"/>
      <c r="K172" s="1676">
        <f>SUM(K168,K169,K170,K171)</f>
        <v>1813486</v>
      </c>
      <c r="L172" s="1676">
        <f>SUM(L168,L169,L170,L171)</f>
        <v>1667701</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1813486</v>
      </c>
      <c r="I174" s="637"/>
      <c r="J174" s="615"/>
      <c r="K174" s="1676">
        <f>SUM(K160,K172,K173)</f>
        <v>1813486</v>
      </c>
      <c r="L174" s="1676">
        <f>SUM(L160,L172,L173)</f>
        <v>1667701</v>
      </c>
    </row>
    <row r="175" spans="1:14" ht="13.5" thickTop="1" x14ac:dyDescent="0.2">
      <c r="A175" s="2272" t="s">
        <v>996</v>
      </c>
      <c r="B175" s="2273"/>
      <c r="C175" s="615"/>
      <c r="D175" s="615"/>
      <c r="E175" s="615"/>
      <c r="F175" s="615"/>
      <c r="G175" s="615"/>
      <c r="H175" s="617"/>
      <c r="I175" s="615"/>
      <c r="J175" s="615"/>
      <c r="K175" s="1683">
        <f>'Revenues 9-14'!E268-'Expenditures 15-22'!K174</f>
        <v>-149261</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2055</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312263</v>
      </c>
      <c r="D182" s="465">
        <v>58834</v>
      </c>
      <c r="E182" s="465">
        <v>513154</v>
      </c>
      <c r="F182" s="465">
        <v>49757</v>
      </c>
      <c r="G182" s="465">
        <v>9709</v>
      </c>
      <c r="H182" s="465">
        <v>848</v>
      </c>
      <c r="I182" s="466"/>
      <c r="J182" s="466"/>
      <c r="K182" s="1670">
        <f>SUM(C182:J182)</f>
        <v>944565</v>
      </c>
      <c r="L182" s="465">
        <v>774499</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312263</v>
      </c>
      <c r="D184" s="1676">
        <f t="shared" ref="D184:J184" si="17">SUM(D180,D182,D183)</f>
        <v>58834</v>
      </c>
      <c r="E184" s="1676">
        <f t="shared" si="17"/>
        <v>513154</v>
      </c>
      <c r="F184" s="1676">
        <f t="shared" si="17"/>
        <v>49757</v>
      </c>
      <c r="G184" s="1676">
        <f t="shared" si="17"/>
        <v>9709</v>
      </c>
      <c r="H184" s="1676">
        <f t="shared" si="17"/>
        <v>848</v>
      </c>
      <c r="I184" s="1676">
        <f t="shared" si="17"/>
        <v>0</v>
      </c>
      <c r="J184" s="1676">
        <f t="shared" si="17"/>
        <v>0</v>
      </c>
      <c r="K184" s="1676">
        <f>SUM(K180,K182,K183)</f>
        <v>944565</v>
      </c>
      <c r="L184" s="1676">
        <f>SUM(L180, L182:L183)</f>
        <v>774499</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row>
    <row r="210" spans="1:14" ht="12.75" customHeight="1" thickTop="1" thickBot="1" x14ac:dyDescent="0.25">
      <c r="A210" s="1691" t="s">
        <v>277</v>
      </c>
      <c r="B210" s="1692"/>
      <c r="C210" s="1669">
        <f>SUM(C184,C185)</f>
        <v>312263</v>
      </c>
      <c r="D210" s="1669">
        <f>SUM(D184,D185)</f>
        <v>58834</v>
      </c>
      <c r="E210" s="1669">
        <f>SUM(E184,E185,E196)</f>
        <v>513154</v>
      </c>
      <c r="F210" s="1669">
        <f>SUM(F184,F185)</f>
        <v>49757</v>
      </c>
      <c r="G210" s="1669">
        <f>SUM(G184,G185)</f>
        <v>9709</v>
      </c>
      <c r="H210" s="1669">
        <f>SUM(H184,H185,H196,H208,H209)</f>
        <v>848</v>
      </c>
      <c r="I210" s="1669">
        <f>SUM(I184,I185)</f>
        <v>0</v>
      </c>
      <c r="J210" s="1669">
        <f>SUM(J184,J185)</f>
        <v>0</v>
      </c>
      <c r="K210" s="1670">
        <f>SUM(K184,K185,K196,K208,K209)</f>
        <v>944565</v>
      </c>
      <c r="L210" s="1669">
        <f>SUM(L184,L185,L196,L208,L209)</f>
        <v>774499</v>
      </c>
    </row>
    <row r="211" spans="1:14" ht="13.5" thickTop="1" x14ac:dyDescent="0.2">
      <c r="A211" s="2272" t="s">
        <v>996</v>
      </c>
      <c r="B211" s="2273"/>
      <c r="C211" s="617"/>
      <c r="D211" s="617"/>
      <c r="E211" s="617"/>
      <c r="F211" s="617"/>
      <c r="G211" s="617"/>
      <c r="H211" s="617"/>
      <c r="I211" s="615"/>
      <c r="J211" s="615"/>
      <c r="K211" s="1683">
        <f>'Revenues 9-14'!F268-'Expenditures 15-22'!K210</f>
        <v>-359208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267" t="s">
        <v>965</v>
      </c>
      <c r="B213" s="2268"/>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48207</v>
      </c>
      <c r="E215" s="615"/>
      <c r="F215" s="615"/>
      <c r="G215" s="615"/>
      <c r="H215" s="615"/>
      <c r="I215" s="615"/>
      <c r="J215" s="615"/>
      <c r="K215" s="1670">
        <f>D215</f>
        <v>48207</v>
      </c>
      <c r="L215" s="465">
        <v>55901</v>
      </c>
    </row>
    <row r="216" spans="1:14" x14ac:dyDescent="0.2">
      <c r="A216" s="1503" t="s">
        <v>163</v>
      </c>
      <c r="B216" s="613" t="s">
        <v>967</v>
      </c>
      <c r="C216" s="615"/>
      <c r="D216" s="466">
        <v>50112</v>
      </c>
      <c r="E216" s="615"/>
      <c r="F216" s="615"/>
      <c r="G216" s="615"/>
      <c r="H216" s="615"/>
      <c r="I216" s="615"/>
      <c r="J216" s="615"/>
      <c r="K216" s="1670">
        <f t="shared" ref="K216:K228" si="19">D216</f>
        <v>50112</v>
      </c>
      <c r="L216" s="465"/>
    </row>
    <row r="217" spans="1:14" x14ac:dyDescent="0.2">
      <c r="A217" s="1503" t="s">
        <v>164</v>
      </c>
      <c r="B217" s="613">
        <v>1200</v>
      </c>
      <c r="C217" s="615"/>
      <c r="D217" s="465">
        <v>28200</v>
      </c>
      <c r="E217" s="615"/>
      <c r="F217" s="615"/>
      <c r="G217" s="615"/>
      <c r="H217" s="615"/>
      <c r="I217" s="615"/>
      <c r="J217" s="615"/>
      <c r="K217" s="1670">
        <f t="shared" si="19"/>
        <v>28200</v>
      </c>
      <c r="L217" s="465">
        <v>97685</v>
      </c>
    </row>
    <row r="218" spans="1:14" x14ac:dyDescent="0.2">
      <c r="A218" s="1503" t="s">
        <v>278</v>
      </c>
      <c r="B218" s="613" t="s">
        <v>968</v>
      </c>
      <c r="C218" s="615"/>
      <c r="D218" s="466"/>
      <c r="E218" s="615"/>
      <c r="F218" s="615"/>
      <c r="G218" s="615"/>
      <c r="H218" s="615"/>
      <c r="I218" s="615"/>
      <c r="J218" s="615"/>
      <c r="K218" s="1670">
        <f t="shared" si="19"/>
        <v>0</v>
      </c>
      <c r="L218" s="465"/>
    </row>
    <row r="219" spans="1:14" x14ac:dyDescent="0.2">
      <c r="A219" s="1503" t="s">
        <v>279</v>
      </c>
      <c r="B219" s="613">
        <v>1250</v>
      </c>
      <c r="C219" s="615"/>
      <c r="D219" s="465">
        <v>5386</v>
      </c>
      <c r="E219" s="615"/>
      <c r="F219" s="615"/>
      <c r="G219" s="615"/>
      <c r="H219" s="615"/>
      <c r="I219" s="615"/>
      <c r="J219" s="615"/>
      <c r="K219" s="1670">
        <f t="shared" si="19"/>
        <v>5386</v>
      </c>
      <c r="L219" s="465">
        <v>80</v>
      </c>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v>2335</v>
      </c>
      <c r="E223" s="615"/>
      <c r="F223" s="615"/>
      <c r="G223" s="615"/>
      <c r="H223" s="615"/>
      <c r="I223" s="615"/>
      <c r="J223" s="615"/>
      <c r="K223" s="1670">
        <f t="shared" si="19"/>
        <v>2335</v>
      </c>
      <c r="L223" s="465">
        <v>6181</v>
      </c>
    </row>
    <row r="224" spans="1:14" x14ac:dyDescent="0.2">
      <c r="A224" s="1503" t="s">
        <v>964</v>
      </c>
      <c r="B224" s="613">
        <v>1600</v>
      </c>
      <c r="C224" s="615"/>
      <c r="D224" s="465">
        <v>1047</v>
      </c>
      <c r="E224" s="615"/>
      <c r="F224" s="615"/>
      <c r="G224" s="615"/>
      <c r="H224" s="615"/>
      <c r="I224" s="615"/>
      <c r="J224" s="615"/>
      <c r="K224" s="1670">
        <f t="shared" si="19"/>
        <v>1047</v>
      </c>
      <c r="L224" s="465"/>
    </row>
    <row r="225" spans="1:12" x14ac:dyDescent="0.2">
      <c r="A225" s="1503" t="s">
        <v>987</v>
      </c>
      <c r="B225" s="613">
        <v>1650</v>
      </c>
      <c r="C225" s="615"/>
      <c r="D225" s="465"/>
      <c r="E225" s="615"/>
      <c r="F225" s="615"/>
      <c r="G225" s="615"/>
      <c r="H225" s="615"/>
      <c r="I225" s="615"/>
      <c r="J225" s="615"/>
      <c r="K225" s="1670">
        <f t="shared" si="19"/>
        <v>0</v>
      </c>
      <c r="L225" s="465"/>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1761</v>
      </c>
      <c r="E227" s="615"/>
      <c r="F227" s="615"/>
      <c r="G227" s="615"/>
      <c r="H227" s="615"/>
      <c r="I227" s="615"/>
      <c r="J227" s="615"/>
      <c r="K227" s="1670">
        <f t="shared" si="19"/>
        <v>1761</v>
      </c>
      <c r="L227" s="465">
        <v>2600</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137048</v>
      </c>
      <c r="E229" s="615"/>
      <c r="F229" s="615"/>
      <c r="G229" s="615"/>
      <c r="H229" s="615"/>
      <c r="I229" s="615"/>
      <c r="J229" s="615"/>
      <c r="K229" s="1669">
        <f>SUM(K215:K228)</f>
        <v>137048</v>
      </c>
      <c r="L229" s="1669">
        <f>SUM(L215:L228)</f>
        <v>162447</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2332</v>
      </c>
      <c r="E232" s="615"/>
      <c r="F232" s="615"/>
      <c r="G232" s="615"/>
      <c r="H232" s="615"/>
      <c r="I232" s="615"/>
      <c r="J232" s="615"/>
      <c r="K232" s="1670">
        <f t="shared" ref="K232:K237" si="20">D232</f>
        <v>2332</v>
      </c>
      <c r="L232" s="465">
        <v>3340</v>
      </c>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v>4661</v>
      </c>
      <c r="E234" s="615"/>
      <c r="F234" s="615"/>
      <c r="G234" s="615"/>
      <c r="H234" s="615"/>
      <c r="I234" s="615"/>
      <c r="J234" s="615"/>
      <c r="K234" s="1670">
        <f t="shared" si="20"/>
        <v>4661</v>
      </c>
      <c r="L234" s="465">
        <v>2123</v>
      </c>
    </row>
    <row r="235" spans="1:12" x14ac:dyDescent="0.2">
      <c r="A235" s="1503" t="s">
        <v>199</v>
      </c>
      <c r="B235" s="613">
        <v>2140</v>
      </c>
      <c r="C235" s="615"/>
      <c r="D235" s="465">
        <v>1151</v>
      </c>
      <c r="E235" s="615"/>
      <c r="F235" s="615"/>
      <c r="G235" s="615"/>
      <c r="H235" s="615"/>
      <c r="I235" s="615"/>
      <c r="J235" s="615"/>
      <c r="K235" s="1670">
        <f t="shared" si="20"/>
        <v>1151</v>
      </c>
      <c r="L235" s="465">
        <v>1200</v>
      </c>
    </row>
    <row r="236" spans="1:12" x14ac:dyDescent="0.2">
      <c r="A236" s="1503" t="s">
        <v>200</v>
      </c>
      <c r="B236" s="613">
        <v>2150</v>
      </c>
      <c r="C236" s="615"/>
      <c r="D236" s="465">
        <v>3199</v>
      </c>
      <c r="E236" s="615"/>
      <c r="F236" s="615"/>
      <c r="G236" s="615"/>
      <c r="H236" s="615"/>
      <c r="I236" s="615"/>
      <c r="J236" s="615"/>
      <c r="K236" s="1670">
        <f t="shared" si="20"/>
        <v>3199</v>
      </c>
      <c r="L236" s="465">
        <v>3200</v>
      </c>
    </row>
    <row r="237" spans="1:12" x14ac:dyDescent="0.2">
      <c r="A237" s="1503" t="s">
        <v>165</v>
      </c>
      <c r="B237" s="613">
        <v>2190</v>
      </c>
      <c r="C237" s="615"/>
      <c r="D237" s="465"/>
      <c r="E237" s="615"/>
      <c r="F237" s="615"/>
      <c r="G237" s="615"/>
      <c r="H237" s="615"/>
      <c r="I237" s="615"/>
      <c r="J237" s="615"/>
      <c r="K237" s="1670">
        <f t="shared" si="20"/>
        <v>0</v>
      </c>
      <c r="L237" s="465"/>
    </row>
    <row r="238" spans="1:12" ht="12.75" customHeight="1" thickBot="1" x14ac:dyDescent="0.25">
      <c r="A238" s="1667" t="s">
        <v>560</v>
      </c>
      <c r="B238" s="1674" t="s">
        <v>716</v>
      </c>
      <c r="C238" s="615"/>
      <c r="D238" s="1669">
        <f>SUM(D232:D237)</f>
        <v>11343</v>
      </c>
      <c r="E238" s="615"/>
      <c r="F238" s="615"/>
      <c r="G238" s="615"/>
      <c r="H238" s="615"/>
      <c r="I238" s="615"/>
      <c r="J238" s="615"/>
      <c r="K238" s="1669">
        <f>SUM(K232:K237)</f>
        <v>11343</v>
      </c>
      <c r="L238" s="1669">
        <f>SUM(L232:L237)</f>
        <v>9863</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1139</v>
      </c>
      <c r="E240" s="615"/>
      <c r="F240" s="615"/>
      <c r="G240" s="615"/>
      <c r="H240" s="615"/>
      <c r="I240" s="615"/>
      <c r="J240" s="615"/>
      <c r="K240" s="1671">
        <f>D240</f>
        <v>1139</v>
      </c>
      <c r="L240" s="480">
        <v>112</v>
      </c>
    </row>
    <row r="241" spans="1:12" x14ac:dyDescent="0.2">
      <c r="A241" s="1503" t="s">
        <v>815</v>
      </c>
      <c r="B241" s="613">
        <v>2220</v>
      </c>
      <c r="C241" s="615"/>
      <c r="D241" s="465">
        <v>10197</v>
      </c>
      <c r="E241" s="615"/>
      <c r="F241" s="615"/>
      <c r="G241" s="615"/>
      <c r="H241" s="615"/>
      <c r="I241" s="615"/>
      <c r="J241" s="615"/>
      <c r="K241" s="1671">
        <f>D241</f>
        <v>10197</v>
      </c>
      <c r="L241" s="465">
        <v>16932</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11336</v>
      </c>
      <c r="E243" s="615"/>
      <c r="F243" s="615"/>
      <c r="G243" s="615"/>
      <c r="H243" s="615"/>
      <c r="I243" s="615"/>
      <c r="J243" s="615"/>
      <c r="K243" s="1669">
        <f>SUM(K240:K242)</f>
        <v>11336</v>
      </c>
      <c r="L243" s="1669">
        <f>SUM(L240:L242)</f>
        <v>17044</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v>338</v>
      </c>
      <c r="E245" s="615"/>
      <c r="F245" s="615"/>
      <c r="G245" s="615"/>
      <c r="H245" s="615"/>
      <c r="I245" s="615"/>
      <c r="J245" s="615"/>
      <c r="K245" s="1671">
        <f>D245</f>
        <v>338</v>
      </c>
      <c r="L245" s="480"/>
    </row>
    <row r="246" spans="1:12" x14ac:dyDescent="0.2">
      <c r="A246" s="1503" t="s">
        <v>818</v>
      </c>
      <c r="B246" s="613">
        <v>2320</v>
      </c>
      <c r="C246" s="615"/>
      <c r="D246" s="465">
        <v>10378</v>
      </c>
      <c r="E246" s="615"/>
      <c r="F246" s="615"/>
      <c r="G246" s="615"/>
      <c r="H246" s="615"/>
      <c r="I246" s="615"/>
      <c r="J246" s="615"/>
      <c r="K246" s="1671">
        <f t="shared" ref="K246:K256" si="21">D246</f>
        <v>10378</v>
      </c>
      <c r="L246" s="465">
        <v>2395</v>
      </c>
    </row>
    <row r="247" spans="1:12" x14ac:dyDescent="0.2">
      <c r="A247" s="1503" t="s">
        <v>819</v>
      </c>
      <c r="B247" s="613">
        <v>2330</v>
      </c>
      <c r="C247" s="615"/>
      <c r="D247" s="465">
        <v>1424</v>
      </c>
      <c r="E247" s="615"/>
      <c r="F247" s="615"/>
      <c r="G247" s="615"/>
      <c r="H247" s="615"/>
      <c r="I247" s="615"/>
      <c r="J247" s="615"/>
      <c r="K247" s="1671">
        <f t="shared" si="21"/>
        <v>1424</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1802</v>
      </c>
      <c r="B249" s="682" t="s">
        <v>282</v>
      </c>
      <c r="C249" s="615"/>
      <c r="D249" s="473"/>
      <c r="E249" s="615"/>
      <c r="F249" s="615"/>
      <c r="G249" s="615"/>
      <c r="H249" s="615"/>
      <c r="I249" s="615"/>
      <c r="J249" s="615"/>
      <c r="K249" s="1671">
        <f t="shared" si="21"/>
        <v>0</v>
      </c>
      <c r="L249" s="465"/>
    </row>
    <row r="250" spans="1:12" x14ac:dyDescent="0.2">
      <c r="A250" s="1504" t="s">
        <v>1803</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12140</v>
      </c>
      <c r="E257" s="615"/>
      <c r="F257" s="615"/>
      <c r="G257" s="615"/>
      <c r="H257" s="615"/>
      <c r="I257" s="615"/>
      <c r="J257" s="615"/>
      <c r="K257" s="1669">
        <f>SUM(K245:K256)</f>
        <v>12140</v>
      </c>
      <c r="L257" s="1669">
        <f>SUM(L245:L256)</f>
        <v>2395</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29964</v>
      </c>
      <c r="E259" s="615"/>
      <c r="F259" s="615"/>
      <c r="G259" s="615"/>
      <c r="H259" s="615"/>
      <c r="I259" s="615"/>
      <c r="J259" s="615"/>
      <c r="K259" s="1671">
        <f>D259</f>
        <v>29964</v>
      </c>
      <c r="L259" s="480">
        <v>31707</v>
      </c>
    </row>
    <row r="260" spans="1:14" s="596" customFormat="1" x14ac:dyDescent="0.2">
      <c r="A260" s="1521" t="s">
        <v>1801</v>
      </c>
      <c r="B260" s="627">
        <v>2490</v>
      </c>
      <c r="C260" s="615"/>
      <c r="D260" s="465"/>
      <c r="E260" s="615"/>
      <c r="F260" s="615"/>
      <c r="G260" s="615"/>
      <c r="H260" s="615"/>
      <c r="I260" s="615"/>
      <c r="J260" s="615"/>
      <c r="K260" s="1671">
        <f>D260</f>
        <v>0</v>
      </c>
      <c r="L260" s="465">
        <v>8850</v>
      </c>
      <c r="M260" s="209"/>
      <c r="N260" s="209"/>
    </row>
    <row r="261" spans="1:14" ht="12.75" customHeight="1" thickBot="1" x14ac:dyDescent="0.25">
      <c r="A261" s="1691" t="s">
        <v>263</v>
      </c>
      <c r="B261" s="1696" t="s">
        <v>34</v>
      </c>
      <c r="C261" s="615"/>
      <c r="D261" s="1669">
        <f>SUM(D259:D260)</f>
        <v>29964</v>
      </c>
      <c r="E261" s="615"/>
      <c r="F261" s="615"/>
      <c r="G261" s="615"/>
      <c r="H261" s="615"/>
      <c r="I261" s="615"/>
      <c r="J261" s="615"/>
      <c r="K261" s="1669">
        <f>SUM(K259:K260)</f>
        <v>29964</v>
      </c>
      <c r="L261" s="1669">
        <f>SUM(L259:L260)</f>
        <v>40557</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v>1730</v>
      </c>
      <c r="E263" s="615"/>
      <c r="F263" s="615"/>
      <c r="G263" s="615"/>
      <c r="H263" s="615"/>
      <c r="I263" s="615"/>
      <c r="J263" s="615"/>
      <c r="K263" s="1671">
        <f>D263</f>
        <v>1730</v>
      </c>
      <c r="L263" s="480"/>
    </row>
    <row r="264" spans="1:14" x14ac:dyDescent="0.2">
      <c r="A264" s="1503" t="s">
        <v>463</v>
      </c>
      <c r="B264" s="684">
        <v>2520</v>
      </c>
      <c r="C264" s="615"/>
      <c r="D264" s="465">
        <v>13207</v>
      </c>
      <c r="E264" s="615"/>
      <c r="F264" s="615"/>
      <c r="G264" s="615"/>
      <c r="H264" s="615"/>
      <c r="I264" s="615"/>
      <c r="J264" s="615"/>
      <c r="K264" s="1671">
        <f t="shared" ref="K264:K269" si="22">D264</f>
        <v>13207</v>
      </c>
      <c r="L264" s="465">
        <v>13686</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55915</v>
      </c>
      <c r="E266" s="615"/>
      <c r="F266" s="615"/>
      <c r="G266" s="615"/>
      <c r="H266" s="615"/>
      <c r="I266" s="615"/>
      <c r="J266" s="615"/>
      <c r="K266" s="1671">
        <f t="shared" si="22"/>
        <v>55915</v>
      </c>
      <c r="L266" s="465">
        <v>55296</v>
      </c>
    </row>
    <row r="267" spans="1:14" x14ac:dyDescent="0.2">
      <c r="A267" s="1503" t="s">
        <v>953</v>
      </c>
      <c r="B267" s="613">
        <v>2550</v>
      </c>
      <c r="C267" s="615"/>
      <c r="D267" s="465">
        <v>52048</v>
      </c>
      <c r="E267" s="615"/>
      <c r="F267" s="615"/>
      <c r="G267" s="615"/>
      <c r="H267" s="615"/>
      <c r="I267" s="615"/>
      <c r="J267" s="615"/>
      <c r="K267" s="1671">
        <f t="shared" si="22"/>
        <v>52048</v>
      </c>
      <c r="L267" s="465">
        <v>54803</v>
      </c>
    </row>
    <row r="268" spans="1:14" x14ac:dyDescent="0.2">
      <c r="A268" s="1503" t="s">
        <v>100</v>
      </c>
      <c r="B268" s="613">
        <v>2560</v>
      </c>
      <c r="C268" s="615"/>
      <c r="D268" s="465">
        <v>31886</v>
      </c>
      <c r="E268" s="615"/>
      <c r="F268" s="615"/>
      <c r="G268" s="615"/>
      <c r="H268" s="615"/>
      <c r="I268" s="615"/>
      <c r="J268" s="615"/>
      <c r="K268" s="1671">
        <f t="shared" si="22"/>
        <v>31886</v>
      </c>
      <c r="L268" s="465">
        <v>31403</v>
      </c>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154786</v>
      </c>
      <c r="E270" s="615"/>
      <c r="F270" s="615"/>
      <c r="G270" s="615"/>
      <c r="H270" s="615"/>
      <c r="I270" s="615"/>
      <c r="J270" s="615"/>
      <c r="K270" s="1669">
        <f>SUM(K263:K269)</f>
        <v>154786</v>
      </c>
      <c r="L270" s="1669">
        <f>SUM(L263:L269)</f>
        <v>155188</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v>20189</v>
      </c>
      <c r="E276" s="615"/>
      <c r="F276" s="615"/>
      <c r="G276" s="615"/>
      <c r="H276" s="615"/>
      <c r="I276" s="615"/>
      <c r="J276" s="615"/>
      <c r="K276" s="1671">
        <f>D276</f>
        <v>20189</v>
      </c>
      <c r="L276" s="465">
        <v>42234</v>
      </c>
    </row>
    <row r="277" spans="1:12" ht="12.75" customHeight="1" thickBot="1" x14ac:dyDescent="0.25">
      <c r="A277" s="1690" t="s">
        <v>37</v>
      </c>
      <c r="B277" s="1668" t="s">
        <v>36</v>
      </c>
      <c r="C277" s="615"/>
      <c r="D277" s="1669">
        <f>SUM(D272:D276)</f>
        <v>20189</v>
      </c>
      <c r="E277" s="615"/>
      <c r="F277" s="615"/>
      <c r="G277" s="615"/>
      <c r="H277" s="615"/>
      <c r="I277" s="615"/>
      <c r="J277" s="615"/>
      <c r="K277" s="1669">
        <f>SUM(K272:K276)</f>
        <v>20189</v>
      </c>
      <c r="L277" s="1669">
        <f>SUM(L272:L276)</f>
        <v>42234</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239758</v>
      </c>
      <c r="E279" s="615"/>
      <c r="F279" s="615"/>
      <c r="G279" s="615"/>
      <c r="H279" s="615"/>
      <c r="I279" s="615"/>
      <c r="J279" s="615"/>
      <c r="K279" s="1676">
        <f>SUM(K238,K243,K257,K261,K270,K277,K278)</f>
        <v>239758</v>
      </c>
      <c r="L279" s="1676">
        <f>SUM(L238,L243,L257,L261,L270,L277,L278)</f>
        <v>267281</v>
      </c>
    </row>
    <row r="280" spans="1:12" ht="15.75" customHeight="1" thickTop="1" thickBot="1" x14ac:dyDescent="0.25">
      <c r="A280" s="1623" t="s">
        <v>875</v>
      </c>
      <c r="B280" s="1612">
        <v>3000</v>
      </c>
      <c r="C280" s="615"/>
      <c r="D280" s="575">
        <v>128</v>
      </c>
      <c r="E280" s="615"/>
      <c r="F280" s="615"/>
      <c r="G280" s="615"/>
      <c r="H280" s="615"/>
      <c r="I280" s="615"/>
      <c r="J280" s="615"/>
      <c r="K280" s="1678">
        <f>D280</f>
        <v>128</v>
      </c>
      <c r="L280" s="575">
        <v>493</v>
      </c>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1841</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263" t="s">
        <v>505</v>
      </c>
      <c r="B295" s="2264"/>
      <c r="C295" s="615"/>
      <c r="D295" s="1669">
        <f>SUM(D229,D279,D280,D285)</f>
        <v>376934</v>
      </c>
      <c r="E295" s="615"/>
      <c r="F295" s="615"/>
      <c r="G295" s="615"/>
      <c r="H295" s="1669">
        <f>H293</f>
        <v>0</v>
      </c>
      <c r="I295" s="615"/>
      <c r="J295" s="615"/>
      <c r="K295" s="1669">
        <f>SUM(K229,K279,K280,K285,K293,K294)</f>
        <v>376934</v>
      </c>
      <c r="L295" s="1669">
        <f>SUM(L229,L279,L280,L285,L293,L294)</f>
        <v>430221</v>
      </c>
    </row>
    <row r="296" spans="1:14" ht="13.5" thickTop="1" x14ac:dyDescent="0.2">
      <c r="A296" s="2272" t="s">
        <v>996</v>
      </c>
      <c r="B296" s="2273"/>
      <c r="C296" s="615"/>
      <c r="D296" s="617"/>
      <c r="E296" s="615"/>
      <c r="F296" s="615"/>
      <c r="G296" s="615"/>
      <c r="H296" s="686"/>
      <c r="I296" s="615"/>
      <c r="J296" s="615"/>
      <c r="K296" s="1683">
        <f>'Revenues 9-14'!G268-'Expenditures 15-22'!K295</f>
        <v>34100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55" t="s">
        <v>143</v>
      </c>
      <c r="B298" s="2249"/>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c r="H301" s="465"/>
      <c r="I301" s="466"/>
      <c r="J301" s="466"/>
      <c r="K301" s="1670">
        <f>SUM(C301:J301)</f>
        <v>0</v>
      </c>
      <c r="L301" s="466"/>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1846</v>
      </c>
      <c r="B306" s="689" t="s">
        <v>1841</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260" t="s">
        <v>277</v>
      </c>
      <c r="B312" s="2261"/>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4"/>
      <c r="N312" s="664"/>
    </row>
    <row r="313" spans="1:14" ht="13.5" thickTop="1" x14ac:dyDescent="0.2">
      <c r="A313" s="2256" t="s">
        <v>996</v>
      </c>
      <c r="B313" s="2257"/>
      <c r="C313" s="625"/>
      <c r="D313" s="625"/>
      <c r="E313" s="625"/>
      <c r="F313" s="625"/>
      <c r="G313" s="625"/>
      <c r="H313" s="625"/>
      <c r="I313" s="625"/>
      <c r="J313" s="625"/>
      <c r="K313" s="1684">
        <f>'Revenues 9-14'!H268-'Expenditures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69" t="s">
        <v>149</v>
      </c>
      <c r="B315" s="2270"/>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71" t="s">
        <v>898</v>
      </c>
      <c r="B317" s="2270"/>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1802</v>
      </c>
      <c r="B320" s="697" t="s">
        <v>282</v>
      </c>
      <c r="C320" s="466"/>
      <c r="D320" s="466"/>
      <c r="E320" s="466"/>
      <c r="F320" s="466"/>
      <c r="G320" s="466"/>
      <c r="H320" s="466"/>
      <c r="I320" s="466"/>
      <c r="J320" s="466"/>
      <c r="K320" s="1670">
        <f t="shared" ref="K320:K327" si="24">SUM(C320:J320)</f>
        <v>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c r="F322" s="466"/>
      <c r="G322" s="466"/>
      <c r="H322" s="466"/>
      <c r="I322" s="466"/>
      <c r="J322" s="466"/>
      <c r="K322" s="1670">
        <f t="shared" si="24"/>
        <v>0</v>
      </c>
      <c r="L322" s="466"/>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4"/>
      <c r="N330" s="664"/>
    </row>
    <row r="331" spans="1:14" s="673" customFormat="1" ht="12.75" customHeight="1" thickTop="1" x14ac:dyDescent="0.2">
      <c r="A331" s="1830" t="s">
        <v>1847</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1841</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1843</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1848</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258" t="s">
        <v>996</v>
      </c>
      <c r="B343" s="2259"/>
      <c r="C343" s="615"/>
      <c r="D343" s="615"/>
      <c r="E343" s="615"/>
      <c r="F343" s="615"/>
      <c r="G343" s="615"/>
      <c r="H343" s="615"/>
      <c r="I343" s="615"/>
      <c r="J343" s="615"/>
      <c r="K343" s="1683">
        <f>'Revenues 9-14'!J268-'Expenditures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48" t="s">
        <v>966</v>
      </c>
      <c r="B345" s="2249"/>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1849</v>
      </c>
      <c r="B354" s="682" t="s">
        <v>1841</v>
      </c>
      <c r="C354" s="615"/>
      <c r="D354" s="615"/>
      <c r="E354" s="615"/>
      <c r="F354" s="615"/>
      <c r="G354" s="615"/>
      <c r="H354" s="473"/>
      <c r="I354" s="700"/>
      <c r="J354" s="615"/>
      <c r="K354" s="1698">
        <f>H354</f>
        <v>0</v>
      </c>
      <c r="L354" s="470"/>
    </row>
    <row r="355" spans="1:14" ht="12.75" customHeight="1" x14ac:dyDescent="0.2">
      <c r="A355" s="1512" t="s">
        <v>1850</v>
      </c>
      <c r="B355" s="689" t="s">
        <v>1843</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272" t="s">
        <v>996</v>
      </c>
      <c r="B368" s="2273"/>
      <c r="C368" s="653"/>
      <c r="D368" s="653"/>
      <c r="E368" s="625"/>
      <c r="F368" s="625"/>
      <c r="G368" s="625"/>
      <c r="H368" s="625"/>
      <c r="I368" s="625"/>
      <c r="J368" s="622"/>
      <c r="K368" s="1670">
        <f>'Revenues 9-14'!K268-'Expenditures 15-22'!K367</f>
        <v>0</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dcmitype/"/>
    <ds:schemaRef ds:uri="http://schemas.microsoft.com/sharepoint/v3"/>
    <ds:schemaRef ds:uri="http://purl.org/dc/terms/"/>
    <ds:schemaRef ds:uri="http://schemas.microsoft.com/office/infopath/2007/PartnerControls"/>
    <ds:schemaRef ds:uri="http://purl.org/dc/elements/1.1/"/>
    <ds:schemaRef ds:uri="http://www.w3.org/XML/1998/namespace"/>
    <ds:schemaRef ds:uri="http://schemas.openxmlformats.org/package/2006/metadata/core-properties"/>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SEFA(2)</vt:lpstr>
      <vt:lpstr> SEFA(3)</vt:lpstr>
      <vt:lpstr>SEFA NOTES</vt:lpstr>
      <vt:lpstr>SF&amp;QC Sec-1</vt:lpstr>
      <vt:lpstr>SF&amp;QC Sec-2</vt:lpstr>
      <vt:lpstr>SF&amp;QC Sec-3</vt:lpstr>
      <vt:lpstr>SSPAF</vt:lpstr>
      <vt:lpstr>' SEFA'!Print_Area</vt:lpstr>
      <vt:lpstr>' SEFA(2)'!Print_Area</vt:lpstr>
      <vt:lpstr>' SEFA(3)'!Print_Area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HOPKINS CONSTANCE</cp:lastModifiedBy>
  <cp:lastPrinted>2019-11-14T15:22:45Z</cp:lastPrinted>
  <dcterms:created xsi:type="dcterms:W3CDTF">2003-10-29T19:06:34Z</dcterms:created>
  <dcterms:modified xsi:type="dcterms:W3CDTF">2019-12-27T19:07:42Z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